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780" windowHeight="118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订单跟踪表!$A$3:$X$1560</definedName>
    <definedName name="_xlnm._FilterDatabase" localSheetId="2" hidden="1">客户!$B$1:$C$170</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5" authorId="0">
      <text>
        <r>
          <rPr>
            <b/>
            <sz val="9"/>
            <rFont val="宋体"/>
            <charset val="134"/>
          </rPr>
          <t>Administrator:</t>
        </r>
        <r>
          <rPr>
            <sz val="9"/>
            <rFont val="宋体"/>
            <charset val="134"/>
          </rPr>
          <t xml:space="preserve">
2021.12.7收229.6</t>
        </r>
      </text>
    </comment>
    <comment ref="Q486" authorId="0">
      <text>
        <r>
          <rPr>
            <b/>
            <sz val="9"/>
            <rFont val="宋体"/>
            <charset val="134"/>
          </rPr>
          <t>Administrator:</t>
        </r>
        <r>
          <rPr>
            <sz val="9"/>
            <rFont val="宋体"/>
            <charset val="134"/>
          </rPr>
          <t xml:space="preserve">
2021.12.7收</t>
        </r>
      </text>
    </comment>
    <comment ref="T486" authorId="0">
      <text>
        <r>
          <rPr>
            <b/>
            <sz val="9"/>
            <rFont val="宋体"/>
            <charset val="134"/>
          </rPr>
          <t>Administrator:</t>
        </r>
        <r>
          <rPr>
            <sz val="9"/>
            <rFont val="宋体"/>
            <charset val="134"/>
          </rPr>
          <t xml:space="preserve">
2021.12.20收</t>
        </r>
      </text>
    </comment>
    <comment ref="Q487" authorId="0">
      <text>
        <r>
          <rPr>
            <b/>
            <sz val="9"/>
            <rFont val="宋体"/>
            <charset val="134"/>
          </rPr>
          <t>Administrator:</t>
        </r>
        <r>
          <rPr>
            <sz val="9"/>
            <rFont val="宋体"/>
            <charset val="134"/>
          </rPr>
          <t xml:space="preserve">
2021.12.9收6294.64</t>
        </r>
      </text>
    </comment>
    <comment ref="T487" authorId="0">
      <text>
        <r>
          <rPr>
            <b/>
            <sz val="9"/>
            <rFont val="宋体"/>
            <charset val="134"/>
          </rPr>
          <t>Administrator:</t>
        </r>
        <r>
          <rPr>
            <sz val="9"/>
            <rFont val="宋体"/>
            <charset val="134"/>
          </rPr>
          <t xml:space="preserve">
2022.2.23收14079.3</t>
        </r>
      </text>
    </comment>
    <comment ref="Q488" authorId="0">
      <text>
        <r>
          <rPr>
            <b/>
            <sz val="9"/>
            <rFont val="宋体"/>
            <charset val="134"/>
          </rPr>
          <t>Administrator:</t>
        </r>
        <r>
          <rPr>
            <sz val="9"/>
            <rFont val="宋体"/>
            <charset val="134"/>
          </rPr>
          <t xml:space="preserve">
2021.12.21收5356</t>
        </r>
      </text>
    </comment>
    <comment ref="T488" authorId="0">
      <text>
        <r>
          <rPr>
            <b/>
            <sz val="9"/>
            <rFont val="宋体"/>
            <charset val="134"/>
          </rPr>
          <t>Administrator:</t>
        </r>
        <r>
          <rPr>
            <sz val="9"/>
            <rFont val="宋体"/>
            <charset val="134"/>
          </rPr>
          <t xml:space="preserve">
2022.2.23收26714.23</t>
        </r>
      </text>
    </comment>
    <comment ref="P489" authorId="0">
      <text>
        <r>
          <rPr>
            <b/>
            <sz val="9"/>
            <rFont val="宋体"/>
            <charset val="134"/>
          </rPr>
          <t>Administrator:</t>
        </r>
        <r>
          <rPr>
            <sz val="9"/>
            <rFont val="宋体"/>
            <charset val="134"/>
          </rPr>
          <t xml:space="preserve">
按26333付款  多付324.8 实际发货26008.2
甩货已付</t>
        </r>
      </text>
    </comment>
    <comment ref="Q489" authorId="0">
      <text>
        <r>
          <rPr>
            <b/>
            <sz val="9"/>
            <rFont val="宋体"/>
            <charset val="134"/>
          </rPr>
          <t>Administrator:</t>
        </r>
        <r>
          <rPr>
            <sz val="9"/>
            <rFont val="宋体"/>
            <charset val="134"/>
          </rPr>
          <t xml:space="preserve">
2021.12.13收9992</t>
        </r>
      </text>
    </comment>
    <comment ref="T489" authorId="0">
      <text>
        <r>
          <rPr>
            <b/>
            <sz val="9"/>
            <rFont val="宋体"/>
            <charset val="134"/>
          </rPr>
          <t>Administrator:</t>
        </r>
        <r>
          <rPr>
            <sz val="9"/>
            <rFont val="宋体"/>
            <charset val="134"/>
          </rPr>
          <t xml:space="preserve">
2022.1.20收16319.93</t>
        </r>
      </text>
    </comment>
    <comment ref="Q490" authorId="0">
      <text>
        <r>
          <rPr>
            <b/>
            <sz val="9"/>
            <rFont val="宋体"/>
            <charset val="134"/>
          </rPr>
          <t>Administrator:</t>
        </r>
        <r>
          <rPr>
            <sz val="9"/>
            <rFont val="宋体"/>
            <charset val="134"/>
          </rPr>
          <t xml:space="preserve">
2021.12.17收19800美金作为J4195 J4196定金</t>
        </r>
      </text>
    </comment>
    <comment ref="T490" authorId="0">
      <text>
        <r>
          <rPr>
            <b/>
            <sz val="9"/>
            <rFont val="宋体"/>
            <charset val="134"/>
          </rPr>
          <t>Administrator:</t>
        </r>
        <r>
          <rPr>
            <sz val="9"/>
            <rFont val="宋体"/>
            <charset val="134"/>
          </rPr>
          <t xml:space="preserve">
2022.3.7收23780.6</t>
        </r>
      </text>
    </comment>
    <comment ref="T491" authorId="0">
      <text>
        <r>
          <rPr>
            <b/>
            <sz val="9"/>
            <rFont val="宋体"/>
            <charset val="134"/>
          </rPr>
          <t>Administrator:</t>
        </r>
        <r>
          <rPr>
            <sz val="9"/>
            <rFont val="宋体"/>
            <charset val="134"/>
          </rPr>
          <t xml:space="preserve">
2022.3.15收23685.9</t>
        </r>
      </text>
    </comment>
    <comment ref="T492" authorId="0">
      <text>
        <r>
          <rPr>
            <b/>
            <sz val="9"/>
            <rFont val="宋体"/>
            <charset val="134"/>
          </rPr>
          <t>Administrator:</t>
        </r>
        <r>
          <rPr>
            <sz val="9"/>
            <rFont val="宋体"/>
            <charset val="134"/>
          </rPr>
          <t xml:space="preserve">
2022.1.26收32545.16</t>
        </r>
      </text>
    </comment>
    <comment ref="Q493" authorId="0">
      <text>
        <r>
          <rPr>
            <b/>
            <sz val="9"/>
            <rFont val="宋体"/>
            <charset val="134"/>
          </rPr>
          <t>Administrator:</t>
        </r>
        <r>
          <rPr>
            <sz val="9"/>
            <rFont val="宋体"/>
            <charset val="134"/>
          </rPr>
          <t xml:space="preserve">
2021.12.24收9992
J4190多付324.8美金</t>
        </r>
      </text>
    </comment>
    <comment ref="T493" authorId="0">
      <text>
        <r>
          <rPr>
            <b/>
            <sz val="9"/>
            <rFont val="宋体"/>
            <charset val="134"/>
          </rPr>
          <t>Administrator:</t>
        </r>
        <r>
          <rPr>
            <sz val="9"/>
            <rFont val="宋体"/>
            <charset val="134"/>
          </rPr>
          <t xml:space="preserve">
2022.4.12收24452.67
包含J4252定金1万美金</t>
        </r>
      </text>
    </comment>
    <comment ref="Q494" authorId="0">
      <text>
        <r>
          <rPr>
            <b/>
            <sz val="9"/>
            <rFont val="宋体"/>
            <charset val="134"/>
          </rPr>
          <t>Administrator:</t>
        </r>
        <r>
          <rPr>
            <sz val="9"/>
            <rFont val="宋体"/>
            <charset val="134"/>
          </rPr>
          <t xml:space="preserve">
2021.12.29收24780
水单24780 4054.94用于J4137-2尾款
2022.1.11收5055
25780.06=24780-4054.94+5055</t>
        </r>
      </text>
    </comment>
    <comment ref="T494" authorId="0">
      <text>
        <r>
          <rPr>
            <b/>
            <sz val="9"/>
            <rFont val="宋体"/>
            <charset val="134"/>
          </rPr>
          <t>Administrator:</t>
        </r>
        <r>
          <rPr>
            <sz val="9"/>
            <rFont val="宋体"/>
            <charset val="134"/>
          </rPr>
          <t xml:space="preserve">
2022.4.1收20797.41</t>
        </r>
      </text>
    </comment>
    <comment ref="T495" authorId="0">
      <text>
        <r>
          <rPr>
            <b/>
            <sz val="9"/>
            <rFont val="宋体"/>
            <charset val="134"/>
          </rPr>
          <t>Administrator:</t>
        </r>
        <r>
          <rPr>
            <sz val="9"/>
            <rFont val="宋体"/>
            <charset val="134"/>
          </rPr>
          <t xml:space="preserve">
2022.4.26收20836.41</t>
        </r>
      </text>
    </comment>
    <comment ref="Q497" authorId="0">
      <text>
        <r>
          <rPr>
            <b/>
            <sz val="9"/>
            <rFont val="宋体"/>
            <charset val="134"/>
          </rPr>
          <t>Administrator:</t>
        </r>
        <r>
          <rPr>
            <sz val="9"/>
            <rFont val="宋体"/>
            <charset val="134"/>
          </rPr>
          <t xml:space="preserve">
2022.1.19收6500</t>
        </r>
      </text>
    </comment>
    <comment ref="T497" authorId="0">
      <text>
        <r>
          <rPr>
            <b/>
            <sz val="9"/>
            <rFont val="宋体"/>
            <charset val="134"/>
          </rPr>
          <t>Administrator:</t>
        </r>
        <r>
          <rPr>
            <sz val="9"/>
            <rFont val="宋体"/>
            <charset val="134"/>
          </rPr>
          <t xml:space="preserve">
2022.4.19收15162.8</t>
        </r>
      </text>
    </comment>
    <comment ref="Q498" authorId="0">
      <text>
        <r>
          <rPr>
            <b/>
            <sz val="9"/>
            <rFont val="宋体"/>
            <charset val="134"/>
          </rPr>
          <t>Administrator:</t>
        </r>
        <r>
          <rPr>
            <sz val="9"/>
            <rFont val="宋体"/>
            <charset val="134"/>
          </rPr>
          <t xml:space="preserve">
2022.2.11收10300</t>
        </r>
      </text>
    </comment>
    <comment ref="T498" authorId="0">
      <text>
        <r>
          <rPr>
            <b/>
            <sz val="9"/>
            <rFont val="宋体"/>
            <charset val="134"/>
          </rPr>
          <t>Administrator:</t>
        </r>
        <r>
          <rPr>
            <sz val="9"/>
            <rFont val="宋体"/>
            <charset val="134"/>
          </rPr>
          <t xml:space="preserve">
2022.4.1收9900</t>
        </r>
      </text>
    </comment>
    <comment ref="U498" authorId="0">
      <text>
        <r>
          <rPr>
            <b/>
            <sz val="9"/>
            <rFont val="宋体"/>
            <charset val="134"/>
          </rPr>
          <t>Administrator:</t>
        </r>
        <r>
          <rPr>
            <sz val="9"/>
            <rFont val="宋体"/>
            <charset val="134"/>
          </rPr>
          <t xml:space="preserve">
2022.4.1收14064.64  多一百美金转移到J4227</t>
        </r>
      </text>
    </comment>
    <comment ref="Q499" authorId="0">
      <text>
        <r>
          <rPr>
            <b/>
            <sz val="9"/>
            <rFont val="宋体"/>
            <charset val="134"/>
          </rPr>
          <t>Administrator:</t>
        </r>
        <r>
          <rPr>
            <sz val="9"/>
            <rFont val="宋体"/>
            <charset val="134"/>
          </rPr>
          <t xml:space="preserve">
2022.1.25收4995</t>
        </r>
      </text>
    </comment>
    <comment ref="Q500" authorId="0">
      <text>
        <r>
          <rPr>
            <b/>
            <sz val="9"/>
            <rFont val="宋体"/>
            <charset val="134"/>
          </rPr>
          <t>Administrator:</t>
        </r>
        <r>
          <rPr>
            <sz val="9"/>
            <rFont val="宋体"/>
            <charset val="134"/>
          </rPr>
          <t xml:space="preserve">
2022.2.14收5674.3</t>
        </r>
      </text>
    </comment>
    <comment ref="T500" authorId="0">
      <text>
        <r>
          <rPr>
            <b/>
            <sz val="9"/>
            <rFont val="宋体"/>
            <charset val="134"/>
          </rPr>
          <t>Administrator:</t>
        </r>
        <r>
          <rPr>
            <sz val="9"/>
            <rFont val="宋体"/>
            <charset val="134"/>
          </rPr>
          <t xml:space="preserve">
2022.4.20收28689.49</t>
        </r>
      </text>
    </comment>
    <comment ref="Q501" authorId="0">
      <text>
        <r>
          <rPr>
            <b/>
            <sz val="9"/>
            <rFont val="宋体"/>
            <charset val="134"/>
          </rPr>
          <t>Administrator:</t>
        </r>
        <r>
          <rPr>
            <sz val="9"/>
            <rFont val="宋体"/>
            <charset val="134"/>
          </rPr>
          <t xml:space="preserve">
2022.2.28收9951.67</t>
        </r>
      </text>
    </comment>
    <comment ref="Q503" authorId="0">
      <text>
        <r>
          <rPr>
            <b/>
            <sz val="9"/>
            <rFont val="宋体"/>
            <charset val="134"/>
          </rPr>
          <t>Administrator:</t>
        </r>
        <r>
          <rPr>
            <sz val="9"/>
            <rFont val="宋体"/>
            <charset val="134"/>
          </rPr>
          <t xml:space="preserve">
2022.2.10收</t>
        </r>
      </text>
    </comment>
    <comment ref="Q504" authorId="0">
      <text>
        <r>
          <rPr>
            <b/>
            <sz val="9"/>
            <rFont val="宋体"/>
            <charset val="134"/>
          </rPr>
          <t>Administrator:</t>
        </r>
        <r>
          <rPr>
            <sz val="9"/>
            <rFont val="宋体"/>
            <charset val="134"/>
          </rPr>
          <t xml:space="preserve">
2022.2.18收9419</t>
        </r>
      </text>
    </comment>
    <comment ref="Q505"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2022.5.17收28446.53
水单28480.53  多付112美金转到J4308</t>
        </r>
      </text>
    </comment>
    <comment ref="T507" authorId="0">
      <text>
        <r>
          <rPr>
            <b/>
            <sz val="9"/>
            <rFont val="宋体"/>
            <charset val="134"/>
          </rPr>
          <t>Administrator:</t>
        </r>
        <r>
          <rPr>
            <sz val="9"/>
            <rFont val="宋体"/>
            <charset val="134"/>
          </rPr>
          <t xml:space="preserve">
2022.4.29收28884</t>
        </r>
      </text>
    </comment>
    <comment ref="Q508" authorId="0">
      <text>
        <r>
          <rPr>
            <b/>
            <sz val="9"/>
            <rFont val="宋体"/>
            <charset val="134"/>
          </rPr>
          <t>Administrator:</t>
        </r>
        <r>
          <rPr>
            <sz val="9"/>
            <rFont val="宋体"/>
            <charset val="134"/>
          </rPr>
          <t xml:space="preserve">
2022.2.23收10400
100美金来自J4214
</t>
        </r>
      </text>
    </comment>
    <comment ref="T508" authorId="0">
      <text>
        <r>
          <rPr>
            <b/>
            <sz val="9"/>
            <rFont val="宋体"/>
            <charset val="134"/>
          </rPr>
          <t>Administrator:</t>
        </r>
        <r>
          <rPr>
            <sz val="9"/>
            <rFont val="宋体"/>
            <charset val="134"/>
          </rPr>
          <t xml:space="preserve">
2022.5.3收27442.17</t>
        </r>
      </text>
    </comment>
    <comment ref="Q509" authorId="0">
      <text>
        <r>
          <rPr>
            <b/>
            <sz val="9"/>
            <rFont val="宋体"/>
            <charset val="134"/>
          </rPr>
          <t>Administrator:</t>
        </r>
        <r>
          <rPr>
            <sz val="9"/>
            <rFont val="宋体"/>
            <charset val="134"/>
          </rPr>
          <t xml:space="preserve">
来自J3762</t>
        </r>
      </text>
    </comment>
    <comment ref="Q510" authorId="0">
      <text>
        <r>
          <rPr>
            <b/>
            <sz val="9"/>
            <rFont val="宋体"/>
            <charset val="134"/>
          </rPr>
          <t>Administrator:</t>
        </r>
        <r>
          <rPr>
            <sz val="9"/>
            <rFont val="宋体"/>
            <charset val="134"/>
          </rPr>
          <t xml:space="preserve">
2022.3.1收9971</t>
        </r>
      </text>
    </comment>
    <comment ref="T510" authorId="0">
      <text>
        <r>
          <rPr>
            <b/>
            <sz val="9"/>
            <rFont val="宋体"/>
            <charset val="134"/>
          </rPr>
          <t>Administrator:</t>
        </r>
        <r>
          <rPr>
            <sz val="9"/>
            <rFont val="宋体"/>
            <charset val="134"/>
          </rPr>
          <t xml:space="preserve">
2022.6.7收19557.8</t>
        </r>
      </text>
    </comment>
    <comment ref="Q511" authorId="0">
      <text>
        <r>
          <rPr>
            <b/>
            <sz val="9"/>
            <rFont val="宋体"/>
            <charset val="134"/>
          </rPr>
          <t>Administrator:</t>
        </r>
        <r>
          <rPr>
            <sz val="9"/>
            <rFont val="宋体"/>
            <charset val="134"/>
          </rPr>
          <t xml:space="preserve">
2022.2.24收</t>
        </r>
      </text>
    </comment>
    <comment ref="T511" authorId="0">
      <text>
        <r>
          <rPr>
            <b/>
            <sz val="9"/>
            <rFont val="宋体"/>
            <charset val="134"/>
          </rPr>
          <t>Administrator:</t>
        </r>
        <r>
          <rPr>
            <sz val="9"/>
            <rFont val="宋体"/>
            <charset val="134"/>
          </rPr>
          <t xml:space="preserve">
2022.5.31收24216</t>
        </r>
      </text>
    </comment>
    <comment ref="Q512" authorId="0">
      <text>
        <r>
          <rPr>
            <b/>
            <sz val="9"/>
            <rFont val="宋体"/>
            <charset val="134"/>
          </rPr>
          <t>Administrator:</t>
        </r>
        <r>
          <rPr>
            <sz val="9"/>
            <rFont val="宋体"/>
            <charset val="134"/>
          </rPr>
          <t xml:space="preserve">
2022.3.4收28260</t>
        </r>
      </text>
    </comment>
    <comment ref="T513" authorId="0">
      <text>
        <r>
          <rPr>
            <b/>
            <sz val="9"/>
            <rFont val="宋体"/>
            <charset val="134"/>
          </rPr>
          <t>Administrator:</t>
        </r>
        <r>
          <rPr>
            <sz val="9"/>
            <rFont val="宋体"/>
            <charset val="134"/>
          </rPr>
          <t xml:space="preserve">
2022.6.8收13984.8+14345.2</t>
        </r>
      </text>
    </comment>
    <comment ref="U513" authorId="0">
      <text>
        <r>
          <rPr>
            <b/>
            <sz val="9"/>
            <rFont val="宋体"/>
            <charset val="134"/>
          </rPr>
          <t>Administrator:</t>
        </r>
        <r>
          <rPr>
            <sz val="9"/>
            <rFont val="宋体"/>
            <charset val="134"/>
          </rPr>
          <t xml:space="preserve">
2022.6.8收21068</t>
        </r>
      </text>
    </comment>
    <comment ref="Q515" authorId="0">
      <text>
        <r>
          <rPr>
            <b/>
            <sz val="9"/>
            <rFont val="宋体"/>
            <charset val="134"/>
          </rPr>
          <t>Administrator:</t>
        </r>
        <r>
          <rPr>
            <sz val="9"/>
            <rFont val="宋体"/>
            <charset val="134"/>
          </rPr>
          <t xml:space="preserve">
2022.4.29收4792水单5千 1571用于J4823 3429用于J4236
</t>
        </r>
      </text>
    </comment>
    <comment ref="Q516" authorId="0">
      <text>
        <r>
          <rPr>
            <b/>
            <sz val="9"/>
            <rFont val="宋体"/>
            <charset val="134"/>
          </rPr>
          <t>Administrator:</t>
        </r>
        <r>
          <rPr>
            <sz val="9"/>
            <rFont val="宋体"/>
            <charset val="134"/>
          </rPr>
          <t xml:space="preserve">
2022.3.10收20500作为J4243 J4244定金</t>
        </r>
      </text>
    </comment>
    <comment ref="T516" authorId="0">
      <text>
        <r>
          <rPr>
            <b/>
            <sz val="9"/>
            <rFont val="宋体"/>
            <charset val="134"/>
          </rPr>
          <t>Administrator:</t>
        </r>
        <r>
          <rPr>
            <sz val="9"/>
            <rFont val="宋体"/>
            <charset val="134"/>
          </rPr>
          <t xml:space="preserve">
2022.6.9收27780.12</t>
        </r>
      </text>
    </comment>
    <comment ref="Q518" authorId="0">
      <text>
        <r>
          <rPr>
            <b/>
            <sz val="9"/>
            <rFont val="宋体"/>
            <charset val="134"/>
          </rPr>
          <t>Administrator:</t>
        </r>
        <r>
          <rPr>
            <sz val="9"/>
            <rFont val="宋体"/>
            <charset val="134"/>
          </rPr>
          <t xml:space="preserve">
2022.3.2收17953</t>
        </r>
      </text>
    </comment>
    <comment ref="Q519" authorId="0">
      <text>
        <r>
          <rPr>
            <b/>
            <sz val="9"/>
            <rFont val="宋体"/>
            <charset val="134"/>
          </rPr>
          <t>Administrator:</t>
        </r>
        <r>
          <rPr>
            <sz val="9"/>
            <rFont val="宋体"/>
            <charset val="134"/>
          </rPr>
          <t xml:space="preserve">
2022.4.12收
和J4203尾款一起付的</t>
        </r>
      </text>
    </comment>
    <comment ref="Q520" authorId="0">
      <text>
        <r>
          <rPr>
            <b/>
            <sz val="9"/>
            <rFont val="宋体"/>
            <charset val="134"/>
          </rPr>
          <t>Administrator:</t>
        </r>
        <r>
          <rPr>
            <sz val="9"/>
            <rFont val="宋体"/>
            <charset val="134"/>
          </rPr>
          <t xml:space="preserve">
2022.3.22收9981.8</t>
        </r>
      </text>
    </comment>
    <comment ref="Q521" authorId="0">
      <text>
        <r>
          <rPr>
            <b/>
            <sz val="9"/>
            <rFont val="宋体"/>
            <charset val="134"/>
          </rPr>
          <t>Administrator:</t>
        </r>
        <r>
          <rPr>
            <sz val="9"/>
            <rFont val="宋体"/>
            <charset val="134"/>
          </rPr>
          <t xml:space="preserve">
2022.3.28收10751.19</t>
        </r>
      </text>
    </comment>
    <comment ref="T521" authorId="0">
      <text>
        <r>
          <rPr>
            <b/>
            <sz val="9"/>
            <rFont val="宋体"/>
            <charset val="134"/>
          </rPr>
          <t>Administrator:</t>
        </r>
        <r>
          <rPr>
            <sz val="9"/>
            <rFont val="宋体"/>
            <charset val="134"/>
          </rPr>
          <t xml:space="preserve">
2022.5.31收77246.61</t>
        </r>
      </text>
    </comment>
    <comment ref="Q522" authorId="0">
      <text>
        <r>
          <rPr>
            <b/>
            <sz val="9"/>
            <rFont val="宋体"/>
            <charset val="134"/>
          </rPr>
          <t>Administrator:</t>
        </r>
        <r>
          <rPr>
            <sz val="9"/>
            <rFont val="宋体"/>
            <charset val="134"/>
          </rPr>
          <t xml:space="preserve">
2022.6.6收5547.98</t>
        </r>
      </text>
    </comment>
    <comment ref="Q523" authorId="0">
      <text>
        <r>
          <rPr>
            <b/>
            <sz val="9"/>
            <rFont val="宋体"/>
            <charset val="134"/>
          </rPr>
          <t>Administrator:</t>
        </r>
        <r>
          <rPr>
            <sz val="9"/>
            <rFont val="宋体"/>
            <charset val="134"/>
          </rPr>
          <t xml:space="preserve">
2022.3.28收5737</t>
        </r>
      </text>
    </comment>
    <comment ref="Q524" authorId="0">
      <text>
        <r>
          <rPr>
            <b/>
            <sz val="9"/>
            <rFont val="宋体"/>
            <charset val="134"/>
          </rPr>
          <t>Administrator:</t>
        </r>
        <r>
          <rPr>
            <sz val="9"/>
            <rFont val="宋体"/>
            <charset val="134"/>
          </rPr>
          <t xml:space="preserve">
2022.3.29收9710.28</t>
        </r>
      </text>
    </comment>
    <comment ref="Q526" authorId="0">
      <text>
        <r>
          <rPr>
            <b/>
            <sz val="9"/>
            <rFont val="宋体"/>
            <charset val="134"/>
          </rPr>
          <t>Administrator:</t>
        </r>
        <r>
          <rPr>
            <sz val="9"/>
            <rFont val="宋体"/>
            <charset val="134"/>
          </rPr>
          <t xml:space="preserve">
2022.6.6收3869.72</t>
        </r>
      </text>
    </comment>
    <comment ref="T526" authorId="0">
      <text>
        <r>
          <rPr>
            <b/>
            <sz val="9"/>
            <rFont val="宋体"/>
            <charset val="134"/>
          </rPr>
          <t>Administrator:</t>
        </r>
        <r>
          <rPr>
            <sz val="9"/>
            <rFont val="宋体"/>
            <charset val="134"/>
          </rPr>
          <t xml:space="preserve">
见J4255尾款一起付了77246</t>
        </r>
      </text>
    </comment>
    <comment ref="U526" authorId="0">
      <text>
        <r>
          <rPr>
            <b/>
            <sz val="9"/>
            <rFont val="宋体"/>
            <charset val="134"/>
          </rPr>
          <t>Administrator:</t>
        </r>
        <r>
          <rPr>
            <sz val="9"/>
            <rFont val="宋体"/>
            <charset val="134"/>
          </rPr>
          <t xml:space="preserve">
2022.6.9收1046.71
定金退回收取手续费CAD25 咱们付</t>
        </r>
      </text>
    </comment>
    <comment ref="Q527" authorId="0">
      <text>
        <r>
          <rPr>
            <b/>
            <sz val="9"/>
            <rFont val="宋体"/>
            <charset val="134"/>
          </rPr>
          <t>Administrator:</t>
        </r>
        <r>
          <rPr>
            <sz val="9"/>
            <rFont val="宋体"/>
            <charset val="134"/>
          </rPr>
          <t xml:space="preserve">
2022.4.20收14951.7
2022.4.27收14951.7
</t>
        </r>
      </text>
    </comment>
    <comment ref="T527" authorId="0">
      <text>
        <r>
          <rPr>
            <b/>
            <sz val="9"/>
            <rFont val="宋体"/>
            <charset val="134"/>
          </rPr>
          <t>Administrator:</t>
        </r>
        <r>
          <rPr>
            <sz val="9"/>
            <rFont val="宋体"/>
            <charset val="134"/>
          </rPr>
          <t xml:space="preserve">
2022.5.17收RMB251819 汇率6.715 折合$37500</t>
        </r>
      </text>
    </comment>
    <comment ref="Q528" authorId="0">
      <text>
        <r>
          <rPr>
            <b/>
            <sz val="9"/>
            <rFont val="宋体"/>
            <charset val="134"/>
          </rPr>
          <t>Administrator:</t>
        </r>
        <r>
          <rPr>
            <sz val="9"/>
            <rFont val="宋体"/>
            <charset val="134"/>
          </rPr>
          <t xml:space="preserve">
2022.4.19收24980</t>
        </r>
      </text>
    </comment>
    <comment ref="Q529" authorId="0">
      <text>
        <r>
          <rPr>
            <b/>
            <sz val="9"/>
            <rFont val="宋体"/>
            <charset val="134"/>
          </rPr>
          <t>Administrator:</t>
        </r>
        <r>
          <rPr>
            <sz val="9"/>
            <rFont val="宋体"/>
            <charset val="134"/>
          </rPr>
          <t xml:space="preserve">
2022.4.19收</t>
        </r>
      </text>
    </comment>
    <comment ref="T529" authorId="0">
      <text>
        <r>
          <rPr>
            <b/>
            <sz val="9"/>
            <rFont val="宋体"/>
            <charset val="134"/>
          </rPr>
          <t>Administrator:</t>
        </r>
        <r>
          <rPr>
            <sz val="9"/>
            <rFont val="宋体"/>
            <charset val="134"/>
          </rPr>
          <t xml:space="preserve">
2022.4.27收</t>
        </r>
      </text>
    </comment>
    <comment ref="Q530" authorId="0">
      <text>
        <r>
          <rPr>
            <b/>
            <sz val="9"/>
            <rFont val="宋体"/>
            <charset val="134"/>
          </rPr>
          <t>Administrator:</t>
        </r>
        <r>
          <rPr>
            <sz val="9"/>
            <rFont val="宋体"/>
            <charset val="134"/>
          </rPr>
          <t xml:space="preserve">
2022.4.25收11740.05 作为J4277 4278 4279定金</t>
        </r>
      </text>
    </comment>
    <comment ref="Q533" authorId="0">
      <text>
        <r>
          <rPr>
            <b/>
            <sz val="9"/>
            <rFont val="宋体"/>
            <charset val="134"/>
          </rPr>
          <t>Administrator:</t>
        </r>
        <r>
          <rPr>
            <sz val="9"/>
            <rFont val="宋体"/>
            <charset val="134"/>
          </rPr>
          <t xml:space="preserve">
2022.4.20收</t>
        </r>
      </text>
    </comment>
    <comment ref="T533" authorId="0">
      <text>
        <r>
          <rPr>
            <b/>
            <sz val="9"/>
            <rFont val="宋体"/>
            <charset val="134"/>
          </rPr>
          <t>Administrator:</t>
        </r>
        <r>
          <rPr>
            <sz val="9"/>
            <rFont val="宋体"/>
            <charset val="134"/>
          </rPr>
          <t xml:space="preserve">
2022.5.26付款
含3825运费</t>
        </r>
      </text>
    </comment>
    <comment ref="Q535" authorId="0">
      <text>
        <r>
          <rPr>
            <b/>
            <sz val="9"/>
            <rFont val="宋体"/>
            <charset val="134"/>
          </rPr>
          <t>Administrator:</t>
        </r>
        <r>
          <rPr>
            <sz val="9"/>
            <rFont val="宋体"/>
            <charset val="134"/>
          </rPr>
          <t xml:space="preserve">
2022.4.29收4792水单5千 1571用于J4823 3429用于J4236
</t>
        </r>
      </text>
    </comment>
    <comment ref="Q536" authorId="0">
      <text>
        <r>
          <rPr>
            <b/>
            <sz val="9"/>
            <rFont val="宋体"/>
            <charset val="134"/>
          </rPr>
          <t>Administrator:</t>
        </r>
        <r>
          <rPr>
            <sz val="9"/>
            <rFont val="宋体"/>
            <charset val="134"/>
          </rPr>
          <t xml:space="preserve">
2022.5.5收14200</t>
        </r>
      </text>
    </comment>
    <comment ref="Q537" authorId="0">
      <text>
        <r>
          <rPr>
            <b/>
            <sz val="9"/>
            <rFont val="宋体"/>
            <charset val="134"/>
          </rPr>
          <t>Administrator:</t>
        </r>
        <r>
          <rPr>
            <sz val="9"/>
            <rFont val="宋体"/>
            <charset val="134"/>
          </rPr>
          <t xml:space="preserve">
2022.5.5收5856.36</t>
        </r>
      </text>
    </comment>
    <comment ref="Q538" authorId="0">
      <text>
        <r>
          <rPr>
            <b/>
            <sz val="9"/>
            <rFont val="宋体"/>
            <charset val="134"/>
          </rPr>
          <t>Administrator:</t>
        </r>
        <r>
          <rPr>
            <sz val="9"/>
            <rFont val="宋体"/>
            <charset val="134"/>
          </rPr>
          <t xml:space="preserve">
2022.5.6收11172.41作为J4288 4289定金</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2022.5.18收20000</t>
        </r>
      </text>
    </comment>
    <comment ref="Q542" authorId="0">
      <text>
        <r>
          <rPr>
            <b/>
            <sz val="9"/>
            <rFont val="宋体"/>
            <charset val="134"/>
          </rPr>
          <t>Administrator:</t>
        </r>
        <r>
          <rPr>
            <sz val="9"/>
            <rFont val="宋体"/>
            <charset val="134"/>
          </rPr>
          <t xml:space="preserve">
2022.5.31收36626</t>
        </r>
      </text>
    </comment>
    <comment ref="Q543" authorId="0">
      <text>
        <r>
          <rPr>
            <b/>
            <sz val="9"/>
            <rFont val="宋体"/>
            <charset val="134"/>
          </rPr>
          <t>Administrator:</t>
        </r>
        <r>
          <rPr>
            <sz val="9"/>
            <rFont val="宋体"/>
            <charset val="134"/>
          </rPr>
          <t xml:space="preserve">
2022.5.28收7993.6</t>
        </r>
      </text>
    </comment>
    <comment ref="Q547" authorId="0">
      <text>
        <r>
          <rPr>
            <b/>
            <sz val="9"/>
            <rFont val="宋体"/>
            <charset val="134"/>
          </rPr>
          <t>Administrator:</t>
        </r>
        <r>
          <rPr>
            <sz val="9"/>
            <rFont val="宋体"/>
            <charset val="134"/>
          </rPr>
          <t xml:space="preserve">
2022.6.1收9400</t>
        </r>
      </text>
    </comment>
    <comment ref="Q548" authorId="0">
      <text>
        <r>
          <rPr>
            <b/>
            <sz val="9"/>
            <rFont val="宋体"/>
            <charset val="134"/>
          </rPr>
          <t>Administrator:</t>
        </r>
        <r>
          <rPr>
            <sz val="9"/>
            <rFont val="宋体"/>
            <charset val="134"/>
          </rPr>
          <t xml:space="preserve">
2022.6.6收7525</t>
        </r>
      </text>
    </comment>
    <comment ref="P549"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T554" authorId="0">
      <text>
        <r>
          <rPr>
            <b/>
            <sz val="9"/>
            <rFont val="宋体"/>
            <charset val="134"/>
          </rPr>
          <t>Administrator:</t>
        </r>
        <r>
          <rPr>
            <sz val="9"/>
            <rFont val="宋体"/>
            <charset val="134"/>
          </rPr>
          <t xml:space="preserve">
19.12.17 J3552+X3558 应付4480.5+3034.84共收到7473.50</t>
        </r>
      </text>
    </comment>
    <comment ref="T559" authorId="0">
      <text>
        <r>
          <rPr>
            <b/>
            <sz val="9"/>
            <rFont val="宋体"/>
            <charset val="134"/>
          </rPr>
          <t>Administrator:</t>
        </r>
        <r>
          <rPr>
            <sz val="9"/>
            <rFont val="宋体"/>
            <charset val="134"/>
          </rPr>
          <t xml:space="preserve">
手续费134</t>
        </r>
      </text>
    </comment>
    <comment ref="Q561" authorId="0">
      <text>
        <r>
          <rPr>
            <b/>
            <sz val="9"/>
            <rFont val="宋体"/>
            <charset val="134"/>
          </rPr>
          <t>Administrator:</t>
        </r>
        <r>
          <rPr>
            <sz val="9"/>
            <rFont val="宋体"/>
            <charset val="134"/>
          </rPr>
          <t xml:space="preserve">
实收13151</t>
        </r>
      </text>
    </comment>
    <comment ref="T561" authorId="0">
      <text>
        <r>
          <rPr>
            <b/>
            <sz val="9"/>
            <rFont val="宋体"/>
            <charset val="134"/>
          </rPr>
          <t>Administrator:</t>
        </r>
        <r>
          <rPr>
            <sz val="9"/>
            <rFont val="宋体"/>
            <charset val="134"/>
          </rPr>
          <t xml:space="preserve">
应付32962.79</t>
        </r>
      </text>
    </comment>
    <comment ref="T562" authorId="0">
      <text>
        <r>
          <rPr>
            <b/>
            <sz val="9"/>
            <rFont val="宋体"/>
            <charset val="134"/>
          </rPr>
          <t xml:space="preserve">Administrator
</t>
        </r>
        <r>
          <rPr>
            <sz val="9"/>
            <rFont val="宋体"/>
            <charset val="134"/>
          </rPr>
          <t>手续费166</t>
        </r>
      </text>
    </comment>
    <comment ref="T563" authorId="0">
      <text>
        <r>
          <rPr>
            <b/>
            <sz val="9"/>
            <rFont val="宋体"/>
            <charset val="134"/>
          </rPr>
          <t>Administrator:</t>
        </r>
        <r>
          <rPr>
            <sz val="9"/>
            <rFont val="宋体"/>
            <charset val="134"/>
          </rPr>
          <t xml:space="preserve">
2020.4.1收到
银行托收手续费201美金</t>
        </r>
      </text>
    </comment>
    <comment ref="Q564" authorId="0">
      <text>
        <r>
          <rPr>
            <b/>
            <sz val="9"/>
            <rFont val="宋体"/>
            <charset val="134"/>
          </rPr>
          <t>Administrator:</t>
        </r>
        <r>
          <rPr>
            <sz val="9"/>
            <rFont val="宋体"/>
            <charset val="134"/>
          </rPr>
          <t xml:space="preserve">
付了13111收到13047.69</t>
        </r>
      </text>
    </comment>
    <comment ref="Q565" authorId="0">
      <text>
        <r>
          <rPr>
            <b/>
            <sz val="9"/>
            <rFont val="宋体"/>
            <charset val="134"/>
          </rPr>
          <t>Administrator:</t>
        </r>
        <r>
          <rPr>
            <sz val="9"/>
            <rFont val="宋体"/>
            <charset val="134"/>
          </rPr>
          <t xml:space="preserve">
2019.11.26 实收5075.5</t>
        </r>
      </text>
    </comment>
    <comment ref="T565" authorId="0">
      <text>
        <r>
          <rPr>
            <b/>
            <sz val="9"/>
            <rFont val="宋体"/>
            <charset val="134"/>
          </rPr>
          <t>Administrator:</t>
        </r>
        <r>
          <rPr>
            <sz val="9"/>
            <rFont val="宋体"/>
            <charset val="134"/>
          </rPr>
          <t xml:space="preserve">
X3634-1 -2共收到33897美金</t>
        </r>
      </text>
    </comment>
    <comment ref="Q566" authorId="0">
      <text>
        <r>
          <rPr>
            <b/>
            <sz val="9"/>
            <rFont val="宋体"/>
            <charset val="134"/>
          </rPr>
          <t>Administrator:</t>
        </r>
        <r>
          <rPr>
            <sz val="9"/>
            <rFont val="宋体"/>
            <charset val="134"/>
          </rPr>
          <t xml:space="preserve">
2019.11.26 实收5075.5  -1和-2共收10151</t>
        </r>
      </text>
    </comment>
    <comment ref="T566" authorId="0">
      <text>
        <r>
          <rPr>
            <b/>
            <sz val="9"/>
            <rFont val="宋体"/>
            <charset val="134"/>
          </rPr>
          <t>Administrator:</t>
        </r>
        <r>
          <rPr>
            <sz val="9"/>
            <rFont val="宋体"/>
            <charset val="134"/>
          </rPr>
          <t xml:space="preserve">
X3634-1 -2共收到33897美金
</t>
        </r>
      </text>
    </comment>
    <comment ref="Q570" authorId="0">
      <text>
        <r>
          <rPr>
            <b/>
            <sz val="9"/>
            <rFont val="宋体"/>
            <charset val="134"/>
          </rPr>
          <t>Administrator:</t>
        </r>
        <r>
          <rPr>
            <sz val="9"/>
            <rFont val="宋体"/>
            <charset val="134"/>
          </rPr>
          <t xml:space="preserve">
2020.1.3 实收3446.65</t>
        </r>
      </text>
    </comment>
    <comment ref="T570" authorId="0">
      <text>
        <r>
          <rPr>
            <b/>
            <sz val="9"/>
            <rFont val="宋体"/>
            <charset val="134"/>
          </rPr>
          <t>Administrator:</t>
        </r>
        <r>
          <rPr>
            <sz val="9"/>
            <rFont val="宋体"/>
            <charset val="134"/>
          </rPr>
          <t xml:space="preserve">
2020.4.17收</t>
        </r>
      </text>
    </comment>
    <comment ref="T571" authorId="0">
      <text>
        <r>
          <rPr>
            <b/>
            <sz val="9"/>
            <rFont val="宋体"/>
            <charset val="134"/>
          </rPr>
          <t>Administrator:</t>
        </r>
        <r>
          <rPr>
            <sz val="9"/>
            <rFont val="宋体"/>
            <charset val="134"/>
          </rPr>
          <t xml:space="preserve">
2020.5.15收</t>
        </r>
      </text>
    </comment>
    <comment ref="Q572" authorId="0">
      <text>
        <r>
          <rPr>
            <b/>
            <sz val="9"/>
            <rFont val="宋体"/>
            <charset val="134"/>
          </rPr>
          <t>Administrator:</t>
        </r>
        <r>
          <rPr>
            <sz val="9"/>
            <rFont val="宋体"/>
            <charset val="134"/>
          </rPr>
          <t xml:space="preserve">
3764美金来自2020.3.16收到13925美金
2020.3.16收到9487.5美金
2020.3.10收到9930.19美金</t>
        </r>
      </text>
    </comment>
    <comment ref="Q573" authorId="0">
      <text>
        <r>
          <rPr>
            <b/>
            <sz val="9"/>
            <rFont val="宋体"/>
            <charset val="134"/>
          </rPr>
          <t>Administrator:</t>
        </r>
        <r>
          <rPr>
            <sz val="9"/>
            <rFont val="宋体"/>
            <charset val="134"/>
          </rPr>
          <t xml:space="preserve">
10161美金来自2020.3.16收到13925美金
2020.3.24日收到19936.61美金</t>
        </r>
      </text>
    </comment>
    <comment ref="Q574" authorId="0">
      <text>
        <r>
          <rPr>
            <b/>
            <sz val="9"/>
            <rFont val="宋体"/>
            <charset val="134"/>
          </rPr>
          <t xml:space="preserve">Administrator:
</t>
        </r>
        <r>
          <rPr>
            <sz val="9"/>
            <rFont val="宋体"/>
            <charset val="134"/>
          </rPr>
          <t>水单10250美金2020.5.4 收$10204.61</t>
        </r>
      </text>
    </comment>
    <comment ref="T574" authorId="0">
      <text>
        <r>
          <rPr>
            <b/>
            <sz val="9"/>
            <rFont val="宋体"/>
            <charset val="134"/>
          </rPr>
          <t>Administrator:</t>
        </r>
        <r>
          <rPr>
            <sz val="9"/>
            <rFont val="宋体"/>
            <charset val="134"/>
          </rPr>
          <t xml:space="preserve">
2020.7.9收</t>
        </r>
      </text>
    </comment>
    <comment ref="Q579" authorId="0">
      <text>
        <r>
          <rPr>
            <b/>
            <sz val="9"/>
            <rFont val="宋体"/>
            <charset val="134"/>
          </rPr>
          <t>Administrator:</t>
        </r>
        <r>
          <rPr>
            <sz val="9"/>
            <rFont val="宋体"/>
            <charset val="134"/>
          </rPr>
          <t xml:space="preserve">
2020.10.7收4466.6</t>
        </r>
      </text>
    </comment>
    <comment ref="T579" authorId="0">
      <text>
        <r>
          <rPr>
            <b/>
            <sz val="9"/>
            <rFont val="宋体"/>
            <charset val="134"/>
          </rPr>
          <t>Administrator:</t>
        </r>
        <r>
          <rPr>
            <sz val="9"/>
            <rFont val="宋体"/>
            <charset val="134"/>
          </rPr>
          <t xml:space="preserve">
2020.11.27收14547美金</t>
        </r>
      </text>
    </comment>
    <comment ref="Q581" authorId="0">
      <text>
        <r>
          <rPr>
            <b/>
            <sz val="9"/>
            <rFont val="宋体"/>
            <charset val="134"/>
          </rPr>
          <t>Administrator:</t>
        </r>
        <r>
          <rPr>
            <sz val="9"/>
            <rFont val="宋体"/>
            <charset val="134"/>
          </rPr>
          <t xml:space="preserve">
2020.11.4收9981
2020.12.3收7981.61</t>
        </r>
      </text>
    </comment>
    <comment ref="T581" authorId="0">
      <text>
        <r>
          <rPr>
            <b/>
            <sz val="9"/>
            <rFont val="宋体"/>
            <charset val="134"/>
          </rPr>
          <t>Administrator:</t>
        </r>
        <r>
          <rPr>
            <sz val="9"/>
            <rFont val="宋体"/>
            <charset val="134"/>
          </rPr>
          <t xml:space="preserve">
2021.2.10收
2021.3.23收9966.62</t>
        </r>
      </text>
    </comment>
    <comment ref="U581" authorId="0">
      <text>
        <r>
          <rPr>
            <b/>
            <sz val="9"/>
            <rFont val="宋体"/>
            <charset val="134"/>
          </rPr>
          <t>Administrator:</t>
        </r>
        <r>
          <rPr>
            <sz val="9"/>
            <rFont val="宋体"/>
            <charset val="134"/>
          </rPr>
          <t xml:space="preserve">
2021.3.26收</t>
        </r>
      </text>
    </comment>
    <comment ref="Q582" authorId="0">
      <text>
        <r>
          <rPr>
            <b/>
            <sz val="9"/>
            <rFont val="宋体"/>
            <charset val="134"/>
          </rPr>
          <t>Administrator:</t>
        </r>
        <r>
          <rPr>
            <sz val="9"/>
            <rFont val="宋体"/>
            <charset val="134"/>
          </rPr>
          <t xml:space="preserve">
2020.12.1收2123</t>
        </r>
      </text>
    </comment>
    <comment ref="T582" authorId="0">
      <text>
        <r>
          <rPr>
            <b/>
            <sz val="9"/>
            <rFont val="宋体"/>
            <charset val="134"/>
          </rPr>
          <t>Administrator:</t>
        </r>
        <r>
          <rPr>
            <sz val="9"/>
            <rFont val="宋体"/>
            <charset val="134"/>
          </rPr>
          <t xml:space="preserve">
2021.1.8收5096.61</t>
        </r>
      </text>
    </comment>
    <comment ref="Q586" authorId="0">
      <text>
        <r>
          <rPr>
            <b/>
            <sz val="9"/>
            <rFont val="宋体"/>
            <charset val="134"/>
          </rPr>
          <t>Administrator:</t>
        </r>
        <r>
          <rPr>
            <sz val="9"/>
            <rFont val="宋体"/>
            <charset val="134"/>
          </rPr>
          <t xml:space="preserve">
2021.3.4收
折合美金3542</t>
        </r>
      </text>
    </comment>
    <comment ref="T586" authorId="0">
      <text>
        <r>
          <rPr>
            <b/>
            <sz val="9"/>
            <rFont val="宋体"/>
            <charset val="134"/>
          </rPr>
          <t>Administrator:</t>
        </r>
        <r>
          <rPr>
            <sz val="9"/>
            <rFont val="宋体"/>
            <charset val="134"/>
          </rPr>
          <t xml:space="preserve">
2021.5.2收11482.1</t>
        </r>
      </text>
    </comment>
    <comment ref="Q587" authorId="0">
      <text>
        <r>
          <rPr>
            <b/>
            <sz val="9"/>
            <rFont val="宋体"/>
            <charset val="134"/>
          </rPr>
          <t>Administrator:</t>
        </r>
        <r>
          <rPr>
            <sz val="9"/>
            <rFont val="宋体"/>
            <charset val="134"/>
          </rPr>
          <t xml:space="preserve">
2021.3.11收14958</t>
        </r>
      </text>
    </comment>
    <comment ref="T587" authorId="0">
      <text>
        <r>
          <rPr>
            <b/>
            <sz val="9"/>
            <rFont val="宋体"/>
            <charset val="134"/>
          </rPr>
          <t>Administrator:</t>
        </r>
        <r>
          <rPr>
            <sz val="9"/>
            <rFont val="宋体"/>
            <charset val="134"/>
          </rPr>
          <t xml:space="preserve">
2021.5.26收36503.45</t>
        </r>
      </text>
    </comment>
    <comment ref="Q588"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8" authorId="0">
      <text>
        <r>
          <rPr>
            <b/>
            <sz val="9"/>
            <rFont val="宋体"/>
            <charset val="134"/>
          </rPr>
          <t>Administrator:</t>
        </r>
        <r>
          <rPr>
            <sz val="9"/>
            <rFont val="宋体"/>
            <charset val="134"/>
          </rPr>
          <t xml:space="preserve">
2021.8.20收5800  X4004+X4053尾款</t>
        </r>
      </text>
    </comment>
    <comment ref="Q589" authorId="0">
      <text>
        <r>
          <rPr>
            <b/>
            <sz val="9"/>
            <rFont val="宋体"/>
            <charset val="134"/>
          </rPr>
          <t>Administrator:</t>
        </r>
        <r>
          <rPr>
            <sz val="9"/>
            <rFont val="宋体"/>
            <charset val="134"/>
          </rPr>
          <t xml:space="preserve">
2021.4.16收17251.62</t>
        </r>
      </text>
    </comment>
    <comment ref="T589" authorId="0">
      <text>
        <r>
          <rPr>
            <b/>
            <sz val="9"/>
            <rFont val="宋体"/>
            <charset val="134"/>
          </rPr>
          <t>Administrator:</t>
        </r>
        <r>
          <rPr>
            <sz val="9"/>
            <rFont val="宋体"/>
            <charset val="134"/>
          </rPr>
          <t xml:space="preserve">
2021.6.16收40251.62</t>
        </r>
      </text>
    </comment>
    <comment ref="Q591" authorId="0">
      <text>
        <r>
          <rPr>
            <b/>
            <sz val="9"/>
            <rFont val="宋体"/>
            <charset val="134"/>
          </rPr>
          <t>Administrator:</t>
        </r>
        <r>
          <rPr>
            <sz val="9"/>
            <rFont val="宋体"/>
            <charset val="134"/>
          </rPr>
          <t xml:space="preserve">
2021.4.21收6948.62</t>
        </r>
      </text>
    </comment>
    <comment ref="T591" authorId="0">
      <text>
        <r>
          <rPr>
            <b/>
            <sz val="9"/>
            <rFont val="宋体"/>
            <charset val="134"/>
          </rPr>
          <t>Administrator:</t>
        </r>
        <r>
          <rPr>
            <sz val="9"/>
            <rFont val="宋体"/>
            <charset val="134"/>
          </rPr>
          <t xml:space="preserve">
2021.7.21收16225.62</t>
        </r>
      </text>
    </comment>
    <comment ref="T592" authorId="0">
      <text>
        <r>
          <rPr>
            <b/>
            <sz val="9"/>
            <rFont val="宋体"/>
            <charset val="134"/>
          </rPr>
          <t>Administrator:</t>
        </r>
        <r>
          <rPr>
            <sz val="9"/>
            <rFont val="宋体"/>
            <charset val="134"/>
          </rPr>
          <t xml:space="preserve">
2021.7.12收15832</t>
        </r>
      </text>
    </comment>
    <comment ref="U592" authorId="0">
      <text>
        <r>
          <rPr>
            <b/>
            <sz val="9"/>
            <rFont val="宋体"/>
            <charset val="134"/>
          </rPr>
          <t>Administrator:</t>
        </r>
        <r>
          <rPr>
            <sz val="9"/>
            <rFont val="宋体"/>
            <charset val="134"/>
          </rPr>
          <t xml:space="preserve">
2021.7.28收</t>
        </r>
      </text>
    </comment>
    <comment ref="Q593" authorId="0">
      <text>
        <r>
          <rPr>
            <b/>
            <sz val="9"/>
            <rFont val="宋体"/>
            <charset val="134"/>
          </rPr>
          <t>Administrator:</t>
        </r>
        <r>
          <rPr>
            <sz val="9"/>
            <rFont val="宋体"/>
            <charset val="134"/>
          </rPr>
          <t xml:space="preserve">
X4215尾款付一万美金 剩下5140.36</t>
        </r>
      </text>
    </comment>
    <comment ref="Q594" authorId="0">
      <text>
        <r>
          <rPr>
            <b/>
            <sz val="9"/>
            <rFont val="宋体"/>
            <charset val="134"/>
          </rPr>
          <t>Administrator:</t>
        </r>
        <r>
          <rPr>
            <sz val="9"/>
            <rFont val="宋体"/>
            <charset val="134"/>
          </rPr>
          <t xml:space="preserve">
2021.5.27收9966.62</t>
        </r>
      </text>
    </comment>
    <comment ref="T594" authorId="0">
      <text>
        <r>
          <rPr>
            <b/>
            <sz val="9"/>
            <rFont val="宋体"/>
            <charset val="134"/>
          </rPr>
          <t>Administrator:</t>
        </r>
        <r>
          <rPr>
            <sz val="9"/>
            <rFont val="宋体"/>
            <charset val="134"/>
          </rPr>
          <t xml:space="preserve">
2021.8.13收9966.64</t>
        </r>
      </text>
    </comment>
    <comment ref="U594" authorId="0">
      <text>
        <r>
          <rPr>
            <b/>
            <sz val="9"/>
            <rFont val="宋体"/>
            <charset val="134"/>
          </rPr>
          <t>Administrator:</t>
        </r>
        <r>
          <rPr>
            <sz val="9"/>
            <rFont val="宋体"/>
            <charset val="134"/>
          </rPr>
          <t xml:space="preserve">
2021.8.20收</t>
        </r>
      </text>
    </comment>
    <comment ref="T597" authorId="0">
      <text>
        <r>
          <rPr>
            <b/>
            <sz val="9"/>
            <rFont val="宋体"/>
            <charset val="134"/>
          </rPr>
          <t>Administrator:</t>
        </r>
        <r>
          <rPr>
            <sz val="9"/>
            <rFont val="宋体"/>
            <charset val="134"/>
          </rPr>
          <t xml:space="preserve">
2021.9.2收19512.77</t>
        </r>
      </text>
    </comment>
    <comment ref="Q598" authorId="0">
      <text>
        <r>
          <rPr>
            <b/>
            <sz val="9"/>
            <rFont val="宋体"/>
            <charset val="134"/>
          </rPr>
          <t>Administrator:</t>
        </r>
        <r>
          <rPr>
            <sz val="9"/>
            <rFont val="宋体"/>
            <charset val="134"/>
          </rPr>
          <t xml:space="preserve">
2021.8.25收7921.64</t>
        </r>
      </text>
    </comment>
    <comment ref="T598" authorId="0">
      <text>
        <r>
          <rPr>
            <b/>
            <sz val="9"/>
            <rFont val="宋体"/>
            <charset val="134"/>
          </rPr>
          <t>Administrator:</t>
        </r>
        <r>
          <rPr>
            <sz val="9"/>
            <rFont val="宋体"/>
            <charset val="134"/>
          </rPr>
          <t xml:space="preserve">
2021.10.19收22225.45</t>
        </r>
      </text>
    </comment>
    <comment ref="Q602" authorId="0">
      <text>
        <r>
          <rPr>
            <b/>
            <sz val="9"/>
            <rFont val="宋体"/>
            <charset val="134"/>
          </rPr>
          <t>Administrator:</t>
        </r>
        <r>
          <rPr>
            <sz val="9"/>
            <rFont val="宋体"/>
            <charset val="134"/>
          </rPr>
          <t xml:space="preserve">
2022.4.21收9455.7</t>
        </r>
      </text>
    </comment>
    <comment ref="Q603" authorId="0">
      <text>
        <r>
          <rPr>
            <b/>
            <sz val="9"/>
            <rFont val="宋体"/>
            <charset val="134"/>
          </rPr>
          <t>Administrator:</t>
        </r>
        <r>
          <rPr>
            <sz val="9"/>
            <rFont val="宋体"/>
            <charset val="134"/>
          </rPr>
          <t xml:space="preserve">
2022.4.28收9976.71</t>
        </r>
      </text>
    </comment>
    <comment ref="T603" authorId="0">
      <text>
        <r>
          <rPr>
            <b/>
            <sz val="9"/>
            <rFont val="宋体"/>
            <charset val="134"/>
          </rPr>
          <t>Administrator:</t>
        </r>
        <r>
          <rPr>
            <sz val="9"/>
            <rFont val="宋体"/>
            <charset val="134"/>
          </rPr>
          <t xml:space="preserve">
2022.5.26收9966.71</t>
        </r>
      </text>
    </comment>
    <comment ref="U603" authorId="0">
      <text>
        <r>
          <rPr>
            <b/>
            <sz val="9"/>
            <rFont val="宋体"/>
            <charset val="134"/>
          </rPr>
          <t>Administrator:</t>
        </r>
        <r>
          <rPr>
            <sz val="9"/>
            <rFont val="宋体"/>
            <charset val="134"/>
          </rPr>
          <t xml:space="preserve">
2022.6.7收9966.7</t>
        </r>
      </text>
    </comment>
    <comment ref="Q607" authorId="0">
      <text>
        <r>
          <rPr>
            <b/>
            <sz val="9"/>
            <rFont val="宋体"/>
            <charset val="134"/>
          </rPr>
          <t>Administrator:</t>
        </r>
        <r>
          <rPr>
            <sz val="9"/>
            <rFont val="宋体"/>
            <charset val="134"/>
          </rPr>
          <t xml:space="preserve">
18.7.13</t>
        </r>
      </text>
    </comment>
    <comment ref="Q608" authorId="0">
      <text>
        <r>
          <rPr>
            <b/>
            <sz val="9"/>
            <rFont val="宋体"/>
            <charset val="134"/>
          </rPr>
          <t>Administrator:</t>
        </r>
        <r>
          <rPr>
            <sz val="9"/>
            <rFont val="宋体"/>
            <charset val="134"/>
          </rPr>
          <t xml:space="preserve">
18.7.13</t>
        </r>
      </text>
    </comment>
    <comment ref="Q609" authorId="0">
      <text>
        <r>
          <rPr>
            <b/>
            <sz val="9"/>
            <rFont val="宋体"/>
            <charset val="134"/>
          </rPr>
          <t>Administrator:</t>
        </r>
        <r>
          <rPr>
            <sz val="9"/>
            <rFont val="宋体"/>
            <charset val="134"/>
          </rPr>
          <t xml:space="preserve">
18.7.13</t>
        </r>
      </text>
    </comment>
    <comment ref="Q610" authorId="0">
      <text>
        <r>
          <rPr>
            <b/>
            <sz val="9"/>
            <rFont val="宋体"/>
            <charset val="134"/>
          </rPr>
          <t>Administrator:</t>
        </r>
        <r>
          <rPr>
            <sz val="9"/>
            <rFont val="宋体"/>
            <charset val="134"/>
          </rPr>
          <t xml:space="preserve">
18.7.20</t>
        </r>
      </text>
    </comment>
    <comment ref="Q611" authorId="0">
      <text>
        <r>
          <rPr>
            <b/>
            <sz val="9"/>
            <rFont val="宋体"/>
            <charset val="134"/>
          </rPr>
          <t>Administrator:</t>
        </r>
        <r>
          <rPr>
            <sz val="9"/>
            <rFont val="宋体"/>
            <charset val="134"/>
          </rPr>
          <t xml:space="preserve">
18.7.20</t>
        </r>
      </text>
    </comment>
    <comment ref="Q612" authorId="0">
      <text>
        <r>
          <rPr>
            <b/>
            <sz val="9"/>
            <rFont val="宋体"/>
            <charset val="134"/>
          </rPr>
          <t>Administrator:</t>
        </r>
        <r>
          <rPr>
            <sz val="9"/>
            <rFont val="宋体"/>
            <charset val="134"/>
          </rPr>
          <t xml:space="preserve">
18.8.1</t>
        </r>
      </text>
    </comment>
    <comment ref="Q613" authorId="0">
      <text>
        <r>
          <rPr>
            <b/>
            <sz val="9"/>
            <rFont val="宋体"/>
            <charset val="134"/>
          </rPr>
          <t>Administrator:</t>
        </r>
        <r>
          <rPr>
            <sz val="9"/>
            <rFont val="宋体"/>
            <charset val="134"/>
          </rPr>
          <t xml:space="preserve">
18.8.1</t>
        </r>
      </text>
    </comment>
    <comment ref="Q614" authorId="0">
      <text>
        <r>
          <rPr>
            <b/>
            <sz val="9"/>
            <rFont val="宋体"/>
            <charset val="134"/>
          </rPr>
          <t>Administrator:</t>
        </r>
        <r>
          <rPr>
            <sz val="9"/>
            <rFont val="宋体"/>
            <charset val="134"/>
          </rPr>
          <t xml:space="preserve">
18.8.1</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18.8.1  3.6</t>
        </r>
      </text>
    </comment>
    <comment ref="Q617" authorId="0">
      <text>
        <r>
          <rPr>
            <b/>
            <sz val="9"/>
            <rFont val="宋体"/>
            <charset val="134"/>
          </rPr>
          <t>Administrator:</t>
        </r>
        <r>
          <rPr>
            <sz val="9"/>
            <rFont val="宋体"/>
            <charset val="134"/>
          </rPr>
          <t xml:space="preserve">
18.8.2 RMB 5000</t>
        </r>
      </text>
    </comment>
    <comment ref="R617" authorId="0">
      <text>
        <r>
          <rPr>
            <b/>
            <sz val="9"/>
            <rFont val="宋体"/>
            <charset val="134"/>
          </rPr>
          <t>Administrator:</t>
        </r>
        <r>
          <rPr>
            <sz val="9"/>
            <rFont val="宋体"/>
            <charset val="134"/>
          </rPr>
          <t xml:space="preserve">
王总农行18.8.2</t>
        </r>
      </text>
    </comment>
    <comment ref="U617" authorId="0">
      <text>
        <r>
          <rPr>
            <b/>
            <sz val="9"/>
            <rFont val="宋体"/>
            <charset val="134"/>
          </rPr>
          <t>Administrator:</t>
        </r>
        <r>
          <rPr>
            <sz val="9"/>
            <rFont val="宋体"/>
            <charset val="134"/>
          </rPr>
          <t xml:space="preserve">
王总农行18.8.2</t>
        </r>
      </text>
    </comment>
    <comment ref="Q618" authorId="0">
      <text>
        <r>
          <rPr>
            <b/>
            <sz val="9"/>
            <rFont val="宋体"/>
            <charset val="134"/>
          </rPr>
          <t>Administrator:</t>
        </r>
        <r>
          <rPr>
            <sz val="9"/>
            <rFont val="宋体"/>
            <charset val="134"/>
          </rPr>
          <t xml:space="preserve">
18.9.3 从19000 另6334分到J3308-2</t>
        </r>
      </text>
    </comment>
    <comment ref="Q619" authorId="0">
      <text>
        <r>
          <rPr>
            <b/>
            <sz val="9"/>
            <rFont val="宋体"/>
            <charset val="134"/>
          </rPr>
          <t>Administrator:</t>
        </r>
        <r>
          <rPr>
            <sz val="9"/>
            <rFont val="宋体"/>
            <charset val="134"/>
          </rPr>
          <t xml:space="preserve">
18.9.3 从19000
</t>
        </r>
      </text>
    </comment>
    <comment ref="Q620" authorId="0">
      <text>
        <r>
          <rPr>
            <b/>
            <sz val="9"/>
            <rFont val="宋体"/>
            <charset val="134"/>
          </rPr>
          <t>Administrator:</t>
        </r>
        <r>
          <rPr>
            <sz val="9"/>
            <rFont val="宋体"/>
            <charset val="134"/>
          </rPr>
          <t xml:space="preserve">
固定定金JK-2703这个订单当时多付了$4000.</t>
        </r>
      </text>
    </comment>
    <comment ref="Q621" authorId="0">
      <text>
        <r>
          <rPr>
            <b/>
            <sz val="9"/>
            <rFont val="宋体"/>
            <charset val="134"/>
          </rPr>
          <t>Administrator:</t>
        </r>
        <r>
          <rPr>
            <sz val="9"/>
            <rFont val="宋体"/>
            <charset val="134"/>
          </rPr>
          <t xml:space="preserve">
18.9.11</t>
        </r>
      </text>
    </comment>
    <comment ref="Q622" authorId="0">
      <text>
        <r>
          <rPr>
            <b/>
            <sz val="9"/>
            <rFont val="宋体"/>
            <charset val="134"/>
          </rPr>
          <t>Administrator:</t>
        </r>
        <r>
          <rPr>
            <sz val="9"/>
            <rFont val="宋体"/>
            <charset val="134"/>
          </rPr>
          <t xml:space="preserve">
18.9.25</t>
        </r>
      </text>
    </comment>
    <comment ref="Q623" authorId="0">
      <text>
        <r>
          <rPr>
            <b/>
            <sz val="9"/>
            <rFont val="宋体"/>
            <charset val="134"/>
          </rPr>
          <t>Administrator:</t>
        </r>
        <r>
          <rPr>
            <sz val="9"/>
            <rFont val="宋体"/>
            <charset val="134"/>
          </rPr>
          <t xml:space="preserve">
18.9.17 从水单USD13500中分9000 另4500分到X3321
</t>
        </r>
      </text>
    </comment>
    <comment ref="R624" authorId="0">
      <text>
        <r>
          <rPr>
            <b/>
            <sz val="9"/>
            <rFont val="宋体"/>
            <charset val="134"/>
          </rPr>
          <t>Administrator:</t>
        </r>
        <r>
          <rPr>
            <sz val="9"/>
            <rFont val="宋体"/>
            <charset val="134"/>
          </rPr>
          <t xml:space="preserve">
2018.12.28</t>
        </r>
      </text>
    </comment>
    <comment ref="T624" authorId="0">
      <text>
        <r>
          <rPr>
            <b/>
            <sz val="9"/>
            <rFont val="宋体"/>
            <charset val="134"/>
          </rPr>
          <t>Administrator:</t>
        </r>
        <r>
          <rPr>
            <sz val="9"/>
            <rFont val="宋体"/>
            <charset val="134"/>
          </rPr>
          <t xml:space="preserve">
2018.12.28</t>
        </r>
      </text>
    </comment>
    <comment ref="U624" authorId="0">
      <text>
        <r>
          <rPr>
            <b/>
            <sz val="9"/>
            <rFont val="宋体"/>
            <charset val="134"/>
          </rPr>
          <t>Administrator:</t>
        </r>
        <r>
          <rPr>
            <sz val="9"/>
            <rFont val="宋体"/>
            <charset val="134"/>
          </rPr>
          <t xml:space="preserve">
2018.12.28</t>
        </r>
      </text>
    </comment>
    <comment ref="Q625" authorId="1">
      <text>
        <r>
          <rPr>
            <b/>
            <sz val="11"/>
            <rFont val="MS PGothic"/>
            <charset val="134"/>
          </rPr>
          <t>Microsoft Office 用户:</t>
        </r>
        <r>
          <rPr>
            <sz val="11"/>
            <rFont val="MS PGothic"/>
            <charset val="134"/>
          </rPr>
          <t xml:space="preserve">
2018.9.25</t>
        </r>
      </text>
    </comment>
    <comment ref="Q626" authorId="1">
      <text>
        <r>
          <rPr>
            <b/>
            <sz val="11"/>
            <rFont val="MS PGothic"/>
            <charset val="134"/>
          </rPr>
          <t>Microsoft Office 用户:</t>
        </r>
        <r>
          <rPr>
            <sz val="11"/>
            <rFont val="MS PGothic"/>
            <charset val="134"/>
          </rPr>
          <t xml:space="preserve">
10.8 from USD19000
</t>
        </r>
      </text>
    </comment>
    <comment ref="Q627" authorId="1">
      <text>
        <r>
          <rPr>
            <b/>
            <sz val="11"/>
            <rFont val="MS PGothic"/>
            <charset val="134"/>
          </rPr>
          <t>Microsoft Office 用户:</t>
        </r>
        <r>
          <rPr>
            <sz val="11"/>
            <rFont val="MS PGothic"/>
            <charset val="134"/>
          </rPr>
          <t xml:space="preserve">
10.8 from USD19000. 
</t>
        </r>
      </text>
    </comment>
    <comment ref="Q628" authorId="1">
      <text>
        <r>
          <rPr>
            <b/>
            <sz val="11"/>
            <rFont val="MS PGothic"/>
            <charset val="134"/>
          </rPr>
          <t>Microsoft Office 用户:</t>
        </r>
        <r>
          <rPr>
            <sz val="11"/>
            <rFont val="MS PGothic"/>
            <charset val="134"/>
          </rPr>
          <t xml:space="preserve">
10.8 从 USD37818</t>
        </r>
      </text>
    </comment>
    <comment ref="Q634" authorId="0">
      <text>
        <r>
          <rPr>
            <b/>
            <sz val="9"/>
            <rFont val="宋体"/>
            <charset val="134"/>
          </rPr>
          <t>Administrator:</t>
        </r>
        <r>
          <rPr>
            <sz val="9"/>
            <rFont val="宋体"/>
            <charset val="134"/>
          </rPr>
          <t xml:space="preserve">
打了18000+20000</t>
        </r>
      </text>
    </comment>
    <comment ref="Q639" authorId="0">
      <text>
        <r>
          <rPr>
            <b/>
            <sz val="9"/>
            <rFont val="宋体"/>
            <charset val="134"/>
          </rPr>
          <t>Administrator:</t>
        </r>
        <r>
          <rPr>
            <sz val="9"/>
            <rFont val="宋体"/>
            <charset val="134"/>
          </rPr>
          <t xml:space="preserve">
收3019</t>
        </r>
      </text>
    </comment>
    <comment ref="Q640" authorId="0">
      <text>
        <r>
          <rPr>
            <b/>
            <sz val="9"/>
            <rFont val="宋体"/>
            <charset val="134"/>
          </rPr>
          <t>Administrator:</t>
        </r>
        <r>
          <rPr>
            <sz val="9"/>
            <rFont val="宋体"/>
            <charset val="134"/>
          </rPr>
          <t xml:space="preserve">
1/3</t>
        </r>
      </text>
    </comment>
    <comment ref="Q645" authorId="0">
      <text>
        <r>
          <rPr>
            <b/>
            <sz val="9"/>
            <rFont val="宋体"/>
            <charset val="134"/>
          </rPr>
          <t>Administrator:</t>
        </r>
        <r>
          <rPr>
            <sz val="9"/>
            <rFont val="宋体"/>
            <charset val="134"/>
          </rPr>
          <t xml:space="preserve">
10443 2.20</t>
        </r>
      </text>
    </comment>
    <comment ref="T647" authorId="0">
      <text>
        <r>
          <rPr>
            <b/>
            <sz val="9"/>
            <rFont val="宋体"/>
            <charset val="134"/>
          </rPr>
          <t>Administrator:</t>
        </r>
        <r>
          <rPr>
            <sz val="9"/>
            <rFont val="宋体"/>
            <charset val="134"/>
          </rPr>
          <t xml:space="preserve">
5.14</t>
        </r>
      </text>
    </comment>
    <comment ref="Q648" authorId="0">
      <text>
        <r>
          <rPr>
            <b/>
            <sz val="9"/>
            <rFont val="宋体"/>
            <charset val="134"/>
          </rPr>
          <t>Administrator:</t>
        </r>
        <r>
          <rPr>
            <sz val="9"/>
            <rFont val="宋体"/>
            <charset val="134"/>
          </rPr>
          <t xml:space="preserve">
2.25 收到29968</t>
        </r>
      </text>
    </comment>
    <comment ref="T649" authorId="0">
      <text>
        <r>
          <rPr>
            <b/>
            <sz val="9"/>
            <rFont val="宋体"/>
            <charset val="134"/>
          </rPr>
          <t>Administrator:</t>
        </r>
        <r>
          <rPr>
            <sz val="9"/>
            <rFont val="宋体"/>
            <charset val="134"/>
          </rPr>
          <t xml:space="preserve">
5.10 付的时候少了616上单少装的</t>
        </r>
      </text>
    </comment>
    <comment ref="Q652" authorId="0">
      <text>
        <r>
          <rPr>
            <b/>
            <sz val="9"/>
            <rFont val="宋体"/>
            <charset val="134"/>
          </rPr>
          <t>Administrator:</t>
        </r>
        <r>
          <rPr>
            <sz val="9"/>
            <rFont val="宋体"/>
            <charset val="134"/>
          </rPr>
          <t xml:space="preserve">
7831  2.28</t>
        </r>
      </text>
    </comment>
    <comment ref="Q653" authorId="0">
      <text>
        <r>
          <rPr>
            <b/>
            <sz val="9"/>
            <rFont val="宋体"/>
            <charset val="134"/>
          </rPr>
          <t>Administrator:</t>
        </r>
        <r>
          <rPr>
            <sz val="9"/>
            <rFont val="宋体"/>
            <charset val="134"/>
          </rPr>
          <t xml:space="preserve">
14849  3.8</t>
        </r>
      </text>
    </comment>
    <comment ref="Q654" authorId="0">
      <text>
        <r>
          <rPr>
            <b/>
            <sz val="9"/>
            <rFont val="宋体"/>
            <charset val="134"/>
          </rPr>
          <t>Administrator:</t>
        </r>
        <r>
          <rPr>
            <sz val="9"/>
            <rFont val="宋体"/>
            <charset val="134"/>
          </rPr>
          <t xml:space="preserve">
3.22 2914</t>
        </r>
      </text>
    </comment>
    <comment ref="Q655" authorId="0">
      <text>
        <r>
          <rPr>
            <b/>
            <sz val="9"/>
            <rFont val="宋体"/>
            <charset val="134"/>
          </rPr>
          <t>Administrator:</t>
        </r>
        <r>
          <rPr>
            <sz val="9"/>
            <rFont val="宋体"/>
            <charset val="134"/>
          </rPr>
          <t xml:space="preserve">
9948 11948</t>
        </r>
      </text>
    </comment>
    <comment ref="Q656" authorId="0">
      <text>
        <r>
          <rPr>
            <b/>
            <sz val="9"/>
            <rFont val="宋体"/>
            <charset val="134"/>
          </rPr>
          <t>Administrator:</t>
        </r>
        <r>
          <rPr>
            <sz val="9"/>
            <rFont val="宋体"/>
            <charset val="134"/>
          </rPr>
          <t xml:space="preserve">
9948</t>
        </r>
      </text>
    </comment>
    <comment ref="T656" authorId="0">
      <text>
        <r>
          <rPr>
            <b/>
            <sz val="9"/>
            <rFont val="宋体"/>
            <charset val="134"/>
          </rPr>
          <t>Administrator:</t>
        </r>
        <r>
          <rPr>
            <sz val="9"/>
            <rFont val="宋体"/>
            <charset val="134"/>
          </rPr>
          <t xml:space="preserve">
3474  3473. 尾款</t>
        </r>
      </text>
    </comment>
    <comment ref="Q657" authorId="0">
      <text>
        <r>
          <rPr>
            <b/>
            <sz val="9"/>
            <rFont val="宋体"/>
            <charset val="134"/>
          </rPr>
          <t>Administrator:</t>
        </r>
        <r>
          <rPr>
            <sz val="9"/>
            <rFont val="宋体"/>
            <charset val="134"/>
          </rPr>
          <t xml:space="preserve">
10943   4.1</t>
        </r>
      </text>
    </comment>
    <comment ref="Q658" authorId="0">
      <text>
        <r>
          <rPr>
            <b/>
            <sz val="9"/>
            <rFont val="宋体"/>
            <charset val="134"/>
          </rPr>
          <t>Administrator:</t>
        </r>
        <r>
          <rPr>
            <sz val="9"/>
            <rFont val="宋体"/>
            <charset val="134"/>
          </rPr>
          <t xml:space="preserve">
4.3  4.8 </t>
        </r>
      </text>
    </comment>
    <comment ref="Q660" authorId="0">
      <text>
        <r>
          <rPr>
            <b/>
            <sz val="9"/>
            <rFont val="宋体"/>
            <charset val="134"/>
          </rPr>
          <t>Administrator:</t>
        </r>
        <r>
          <rPr>
            <sz val="9"/>
            <rFont val="宋体"/>
            <charset val="134"/>
          </rPr>
          <t xml:space="preserve">
5.8</t>
        </r>
      </text>
    </comment>
    <comment ref="Q661" authorId="0">
      <text>
        <r>
          <rPr>
            <b/>
            <sz val="9"/>
            <rFont val="宋体"/>
            <charset val="134"/>
          </rPr>
          <t>Administrator:</t>
        </r>
        <r>
          <rPr>
            <sz val="9"/>
            <rFont val="宋体"/>
            <charset val="134"/>
          </rPr>
          <t xml:space="preserve">
4.25</t>
        </r>
      </text>
    </comment>
    <comment ref="Q664" authorId="0">
      <text>
        <r>
          <rPr>
            <b/>
            <sz val="9"/>
            <rFont val="宋体"/>
            <charset val="134"/>
          </rPr>
          <t>Administrator:</t>
        </r>
        <r>
          <rPr>
            <sz val="9"/>
            <rFont val="宋体"/>
            <charset val="134"/>
          </rPr>
          <t xml:space="preserve">
5.10 和3443-1尾款一起打来</t>
        </r>
      </text>
    </comment>
    <comment ref="Q666" authorId="0">
      <text>
        <r>
          <rPr>
            <b/>
            <sz val="9"/>
            <rFont val="宋体"/>
            <charset val="134"/>
          </rPr>
          <t>Administrator:</t>
        </r>
        <r>
          <rPr>
            <sz val="9"/>
            <rFont val="宋体"/>
            <charset val="134"/>
          </rPr>
          <t xml:space="preserve">
19968 5.17</t>
        </r>
      </text>
    </comment>
    <comment ref="Q669" authorId="0">
      <text>
        <r>
          <rPr>
            <b/>
            <sz val="9"/>
            <rFont val="宋体"/>
            <charset val="134"/>
          </rPr>
          <t>Administrator:</t>
        </r>
        <r>
          <rPr>
            <sz val="9"/>
            <rFont val="宋体"/>
            <charset val="134"/>
          </rPr>
          <t xml:space="preserve">
4948</t>
        </r>
      </text>
    </comment>
    <comment ref="Q670" authorId="0">
      <text>
        <r>
          <rPr>
            <b/>
            <sz val="9"/>
            <rFont val="宋体"/>
            <charset val="134"/>
          </rPr>
          <t>Administrator:</t>
        </r>
        <r>
          <rPr>
            <sz val="9"/>
            <rFont val="宋体"/>
            <charset val="134"/>
          </rPr>
          <t xml:space="preserve">
6978</t>
        </r>
      </text>
    </comment>
    <comment ref="Q676" authorId="0">
      <text>
        <r>
          <rPr>
            <b/>
            <sz val="9"/>
            <rFont val="宋体"/>
            <charset val="134"/>
          </rPr>
          <t>Administrator:</t>
        </r>
        <r>
          <rPr>
            <sz val="9"/>
            <rFont val="宋体"/>
            <charset val="134"/>
          </rPr>
          <t xml:space="preserve">
11943  6.27</t>
        </r>
      </text>
    </comment>
    <comment ref="T680" authorId="0">
      <text>
        <r>
          <rPr>
            <b/>
            <sz val="9"/>
            <rFont val="宋体"/>
            <charset val="134"/>
          </rPr>
          <t>Administrator:</t>
        </r>
        <r>
          <rPr>
            <sz val="9"/>
            <rFont val="宋体"/>
            <charset val="134"/>
          </rPr>
          <t xml:space="preserve">
应付15438.45</t>
        </r>
      </text>
    </comment>
    <comment ref="T682" authorId="0">
      <text>
        <r>
          <rPr>
            <b/>
            <sz val="9"/>
            <rFont val="宋体"/>
            <charset val="134"/>
          </rPr>
          <t>Administrator:</t>
        </r>
        <r>
          <rPr>
            <sz val="9"/>
            <rFont val="宋体"/>
            <charset val="134"/>
          </rPr>
          <t xml:space="preserve">
应付18555.68</t>
        </r>
      </text>
    </comment>
    <comment ref="T683" authorId="0">
      <text>
        <r>
          <rPr>
            <b/>
            <sz val="9"/>
            <rFont val="宋体"/>
            <charset val="134"/>
          </rPr>
          <t>Administrator:</t>
        </r>
        <r>
          <rPr>
            <sz val="9"/>
            <rFont val="宋体"/>
            <charset val="134"/>
          </rPr>
          <t xml:space="preserve">
应付16781</t>
        </r>
      </text>
    </comment>
    <comment ref="T686" authorId="0">
      <text>
        <r>
          <rPr>
            <b/>
            <sz val="9"/>
            <rFont val="宋体"/>
            <charset val="134"/>
          </rPr>
          <t>Administrator:</t>
        </r>
        <r>
          <rPr>
            <sz val="9"/>
            <rFont val="宋体"/>
            <charset val="134"/>
          </rPr>
          <t xml:space="preserve">
第一次打了5000美金
第二次打了4990美金 多了1833美金是别的款</t>
        </r>
      </text>
    </comment>
    <comment ref="Q688" authorId="0">
      <text>
        <r>
          <rPr>
            <b/>
            <sz val="9"/>
            <rFont val="宋体"/>
            <charset val="134"/>
          </rPr>
          <t>Administrator:</t>
        </r>
        <r>
          <rPr>
            <sz val="9"/>
            <rFont val="宋体"/>
            <charset val="134"/>
          </rPr>
          <t xml:space="preserve">
实收14962.5</t>
        </r>
      </text>
    </comment>
    <comment ref="T689" authorId="0">
      <text>
        <r>
          <rPr>
            <b/>
            <sz val="9"/>
            <rFont val="宋体"/>
            <charset val="134"/>
          </rPr>
          <t>Administrator:应付14020.58</t>
        </r>
      </text>
    </comment>
    <comment ref="Q690" authorId="0">
      <text>
        <r>
          <rPr>
            <b/>
            <sz val="9"/>
            <rFont val="宋体"/>
            <charset val="134"/>
          </rPr>
          <t>Administrator:</t>
        </r>
        <r>
          <rPr>
            <sz val="9"/>
            <rFont val="宋体"/>
            <charset val="134"/>
          </rPr>
          <t xml:space="preserve">
实收9962.5</t>
        </r>
      </text>
    </comment>
    <comment ref="T690" authorId="0">
      <text>
        <r>
          <rPr>
            <b/>
            <sz val="9"/>
            <rFont val="宋体"/>
            <charset val="134"/>
          </rPr>
          <t>Administrator:</t>
        </r>
        <r>
          <rPr>
            <sz val="9"/>
            <rFont val="宋体"/>
            <charset val="134"/>
          </rPr>
          <t xml:space="preserve">
J3651和J3668 共付款55,156.98</t>
        </r>
      </text>
    </comment>
    <comment ref="Q693" authorId="0">
      <text>
        <r>
          <rPr>
            <b/>
            <sz val="9"/>
            <rFont val="宋体"/>
            <charset val="134"/>
          </rPr>
          <t>Administrator:</t>
        </r>
        <r>
          <rPr>
            <sz val="9"/>
            <rFont val="宋体"/>
            <charset val="134"/>
          </rPr>
          <t xml:space="preserve">
7650.28</t>
        </r>
      </text>
    </comment>
    <comment ref="Q694" authorId="0">
      <text>
        <r>
          <rPr>
            <b/>
            <sz val="9"/>
            <rFont val="宋体"/>
            <charset val="134"/>
          </rPr>
          <t>Administrator:</t>
        </r>
        <r>
          <rPr>
            <sz val="9"/>
            <rFont val="宋体"/>
            <charset val="134"/>
          </rPr>
          <t xml:space="preserve">
2020.1.10 实收4973</t>
        </r>
      </text>
    </comment>
    <comment ref="T694" authorId="0">
      <text>
        <r>
          <rPr>
            <b/>
            <sz val="9"/>
            <rFont val="宋体"/>
            <charset val="134"/>
          </rPr>
          <t>Administrator:</t>
        </r>
        <r>
          <rPr>
            <sz val="9"/>
            <rFont val="宋体"/>
            <charset val="134"/>
          </rPr>
          <t xml:space="preserve">
2020.5.19收</t>
        </r>
      </text>
    </comment>
    <comment ref="T695" authorId="0">
      <text>
        <r>
          <rPr>
            <b/>
            <sz val="9"/>
            <rFont val="宋体"/>
            <charset val="134"/>
          </rPr>
          <t>Administrator:</t>
        </r>
        <r>
          <rPr>
            <sz val="9"/>
            <rFont val="宋体"/>
            <charset val="134"/>
          </rPr>
          <t xml:space="preserve">
2020.6.22收</t>
        </r>
      </text>
    </comment>
    <comment ref="Q696" authorId="0">
      <text>
        <r>
          <rPr>
            <b/>
            <sz val="9"/>
            <rFont val="宋体"/>
            <charset val="134"/>
          </rPr>
          <t>Administrator:</t>
        </r>
        <r>
          <rPr>
            <sz val="9"/>
            <rFont val="宋体"/>
            <charset val="134"/>
          </rPr>
          <t xml:space="preserve">
2020.2.10 到账2965美金</t>
        </r>
      </text>
    </comment>
    <comment ref="T696" authorId="0">
      <text>
        <r>
          <rPr>
            <b/>
            <sz val="9"/>
            <rFont val="宋体"/>
            <charset val="134"/>
          </rPr>
          <t>Administrator:</t>
        </r>
        <r>
          <rPr>
            <sz val="9"/>
            <rFont val="宋体"/>
            <charset val="134"/>
          </rPr>
          <t xml:space="preserve">
2020.4.3收到的</t>
        </r>
      </text>
    </comment>
    <comment ref="Q697" authorId="0">
      <text>
        <r>
          <rPr>
            <b/>
            <sz val="9"/>
            <rFont val="宋体"/>
            <charset val="134"/>
          </rPr>
          <t>Administrator:</t>
        </r>
        <r>
          <rPr>
            <sz val="9"/>
            <rFont val="宋体"/>
            <charset val="134"/>
          </rPr>
          <t xml:space="preserve">
2020.2.10 到账15968美金</t>
        </r>
      </text>
    </comment>
    <comment ref="T697" authorId="0">
      <text>
        <r>
          <rPr>
            <b/>
            <sz val="9"/>
            <rFont val="宋体"/>
            <charset val="134"/>
          </rPr>
          <t>Administrator:</t>
        </r>
        <r>
          <rPr>
            <sz val="9"/>
            <rFont val="宋体"/>
            <charset val="134"/>
          </rPr>
          <t xml:space="preserve">
2020.6.1收</t>
        </r>
      </text>
    </comment>
    <comment ref="Q698" authorId="0">
      <text>
        <r>
          <rPr>
            <b/>
            <sz val="9"/>
            <rFont val="宋体"/>
            <charset val="134"/>
          </rPr>
          <t>Administrator:</t>
        </r>
        <r>
          <rPr>
            <sz val="9"/>
            <rFont val="宋体"/>
            <charset val="134"/>
          </rPr>
          <t xml:space="preserve">
2020.2.25收5969.5美金 M3750 J3751个三千美金定金
</t>
        </r>
      </text>
    </comment>
    <comment ref="T698" authorId="0">
      <text>
        <r>
          <rPr>
            <b/>
            <sz val="9"/>
            <rFont val="宋体"/>
            <charset val="134"/>
          </rPr>
          <t>Administrator:</t>
        </r>
        <r>
          <rPr>
            <sz val="9"/>
            <rFont val="宋体"/>
            <charset val="134"/>
          </rPr>
          <t xml:space="preserve">
2020.5.26收</t>
        </r>
      </text>
    </comment>
    <comment ref="Q699" authorId="0">
      <text>
        <r>
          <rPr>
            <b/>
            <sz val="9"/>
            <rFont val="宋体"/>
            <charset val="134"/>
          </rPr>
          <t>Administrator:</t>
        </r>
        <r>
          <rPr>
            <sz val="9"/>
            <rFont val="宋体"/>
            <charset val="134"/>
          </rPr>
          <t xml:space="preserve">
2020.2.25收5969.5美金 M3750 J3751个三千美金定金</t>
        </r>
      </text>
    </comment>
    <comment ref="T699" authorId="0">
      <text>
        <r>
          <rPr>
            <b/>
            <sz val="9"/>
            <rFont val="宋体"/>
            <charset val="134"/>
          </rPr>
          <t>Administrator:</t>
        </r>
        <r>
          <rPr>
            <sz val="9"/>
            <rFont val="宋体"/>
            <charset val="134"/>
          </rPr>
          <t xml:space="preserve">
2020.6.16收</t>
        </r>
      </text>
    </comment>
    <comment ref="T700" authorId="0">
      <text>
        <r>
          <rPr>
            <b/>
            <sz val="9"/>
            <rFont val="宋体"/>
            <charset val="134"/>
          </rPr>
          <t>Administrator:</t>
        </r>
        <r>
          <rPr>
            <sz val="9"/>
            <rFont val="宋体"/>
            <charset val="134"/>
          </rPr>
          <t xml:space="preserve">
2020.5.7收</t>
        </r>
      </text>
    </comment>
    <comment ref="Q701" authorId="0">
      <text>
        <r>
          <rPr>
            <b/>
            <sz val="9"/>
            <rFont val="宋体"/>
            <charset val="134"/>
          </rPr>
          <t>Administrator:</t>
        </r>
        <r>
          <rPr>
            <sz val="9"/>
            <rFont val="宋体"/>
            <charset val="134"/>
          </rPr>
          <t xml:space="preserve">
2020.2.25收</t>
        </r>
      </text>
    </comment>
    <comment ref="T701" authorId="0">
      <text>
        <r>
          <rPr>
            <b/>
            <sz val="9"/>
            <rFont val="宋体"/>
            <charset val="134"/>
          </rPr>
          <t>Administrator:</t>
        </r>
        <r>
          <rPr>
            <sz val="9"/>
            <rFont val="宋体"/>
            <charset val="134"/>
          </rPr>
          <t xml:space="preserve">
2020.8.11收14042.1</t>
        </r>
      </text>
    </comment>
    <comment ref="Q702"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2" authorId="0">
      <text>
        <r>
          <rPr>
            <b/>
            <sz val="9"/>
            <rFont val="宋体"/>
            <charset val="134"/>
          </rPr>
          <t>Administrator:</t>
        </r>
        <r>
          <rPr>
            <sz val="9"/>
            <rFont val="宋体"/>
            <charset val="134"/>
          </rPr>
          <t xml:space="preserve">
2020.7.10收 RMB25246
汇率6.98</t>
        </r>
      </text>
    </comment>
    <comment ref="T703" authorId="0">
      <text>
        <r>
          <rPr>
            <b/>
            <sz val="9"/>
            <rFont val="宋体"/>
            <charset val="134"/>
          </rPr>
          <t>Administrator:</t>
        </r>
        <r>
          <rPr>
            <sz val="9"/>
            <rFont val="宋体"/>
            <charset val="134"/>
          </rPr>
          <t xml:space="preserve">
2020.9.1收76519.7美金</t>
        </r>
      </text>
    </comment>
    <comment ref="Q704" authorId="0">
      <text>
        <r>
          <rPr>
            <b/>
            <sz val="9"/>
            <rFont val="宋体"/>
            <charset val="134"/>
          </rPr>
          <t>Administrator:</t>
        </r>
        <r>
          <rPr>
            <sz val="9"/>
            <rFont val="宋体"/>
            <charset val="134"/>
          </rPr>
          <t xml:space="preserve">
2020.4.9实收4973美金</t>
        </r>
      </text>
    </comment>
    <comment ref="T704" authorId="0">
      <text>
        <r>
          <rPr>
            <b/>
            <sz val="9"/>
            <rFont val="宋体"/>
            <charset val="134"/>
          </rPr>
          <t>Administrator:</t>
        </r>
        <r>
          <rPr>
            <sz val="9"/>
            <rFont val="宋体"/>
            <charset val="134"/>
          </rPr>
          <t xml:space="preserve">
2020.5.19收</t>
        </r>
      </text>
    </comment>
    <comment ref="Q705" authorId="0">
      <text>
        <r>
          <rPr>
            <b/>
            <sz val="9"/>
            <rFont val="宋体"/>
            <charset val="134"/>
          </rPr>
          <t>Administrator:</t>
        </r>
        <r>
          <rPr>
            <sz val="9"/>
            <rFont val="宋体"/>
            <charset val="134"/>
          </rPr>
          <t xml:space="preserve">
定金水单30000美金2020.4.10收到29968美金
8600美金做-1定金</t>
        </r>
      </text>
    </comment>
    <comment ref="T705" authorId="0">
      <text>
        <r>
          <rPr>
            <b/>
            <sz val="9"/>
            <rFont val="宋体"/>
            <charset val="134"/>
          </rPr>
          <t>Administrator:</t>
        </r>
        <r>
          <rPr>
            <sz val="9"/>
            <rFont val="宋体"/>
            <charset val="134"/>
          </rPr>
          <t xml:space="preserve">
2020.7.10收</t>
        </r>
      </text>
    </comment>
    <comment ref="T706" authorId="0">
      <text>
        <r>
          <rPr>
            <b/>
            <sz val="9"/>
            <rFont val="宋体"/>
            <charset val="134"/>
          </rPr>
          <t>Administrator:</t>
        </r>
        <r>
          <rPr>
            <sz val="9"/>
            <rFont val="宋体"/>
            <charset val="134"/>
          </rPr>
          <t xml:space="preserve">
2020.7.17收</t>
        </r>
      </text>
    </comment>
    <comment ref="T707" authorId="0">
      <text>
        <r>
          <rPr>
            <b/>
            <sz val="9"/>
            <rFont val="宋体"/>
            <charset val="134"/>
          </rPr>
          <t>Administrator:</t>
        </r>
        <r>
          <rPr>
            <sz val="9"/>
            <rFont val="宋体"/>
            <charset val="134"/>
          </rPr>
          <t xml:space="preserve">
2020.6.30收</t>
        </r>
      </text>
    </comment>
    <comment ref="T708" authorId="0">
      <text>
        <r>
          <rPr>
            <b/>
            <sz val="9"/>
            <rFont val="宋体"/>
            <charset val="134"/>
          </rPr>
          <t>Administrator:</t>
        </r>
        <r>
          <rPr>
            <sz val="9"/>
            <rFont val="宋体"/>
            <charset val="134"/>
          </rPr>
          <t xml:space="preserve">
2020.6.19收</t>
        </r>
      </text>
    </comment>
    <comment ref="Q710" authorId="0">
      <text>
        <r>
          <rPr>
            <b/>
            <sz val="9"/>
            <rFont val="宋体"/>
            <charset val="134"/>
          </rPr>
          <t>Administrator:</t>
        </r>
        <r>
          <rPr>
            <sz val="9"/>
            <rFont val="宋体"/>
            <charset val="134"/>
          </rPr>
          <t xml:space="preserve">
2020.4.10收9962.5美金</t>
        </r>
      </text>
    </comment>
    <comment ref="T710" authorId="0">
      <text>
        <r>
          <rPr>
            <b/>
            <sz val="9"/>
            <rFont val="宋体"/>
            <charset val="134"/>
          </rPr>
          <t>Administrator:</t>
        </r>
        <r>
          <rPr>
            <sz val="9"/>
            <rFont val="宋体"/>
            <charset val="134"/>
          </rPr>
          <t xml:space="preserve">
2020.5.29收</t>
        </r>
      </text>
    </comment>
    <comment ref="Q711" authorId="0">
      <text>
        <r>
          <rPr>
            <b/>
            <sz val="9"/>
            <rFont val="宋体"/>
            <charset val="134"/>
          </rPr>
          <t>Administrator:</t>
        </r>
        <r>
          <rPr>
            <sz val="9"/>
            <rFont val="宋体"/>
            <charset val="134"/>
          </rPr>
          <t xml:space="preserve">
2020.5.18收</t>
        </r>
      </text>
    </comment>
    <comment ref="T711" authorId="0">
      <text>
        <r>
          <rPr>
            <b/>
            <sz val="9"/>
            <rFont val="宋体"/>
            <charset val="134"/>
          </rPr>
          <t>Administrator:</t>
        </r>
        <r>
          <rPr>
            <sz val="9"/>
            <rFont val="宋体"/>
            <charset val="134"/>
          </rPr>
          <t xml:space="preserve">
2020.6.8收</t>
        </r>
      </text>
    </comment>
    <comment ref="Q712" authorId="0">
      <text>
        <r>
          <rPr>
            <b/>
            <sz val="9"/>
            <rFont val="宋体"/>
            <charset val="134"/>
          </rPr>
          <t>Administrator:</t>
        </r>
        <r>
          <rPr>
            <sz val="9"/>
            <rFont val="宋体"/>
            <charset val="134"/>
          </rPr>
          <t xml:space="preserve">
2020.4.23收3000美金
2020.4.24收3257美金</t>
        </r>
      </text>
    </comment>
    <comment ref="T712" authorId="0">
      <text>
        <r>
          <rPr>
            <b/>
            <sz val="9"/>
            <rFont val="宋体"/>
            <charset val="134"/>
          </rPr>
          <t>Administrator:</t>
        </r>
        <r>
          <rPr>
            <sz val="9"/>
            <rFont val="宋体"/>
            <charset val="134"/>
          </rPr>
          <t xml:space="preserve">
2020.6.1收</t>
        </r>
      </text>
    </comment>
    <comment ref="Q713" authorId="0">
      <text>
        <r>
          <rPr>
            <b/>
            <sz val="9"/>
            <rFont val="宋体"/>
            <charset val="134"/>
          </rPr>
          <t>Administrator:</t>
        </r>
        <r>
          <rPr>
            <sz val="9"/>
            <rFont val="宋体"/>
            <charset val="134"/>
          </rPr>
          <t xml:space="preserve">
30429 2020.5.15收
五万2020.7.1收</t>
        </r>
      </text>
    </comment>
    <comment ref="T713" authorId="0">
      <text>
        <r>
          <rPr>
            <b/>
            <sz val="9"/>
            <rFont val="宋体"/>
            <charset val="134"/>
          </rPr>
          <t>Administrator:</t>
        </r>
        <r>
          <rPr>
            <sz val="9"/>
            <rFont val="宋体"/>
            <charset val="134"/>
          </rPr>
          <t xml:space="preserve">
2020.7.8收</t>
        </r>
      </text>
    </comment>
    <comment ref="Q714" authorId="0">
      <text>
        <r>
          <rPr>
            <b/>
            <sz val="9"/>
            <rFont val="宋体"/>
            <charset val="134"/>
          </rPr>
          <t>Administrator:</t>
        </r>
        <r>
          <rPr>
            <sz val="9"/>
            <rFont val="宋体"/>
            <charset val="134"/>
          </rPr>
          <t xml:space="preserve">
2020.6.1收6381.74美金</t>
        </r>
      </text>
    </comment>
    <comment ref="T714" authorId="0">
      <text>
        <r>
          <rPr>
            <b/>
            <sz val="9"/>
            <rFont val="宋体"/>
            <charset val="134"/>
          </rPr>
          <t>Administrator:</t>
        </r>
        <r>
          <rPr>
            <sz val="9"/>
            <rFont val="宋体"/>
            <charset val="134"/>
          </rPr>
          <t xml:space="preserve">
2020.7.8收</t>
        </r>
      </text>
    </comment>
    <comment ref="Q715" authorId="0">
      <text>
        <r>
          <rPr>
            <b/>
            <sz val="9"/>
            <rFont val="宋体"/>
            <charset val="134"/>
          </rPr>
          <t>Administrator:</t>
        </r>
        <r>
          <rPr>
            <sz val="9"/>
            <rFont val="宋体"/>
            <charset val="134"/>
          </rPr>
          <t xml:space="preserve">
12000定金 2020.6.30收</t>
        </r>
      </text>
    </comment>
    <comment ref="T715" authorId="0">
      <text>
        <r>
          <rPr>
            <b/>
            <sz val="9"/>
            <rFont val="宋体"/>
            <charset val="134"/>
          </rPr>
          <t>Administrator:</t>
        </r>
        <r>
          <rPr>
            <sz val="9"/>
            <rFont val="宋体"/>
            <charset val="134"/>
          </rPr>
          <t xml:space="preserve">
2020.8.14收14767美金</t>
        </r>
      </text>
    </comment>
    <comment ref="T716" authorId="0">
      <text>
        <r>
          <rPr>
            <b/>
            <sz val="9"/>
            <rFont val="宋体"/>
            <charset val="134"/>
          </rPr>
          <t>Administrator:</t>
        </r>
        <r>
          <rPr>
            <sz val="9"/>
            <rFont val="宋体"/>
            <charset val="134"/>
          </rPr>
          <t xml:space="preserve">
2020.9.23收</t>
        </r>
      </text>
    </comment>
    <comment ref="Q717" authorId="0">
      <text>
        <r>
          <rPr>
            <b/>
            <sz val="9"/>
            <rFont val="宋体"/>
            <charset val="134"/>
          </rPr>
          <t>Administrator:</t>
        </r>
        <r>
          <rPr>
            <sz val="9"/>
            <rFont val="宋体"/>
            <charset val="134"/>
          </rPr>
          <t xml:space="preserve">
2020.7.7收</t>
        </r>
      </text>
    </comment>
    <comment ref="T717" authorId="0">
      <text>
        <r>
          <rPr>
            <b/>
            <sz val="9"/>
            <rFont val="宋体"/>
            <charset val="134"/>
          </rPr>
          <t>Administrator:</t>
        </r>
        <r>
          <rPr>
            <sz val="9"/>
            <rFont val="宋体"/>
            <charset val="134"/>
          </rPr>
          <t xml:space="preserve">
2020.7.24收</t>
        </r>
      </text>
    </comment>
    <comment ref="P718" authorId="0">
      <text>
        <r>
          <rPr>
            <b/>
            <sz val="9"/>
            <rFont val="宋体"/>
            <charset val="134"/>
          </rPr>
          <t>Administrator:</t>
        </r>
        <r>
          <rPr>
            <sz val="9"/>
            <rFont val="宋体"/>
            <charset val="134"/>
          </rPr>
          <t xml:space="preserve">
1350是第一次运费
630第二次运费</t>
        </r>
      </text>
    </comment>
    <comment ref="Q718" authorId="0">
      <text>
        <r>
          <rPr>
            <b/>
            <sz val="9"/>
            <rFont val="宋体"/>
            <charset val="134"/>
          </rPr>
          <t>Administrator:</t>
        </r>
        <r>
          <rPr>
            <sz val="9"/>
            <rFont val="宋体"/>
            <charset val="134"/>
          </rPr>
          <t xml:space="preserve">
2020.7.7收</t>
        </r>
      </text>
    </comment>
    <comment ref="T718" authorId="0">
      <text>
        <r>
          <rPr>
            <b/>
            <sz val="9"/>
            <rFont val="宋体"/>
            <charset val="134"/>
          </rPr>
          <t>Administrator:</t>
        </r>
        <r>
          <rPr>
            <sz val="9"/>
            <rFont val="宋体"/>
            <charset val="134"/>
          </rPr>
          <t xml:space="preserve">
2020.8.11收</t>
        </r>
      </text>
    </comment>
    <comment ref="U718" authorId="0">
      <text>
        <r>
          <rPr>
            <b/>
            <sz val="9"/>
            <rFont val="宋体"/>
            <charset val="134"/>
          </rPr>
          <t>Administrator:</t>
        </r>
        <r>
          <rPr>
            <sz val="9"/>
            <rFont val="宋体"/>
            <charset val="134"/>
          </rPr>
          <t xml:space="preserve">
2020.10.26收
2020.12.5收64400RMB
2021.3.11收54630包括运费630</t>
        </r>
      </text>
    </comment>
    <comment ref="T719" authorId="0">
      <text>
        <r>
          <rPr>
            <b/>
            <sz val="9"/>
            <rFont val="宋体"/>
            <charset val="134"/>
          </rPr>
          <t>Administrator:</t>
        </r>
        <r>
          <rPr>
            <sz val="9"/>
            <rFont val="宋体"/>
            <charset val="134"/>
          </rPr>
          <t xml:space="preserve">
2020.8.12收36668</t>
        </r>
      </text>
    </comment>
    <comment ref="T720" authorId="0">
      <text>
        <r>
          <rPr>
            <b/>
            <sz val="9"/>
            <rFont val="宋体"/>
            <charset val="134"/>
          </rPr>
          <t>Administrator:</t>
        </r>
        <r>
          <rPr>
            <sz val="9"/>
            <rFont val="宋体"/>
            <charset val="134"/>
          </rPr>
          <t xml:space="preserve">
2020.7.28收1011.34美金</t>
        </r>
      </text>
    </comment>
    <comment ref="Q721" authorId="0">
      <text>
        <r>
          <rPr>
            <b/>
            <sz val="9"/>
            <rFont val="宋体"/>
            <charset val="134"/>
          </rPr>
          <t>Administrator:</t>
        </r>
        <r>
          <rPr>
            <sz val="9"/>
            <rFont val="宋体"/>
            <charset val="134"/>
          </rPr>
          <t xml:space="preserve">
2020.7.15收  J3843定金转到J3862  J3843付全款</t>
        </r>
      </text>
    </comment>
    <comment ref="T721" authorId="0">
      <text>
        <r>
          <rPr>
            <b/>
            <sz val="9"/>
            <rFont val="宋体"/>
            <charset val="134"/>
          </rPr>
          <t>Administrator:</t>
        </r>
        <r>
          <rPr>
            <sz val="9"/>
            <rFont val="宋体"/>
            <charset val="134"/>
          </rPr>
          <t xml:space="preserve">
2020.11.2收26182.5</t>
        </r>
      </text>
    </comment>
    <comment ref="Q722" authorId="0">
      <text>
        <r>
          <rPr>
            <b/>
            <sz val="9"/>
            <rFont val="宋体"/>
            <charset val="134"/>
          </rPr>
          <t>Administrator:</t>
        </r>
        <r>
          <rPr>
            <sz val="9"/>
            <rFont val="宋体"/>
            <charset val="134"/>
          </rPr>
          <t xml:space="preserve">
J3762定金移到J3873</t>
        </r>
      </text>
    </comment>
    <comment ref="T722" authorId="0">
      <text>
        <r>
          <rPr>
            <b/>
            <sz val="9"/>
            <rFont val="宋体"/>
            <charset val="134"/>
          </rPr>
          <t>Administrator:</t>
        </r>
        <r>
          <rPr>
            <sz val="9"/>
            <rFont val="宋体"/>
            <charset val="134"/>
          </rPr>
          <t xml:space="preserve">
2021.1.11收76663.85美金</t>
        </r>
      </text>
    </comment>
    <comment ref="Q723" authorId="0">
      <text>
        <r>
          <rPr>
            <b/>
            <sz val="9"/>
            <rFont val="宋体"/>
            <charset val="134"/>
          </rPr>
          <t>Administrator:</t>
        </r>
        <r>
          <rPr>
            <sz val="9"/>
            <rFont val="宋体"/>
            <charset val="134"/>
          </rPr>
          <t xml:space="preserve">
2020.9.16收</t>
        </r>
      </text>
    </comment>
    <comment ref="T723" authorId="0">
      <text>
        <r>
          <rPr>
            <b/>
            <sz val="9"/>
            <rFont val="宋体"/>
            <charset val="134"/>
          </rPr>
          <t>Administrator:</t>
        </r>
        <r>
          <rPr>
            <sz val="9"/>
            <rFont val="宋体"/>
            <charset val="134"/>
          </rPr>
          <t xml:space="preserve">
2020.11.24收15451.52</t>
        </r>
      </text>
    </comment>
    <comment ref="Q724" authorId="0">
      <text>
        <r>
          <rPr>
            <b/>
            <sz val="9"/>
            <rFont val="宋体"/>
            <charset val="134"/>
          </rPr>
          <t>Administrator:</t>
        </r>
        <r>
          <rPr>
            <sz val="9"/>
            <rFont val="宋体"/>
            <charset val="134"/>
          </rPr>
          <t xml:space="preserve">
2020.9.18收11453美金</t>
        </r>
      </text>
    </comment>
    <comment ref="T724" authorId="0">
      <text>
        <r>
          <rPr>
            <b/>
            <sz val="9"/>
            <rFont val="宋体"/>
            <charset val="134"/>
          </rPr>
          <t>Administrator:</t>
        </r>
        <r>
          <rPr>
            <sz val="9"/>
            <rFont val="宋体"/>
            <charset val="134"/>
          </rPr>
          <t xml:space="preserve">
2021.1.12收29169</t>
        </r>
      </text>
    </comment>
    <comment ref="Q725" authorId="0">
      <text>
        <r>
          <rPr>
            <b/>
            <sz val="9"/>
            <rFont val="宋体"/>
            <charset val="134"/>
          </rPr>
          <t>Administrator:</t>
        </r>
        <r>
          <rPr>
            <sz val="9"/>
            <rFont val="宋体"/>
            <charset val="134"/>
          </rPr>
          <t xml:space="preserve">
2020.9.23收</t>
        </r>
      </text>
    </comment>
    <comment ref="T725" authorId="0">
      <text>
        <r>
          <rPr>
            <b/>
            <sz val="9"/>
            <rFont val="宋体"/>
            <charset val="134"/>
          </rPr>
          <t>Administrator:</t>
        </r>
        <r>
          <rPr>
            <sz val="9"/>
            <rFont val="宋体"/>
            <charset val="134"/>
          </rPr>
          <t xml:space="preserve">
2020.12.14收</t>
        </r>
      </text>
    </comment>
    <comment ref="Q726" authorId="0">
      <text>
        <r>
          <rPr>
            <b/>
            <sz val="9"/>
            <rFont val="宋体"/>
            <charset val="134"/>
          </rPr>
          <t>Administrator:</t>
        </r>
        <r>
          <rPr>
            <sz val="9"/>
            <rFont val="宋体"/>
            <charset val="134"/>
          </rPr>
          <t xml:space="preserve">
2020.9.23收</t>
        </r>
      </text>
    </comment>
    <comment ref="T726" authorId="0">
      <text>
        <r>
          <rPr>
            <b/>
            <sz val="9"/>
            <rFont val="宋体"/>
            <charset val="134"/>
          </rPr>
          <t>Administrator:</t>
        </r>
        <r>
          <rPr>
            <sz val="9"/>
            <rFont val="宋体"/>
            <charset val="134"/>
          </rPr>
          <t xml:space="preserve">
2020.12.14收</t>
        </r>
      </text>
    </comment>
    <comment ref="Q727" authorId="0">
      <text>
        <r>
          <rPr>
            <b/>
            <sz val="9"/>
            <rFont val="宋体"/>
            <charset val="134"/>
          </rPr>
          <t>Administrator:</t>
        </r>
        <r>
          <rPr>
            <sz val="9"/>
            <rFont val="宋体"/>
            <charset val="134"/>
          </rPr>
          <t xml:space="preserve">
2020.9.30收9959美金</t>
        </r>
      </text>
    </comment>
    <comment ref="T727" authorId="0">
      <text>
        <r>
          <rPr>
            <b/>
            <sz val="9"/>
            <rFont val="宋体"/>
            <charset val="134"/>
          </rPr>
          <t>Administrator:</t>
        </r>
        <r>
          <rPr>
            <sz val="9"/>
            <rFont val="宋体"/>
            <charset val="134"/>
          </rPr>
          <t xml:space="preserve">
2020.12.14收</t>
        </r>
      </text>
    </comment>
    <comment ref="Q728" authorId="0">
      <text>
        <r>
          <rPr>
            <b/>
            <sz val="9"/>
            <rFont val="宋体"/>
            <charset val="134"/>
          </rPr>
          <t>Administrator:</t>
        </r>
        <r>
          <rPr>
            <sz val="9"/>
            <rFont val="宋体"/>
            <charset val="134"/>
          </rPr>
          <t xml:space="preserve">
2020.10.22收</t>
        </r>
      </text>
    </comment>
    <comment ref="T728" authorId="0">
      <text>
        <r>
          <rPr>
            <b/>
            <sz val="9"/>
            <rFont val="宋体"/>
            <charset val="134"/>
          </rPr>
          <t>Administrator:</t>
        </r>
        <r>
          <rPr>
            <sz val="9"/>
            <rFont val="宋体"/>
            <charset val="134"/>
          </rPr>
          <t xml:space="preserve">
2020.11.25收</t>
        </r>
      </text>
    </comment>
    <comment ref="Q729" authorId="0">
      <text>
        <r>
          <rPr>
            <b/>
            <sz val="9"/>
            <rFont val="宋体"/>
            <charset val="134"/>
          </rPr>
          <t>Administrator:</t>
        </r>
        <r>
          <rPr>
            <sz val="9"/>
            <rFont val="宋体"/>
            <charset val="134"/>
          </rPr>
          <t xml:space="preserve">
2020.11.2收4990美金</t>
        </r>
      </text>
    </comment>
    <comment ref="T729" authorId="0">
      <text>
        <r>
          <rPr>
            <b/>
            <sz val="9"/>
            <rFont val="宋体"/>
            <charset val="134"/>
          </rPr>
          <t>Administrator:</t>
        </r>
        <r>
          <rPr>
            <sz val="9"/>
            <rFont val="宋体"/>
            <charset val="134"/>
          </rPr>
          <t xml:space="preserve">
2020.11.30收4990
2020.12.10收4990</t>
        </r>
      </text>
    </comment>
    <comment ref="U729" authorId="0">
      <text>
        <r>
          <rPr>
            <b/>
            <sz val="9"/>
            <rFont val="宋体"/>
            <charset val="134"/>
          </rPr>
          <t>Administrator:</t>
        </r>
        <r>
          <rPr>
            <sz val="9"/>
            <rFont val="宋体"/>
            <charset val="134"/>
          </rPr>
          <t xml:space="preserve">
2021.3.3收4952</t>
        </r>
      </text>
    </comment>
    <comment ref="Q731" authorId="0">
      <text>
        <r>
          <rPr>
            <b/>
            <sz val="9"/>
            <rFont val="宋体"/>
            <charset val="134"/>
          </rPr>
          <t>Administrator:</t>
        </r>
        <r>
          <rPr>
            <sz val="9"/>
            <rFont val="宋体"/>
            <charset val="134"/>
          </rPr>
          <t xml:space="preserve">
18.7.11</t>
        </r>
      </text>
    </comment>
    <comment ref="R731" authorId="0">
      <text>
        <r>
          <rPr>
            <b/>
            <sz val="9"/>
            <rFont val="宋体"/>
            <charset val="134"/>
          </rPr>
          <t>Administrator:</t>
        </r>
        <r>
          <rPr>
            <sz val="9"/>
            <rFont val="宋体"/>
            <charset val="134"/>
          </rPr>
          <t xml:space="preserve">
18.9.15
</t>
        </r>
      </text>
    </comment>
    <comment ref="T731" authorId="0">
      <text>
        <r>
          <rPr>
            <b/>
            <sz val="9"/>
            <rFont val="宋体"/>
            <charset val="134"/>
          </rPr>
          <t>Administrator:</t>
        </r>
        <r>
          <rPr>
            <sz val="9"/>
            <rFont val="宋体"/>
            <charset val="134"/>
          </rPr>
          <t xml:space="preserve">
18.9.15
</t>
        </r>
      </text>
    </comment>
    <comment ref="U731" authorId="0">
      <text>
        <r>
          <rPr>
            <b/>
            <sz val="9"/>
            <rFont val="宋体"/>
            <charset val="134"/>
          </rPr>
          <t>Administrator:</t>
        </r>
        <r>
          <rPr>
            <sz val="9"/>
            <rFont val="宋体"/>
            <charset val="134"/>
          </rPr>
          <t xml:space="preserve">
18.9.15
</t>
        </r>
      </text>
    </comment>
    <comment ref="Q732" authorId="1">
      <text>
        <r>
          <rPr>
            <b/>
            <sz val="11"/>
            <rFont val="MS PGothic"/>
            <charset val="134"/>
          </rPr>
          <t>Microsoft Office 用户:</t>
        </r>
        <r>
          <rPr>
            <sz val="11"/>
            <rFont val="MS PGothic"/>
            <charset val="134"/>
          </rPr>
          <t xml:space="preserve">
从13500分 4500</t>
        </r>
      </text>
    </comment>
    <comment ref="Q735" authorId="0">
      <text>
        <r>
          <rPr>
            <b/>
            <sz val="9"/>
            <rFont val="宋体"/>
            <charset val="134"/>
          </rPr>
          <t>Administrator:</t>
        </r>
        <r>
          <rPr>
            <sz val="9"/>
            <rFont val="宋体"/>
            <charset val="134"/>
          </rPr>
          <t xml:space="preserve">
1.26 6978</t>
        </r>
      </text>
    </comment>
    <comment ref="Q736" authorId="0">
      <text>
        <r>
          <rPr>
            <b/>
            <sz val="9"/>
            <rFont val="宋体"/>
            <charset val="134"/>
          </rPr>
          <t>Administrator:</t>
        </r>
        <r>
          <rPr>
            <sz val="9"/>
            <rFont val="宋体"/>
            <charset val="134"/>
          </rPr>
          <t xml:space="preserve">
2.21  7478.74</t>
        </r>
      </text>
    </comment>
    <comment ref="Q738" authorId="0">
      <text>
        <r>
          <rPr>
            <b/>
            <sz val="9"/>
            <rFont val="宋体"/>
            <charset val="134"/>
          </rPr>
          <t>Administrator:</t>
        </r>
        <r>
          <rPr>
            <sz val="9"/>
            <rFont val="宋体"/>
            <charset val="134"/>
          </rPr>
          <t xml:space="preserve">
6.11</t>
        </r>
      </text>
    </comment>
    <comment ref="P739" authorId="0">
      <text>
        <r>
          <rPr>
            <b/>
            <sz val="9"/>
            <rFont val="宋体"/>
            <charset val="134"/>
          </rPr>
          <t>Administrator:</t>
        </r>
        <r>
          <rPr>
            <sz val="9"/>
            <rFont val="宋体"/>
            <charset val="134"/>
          </rPr>
          <t xml:space="preserve">
PC证书费减了300</t>
        </r>
      </text>
    </comment>
    <comment ref="T740" authorId="0">
      <text>
        <r>
          <rPr>
            <b/>
            <sz val="9"/>
            <rFont val="宋体"/>
            <charset val="134"/>
          </rPr>
          <t>Administrator:</t>
        </r>
        <r>
          <rPr>
            <sz val="9"/>
            <rFont val="宋体"/>
            <charset val="134"/>
          </rPr>
          <t xml:space="preserve">
应付9518.85</t>
        </r>
      </text>
    </comment>
    <comment ref="Q741" authorId="0">
      <text>
        <r>
          <rPr>
            <b/>
            <sz val="9"/>
            <rFont val="宋体"/>
            <charset val="134"/>
          </rPr>
          <t>Administrator:</t>
        </r>
        <r>
          <rPr>
            <sz val="9"/>
            <rFont val="宋体"/>
            <charset val="134"/>
          </rPr>
          <t xml:space="preserve">
收到4997.5</t>
        </r>
      </text>
    </comment>
    <comment ref="T741" authorId="0">
      <text>
        <r>
          <rPr>
            <b/>
            <sz val="9"/>
            <rFont val="宋体"/>
            <charset val="134"/>
          </rPr>
          <t>Administrator:</t>
        </r>
        <r>
          <rPr>
            <sz val="9"/>
            <rFont val="宋体"/>
            <charset val="134"/>
          </rPr>
          <t xml:space="preserve">
应付6517-481=6036</t>
        </r>
      </text>
    </comment>
    <comment ref="Q743" authorId="0">
      <text>
        <r>
          <rPr>
            <b/>
            <sz val="9"/>
            <rFont val="宋体"/>
            <charset val="134"/>
          </rPr>
          <t>Administrator:</t>
        </r>
        <r>
          <rPr>
            <sz val="9"/>
            <rFont val="宋体"/>
            <charset val="134"/>
          </rPr>
          <t xml:space="preserve">
2020.2.13 11570.42美金</t>
        </r>
      </text>
    </comment>
    <comment ref="T743" authorId="0">
      <text>
        <r>
          <rPr>
            <b/>
            <sz val="9"/>
            <rFont val="宋体"/>
            <charset val="134"/>
          </rPr>
          <t>Administrator:</t>
        </r>
        <r>
          <rPr>
            <sz val="9"/>
            <rFont val="宋体"/>
            <charset val="134"/>
          </rPr>
          <t xml:space="preserve">
2020.6.1收</t>
        </r>
      </text>
    </comment>
    <comment ref="U743" authorId="0">
      <text>
        <r>
          <rPr>
            <b/>
            <sz val="9"/>
            <rFont val="宋体"/>
            <charset val="134"/>
          </rPr>
          <t>Administrator:</t>
        </r>
        <r>
          <rPr>
            <sz val="9"/>
            <rFont val="宋体"/>
            <charset val="134"/>
          </rPr>
          <t xml:space="preserve">
2020.6.10收到两笔10000+1400美金</t>
        </r>
      </text>
    </comment>
    <comment ref="T745" authorId="0">
      <text>
        <r>
          <rPr>
            <b/>
            <sz val="9"/>
            <rFont val="宋体"/>
            <charset val="134"/>
          </rPr>
          <t>Administrator:</t>
        </r>
        <r>
          <rPr>
            <sz val="9"/>
            <rFont val="宋体"/>
            <charset val="134"/>
          </rPr>
          <t xml:space="preserve">
2020.7.2收</t>
        </r>
      </text>
    </comment>
    <comment ref="Q746" authorId="0">
      <text>
        <r>
          <rPr>
            <b/>
            <sz val="9"/>
            <rFont val="宋体"/>
            <charset val="134"/>
          </rPr>
          <t>Administrator:</t>
        </r>
        <r>
          <rPr>
            <sz val="9"/>
            <rFont val="宋体"/>
            <charset val="134"/>
          </rPr>
          <t xml:space="preserve">
2020.8.28收4988美金</t>
        </r>
      </text>
    </comment>
    <comment ref="T746" authorId="0">
      <text>
        <r>
          <rPr>
            <b/>
            <sz val="9"/>
            <rFont val="宋体"/>
            <charset val="134"/>
          </rPr>
          <t>Administrator:</t>
        </r>
        <r>
          <rPr>
            <sz val="9"/>
            <rFont val="宋体"/>
            <charset val="134"/>
          </rPr>
          <t xml:space="preserve">
2020.10.22收7728</t>
        </r>
      </text>
    </comment>
    <comment ref="Q751" authorId="0">
      <text>
        <r>
          <rPr>
            <b/>
            <sz val="9"/>
            <rFont val="Tahoma"/>
            <charset val="134"/>
          </rPr>
          <t>Administrator:</t>
        </r>
        <r>
          <rPr>
            <sz val="9"/>
            <rFont val="Tahoma"/>
            <charset val="134"/>
          </rPr>
          <t xml:space="preserve">
8.8</t>
        </r>
      </text>
    </comment>
    <comment ref="T751" authorId="1">
      <text>
        <r>
          <rPr>
            <b/>
            <sz val="11"/>
            <rFont val="MS PGothic"/>
            <charset val="134"/>
          </rPr>
          <t>Microsoft Office 用户:</t>
        </r>
        <r>
          <rPr>
            <sz val="11"/>
            <rFont val="MS PGothic"/>
            <charset val="134"/>
          </rPr>
          <t xml:space="preserve">
9.15 USD Hengseng 
</t>
        </r>
      </text>
    </comment>
    <comment ref="U751" authorId="1">
      <text>
        <r>
          <rPr>
            <b/>
            <sz val="11"/>
            <rFont val="MS PGothic"/>
            <charset val="134"/>
          </rPr>
          <t>Microsoft Office 用户:</t>
        </r>
        <r>
          <rPr>
            <sz val="11"/>
            <rFont val="MS PGothic"/>
            <charset val="134"/>
          </rPr>
          <t xml:space="preserve">
9.15 USD Hengseng 
</t>
        </r>
      </text>
    </comment>
    <comment ref="Q753" authorId="0">
      <text>
        <r>
          <rPr>
            <b/>
            <sz val="9"/>
            <rFont val="宋体"/>
            <charset val="134"/>
          </rPr>
          <t>Administrator:</t>
        </r>
        <r>
          <rPr>
            <sz val="9"/>
            <rFont val="宋体"/>
            <charset val="134"/>
          </rPr>
          <t xml:space="preserve">
7.18</t>
        </r>
      </text>
    </comment>
    <comment ref="Q754" authorId="0">
      <text>
        <r>
          <rPr>
            <b/>
            <sz val="9"/>
            <rFont val="宋体"/>
            <charset val="134"/>
          </rPr>
          <t>Administrator:</t>
        </r>
        <r>
          <rPr>
            <sz val="9"/>
            <rFont val="宋体"/>
            <charset val="134"/>
          </rPr>
          <t xml:space="preserve">
7.19</t>
        </r>
      </text>
    </comment>
    <comment ref="Q755" authorId="0">
      <text>
        <r>
          <rPr>
            <b/>
            <sz val="9"/>
            <rFont val="Tahoma"/>
            <charset val="134"/>
          </rPr>
          <t>Administrator:</t>
        </r>
        <r>
          <rPr>
            <sz val="9"/>
            <rFont val="Tahoma"/>
            <charset val="134"/>
          </rPr>
          <t xml:space="preserve">
8.6</t>
        </r>
      </text>
    </comment>
    <comment ref="Q757" authorId="1">
      <text>
        <r>
          <rPr>
            <b/>
            <sz val="11"/>
            <rFont val="MS PGothic"/>
            <charset val="134"/>
          </rPr>
          <t>Microsoft Office 用户:</t>
        </r>
        <r>
          <rPr>
            <sz val="11"/>
            <rFont val="MS PGothic"/>
            <charset val="134"/>
          </rPr>
          <t xml:space="preserve">
9.28</t>
        </r>
      </text>
    </comment>
    <comment ref="Q758" authorId="1">
      <text>
        <r>
          <rPr>
            <b/>
            <sz val="11"/>
            <rFont val="MS PGothic"/>
            <charset val="134"/>
          </rPr>
          <t>Microsoft Office 用户:</t>
        </r>
        <r>
          <rPr>
            <sz val="11"/>
            <rFont val="MS PGothic"/>
            <charset val="134"/>
          </rPr>
          <t xml:space="preserve">
10.8 
</t>
        </r>
      </text>
    </comment>
    <comment ref="R759" authorId="0">
      <text>
        <r>
          <rPr>
            <b/>
            <sz val="9"/>
            <rFont val="宋体"/>
            <charset val="134"/>
          </rPr>
          <t>Administrator:</t>
        </r>
        <r>
          <rPr>
            <sz val="9"/>
            <rFont val="宋体"/>
            <charset val="134"/>
          </rPr>
          <t xml:space="preserve">
客户打款多付了1860美金，下次可以少付这个金额。</t>
        </r>
      </text>
    </comment>
    <comment ref="U759" authorId="0">
      <text>
        <r>
          <rPr>
            <b/>
            <sz val="9"/>
            <rFont val="宋体"/>
            <charset val="134"/>
          </rPr>
          <t>Administrator:</t>
        </r>
        <r>
          <rPr>
            <sz val="9"/>
            <rFont val="宋体"/>
            <charset val="134"/>
          </rPr>
          <t xml:space="preserve">
客户打款多付了1860美金，下次可以少付这个金额。</t>
        </r>
      </text>
    </comment>
    <comment ref="R760" authorId="0">
      <text>
        <r>
          <rPr>
            <b/>
            <sz val="9"/>
            <rFont val="宋体"/>
            <charset val="134"/>
          </rPr>
          <t>Administrator:</t>
        </r>
        <r>
          <rPr>
            <sz val="9"/>
            <rFont val="宋体"/>
            <charset val="134"/>
          </rPr>
          <t xml:space="preserve">
12.28  实际收的</t>
        </r>
      </text>
    </comment>
    <comment ref="T760" authorId="0">
      <text>
        <r>
          <rPr>
            <b/>
            <sz val="9"/>
            <rFont val="宋体"/>
            <charset val="134"/>
          </rPr>
          <t>Administrator:</t>
        </r>
        <r>
          <rPr>
            <sz val="9"/>
            <rFont val="宋体"/>
            <charset val="134"/>
          </rPr>
          <t xml:space="preserve">
12.28  实际收的</t>
        </r>
      </text>
    </comment>
    <comment ref="U760" authorId="0">
      <text>
        <r>
          <rPr>
            <b/>
            <sz val="9"/>
            <rFont val="宋体"/>
            <charset val="134"/>
          </rPr>
          <t>Administrator:</t>
        </r>
        <r>
          <rPr>
            <sz val="9"/>
            <rFont val="宋体"/>
            <charset val="134"/>
          </rPr>
          <t xml:space="preserve">
12.28  实际收的</t>
        </r>
      </text>
    </comment>
    <comment ref="Q768" authorId="0">
      <text>
        <r>
          <rPr>
            <b/>
            <sz val="9"/>
            <rFont val="宋体"/>
            <charset val="134"/>
          </rPr>
          <t>Administrator:</t>
        </r>
        <r>
          <rPr>
            <sz val="9"/>
            <rFont val="宋体"/>
            <charset val="134"/>
          </rPr>
          <t xml:space="preserve">
2019.1.2 实际收到5370</t>
        </r>
      </text>
    </comment>
    <comment ref="U768" authorId="0">
      <text>
        <r>
          <rPr>
            <b/>
            <sz val="9"/>
            <rFont val="宋体"/>
            <charset val="134"/>
          </rPr>
          <t>Administrator:</t>
        </r>
        <r>
          <rPr>
            <sz val="9"/>
            <rFont val="宋体"/>
            <charset val="134"/>
          </rPr>
          <t xml:space="preserve">
2019.1.2 实际收到5370</t>
        </r>
      </text>
    </comment>
    <comment ref="Q770" authorId="0">
      <text>
        <r>
          <rPr>
            <b/>
            <sz val="9"/>
            <rFont val="宋体"/>
            <charset val="134"/>
          </rPr>
          <t>Administrator:</t>
        </r>
        <r>
          <rPr>
            <sz val="9"/>
            <rFont val="宋体"/>
            <charset val="134"/>
          </rPr>
          <t xml:space="preserve">
1.4</t>
        </r>
      </text>
    </comment>
    <comment ref="Q771" authorId="0">
      <text>
        <r>
          <rPr>
            <b/>
            <sz val="9"/>
            <rFont val="宋体"/>
            <charset val="134"/>
          </rPr>
          <t>Administrator:</t>
        </r>
        <r>
          <rPr>
            <sz val="9"/>
            <rFont val="宋体"/>
            <charset val="134"/>
          </rPr>
          <t xml:space="preserve">
1.4</t>
        </r>
      </text>
    </comment>
    <comment ref="Q772" authorId="0">
      <text>
        <r>
          <rPr>
            <b/>
            <sz val="9"/>
            <rFont val="宋体"/>
            <charset val="134"/>
          </rPr>
          <t>Administrator:</t>
        </r>
        <r>
          <rPr>
            <sz val="9"/>
            <rFont val="宋体"/>
            <charset val="134"/>
          </rPr>
          <t xml:space="preserve">
7705  1.8</t>
        </r>
      </text>
    </comment>
    <comment ref="Q773" authorId="0">
      <text>
        <r>
          <rPr>
            <b/>
            <sz val="9"/>
            <rFont val="宋体"/>
            <charset val="134"/>
          </rPr>
          <t>Administrator:</t>
        </r>
        <r>
          <rPr>
            <sz val="9"/>
            <rFont val="宋体"/>
            <charset val="134"/>
          </rPr>
          <t xml:space="preserve">
1.24</t>
        </r>
      </text>
    </comment>
    <comment ref="Q774" authorId="0">
      <text>
        <r>
          <rPr>
            <b/>
            <sz val="9"/>
            <rFont val="宋体"/>
            <charset val="134"/>
          </rPr>
          <t>Administrator:</t>
        </r>
        <r>
          <rPr>
            <sz val="9"/>
            <rFont val="宋体"/>
            <charset val="134"/>
          </rPr>
          <t xml:space="preserve">
5809  2.15</t>
        </r>
      </text>
    </comment>
    <comment ref="Q775" authorId="0">
      <text>
        <r>
          <rPr>
            <b/>
            <sz val="9"/>
            <rFont val="宋体"/>
            <charset val="134"/>
          </rPr>
          <t>Administrator:</t>
        </r>
        <r>
          <rPr>
            <sz val="9"/>
            <rFont val="宋体"/>
            <charset val="134"/>
          </rPr>
          <t xml:space="preserve">
4948.73  2.15</t>
        </r>
      </text>
    </comment>
    <comment ref="P776" authorId="0">
      <text>
        <r>
          <rPr>
            <b/>
            <sz val="9"/>
            <rFont val="宋体"/>
            <charset val="134"/>
          </rPr>
          <t>Administrator:</t>
        </r>
        <r>
          <rPr>
            <sz val="9"/>
            <rFont val="宋体"/>
            <charset val="134"/>
          </rPr>
          <t xml:space="preserve">
7499  3.1</t>
        </r>
      </text>
    </comment>
    <comment ref="Q776" authorId="0">
      <text>
        <r>
          <rPr>
            <b/>
            <sz val="9"/>
            <rFont val="宋体"/>
            <charset val="134"/>
          </rPr>
          <t>Administrator:</t>
        </r>
        <r>
          <rPr>
            <sz val="9"/>
            <rFont val="宋体"/>
            <charset val="134"/>
          </rPr>
          <t xml:space="preserve">
3.1 7499</t>
        </r>
      </text>
    </comment>
    <comment ref="Q777" authorId="0">
      <text>
        <r>
          <rPr>
            <b/>
            <sz val="9"/>
            <rFont val="宋体"/>
            <charset val="134"/>
          </rPr>
          <t>Administrator:</t>
        </r>
        <r>
          <rPr>
            <sz val="9"/>
            <rFont val="宋体"/>
            <charset val="134"/>
          </rPr>
          <t xml:space="preserve">
48058  3.12</t>
        </r>
      </text>
    </comment>
    <comment ref="Q778" authorId="0">
      <text>
        <r>
          <rPr>
            <b/>
            <sz val="9"/>
            <rFont val="宋体"/>
            <charset val="134"/>
          </rPr>
          <t>Administrator:</t>
        </r>
        <r>
          <rPr>
            <sz val="9"/>
            <rFont val="宋体"/>
            <charset val="134"/>
          </rPr>
          <t xml:space="preserve">
5915</t>
        </r>
      </text>
    </comment>
    <comment ref="Q779" authorId="0">
      <text>
        <r>
          <rPr>
            <b/>
            <sz val="9"/>
            <rFont val="宋体"/>
            <charset val="134"/>
          </rPr>
          <t>Administrator:</t>
        </r>
        <r>
          <rPr>
            <sz val="9"/>
            <rFont val="宋体"/>
            <charset val="134"/>
          </rPr>
          <t xml:space="preserve">
12130  3.29</t>
        </r>
      </text>
    </comment>
    <comment ref="Q780" authorId="0">
      <text>
        <r>
          <rPr>
            <b/>
            <sz val="9"/>
            <rFont val="宋体"/>
            <charset val="134"/>
          </rPr>
          <t>Administrator:</t>
        </r>
        <r>
          <rPr>
            <sz val="9"/>
            <rFont val="宋体"/>
            <charset val="134"/>
          </rPr>
          <t xml:space="preserve">
4170  4.1</t>
        </r>
      </text>
    </comment>
    <comment ref="Q781" authorId="0">
      <text>
        <r>
          <rPr>
            <b/>
            <sz val="9"/>
            <rFont val="宋体"/>
            <charset val="134"/>
          </rPr>
          <t>Administrator:</t>
        </r>
        <r>
          <rPr>
            <sz val="9"/>
            <rFont val="宋体"/>
            <charset val="134"/>
          </rPr>
          <t xml:space="preserve">
3519  4.2</t>
        </r>
      </text>
    </comment>
    <comment ref="Q782" authorId="0">
      <text>
        <r>
          <rPr>
            <b/>
            <sz val="9"/>
            <rFont val="宋体"/>
            <charset val="134"/>
          </rPr>
          <t>Administrator:</t>
        </r>
        <r>
          <rPr>
            <sz val="9"/>
            <rFont val="宋体"/>
            <charset val="134"/>
          </rPr>
          <t xml:space="preserve">
7089 4.2</t>
        </r>
      </text>
    </comment>
    <comment ref="Q783" authorId="0">
      <text>
        <r>
          <rPr>
            <b/>
            <sz val="9"/>
            <rFont val="宋体"/>
            <charset val="134"/>
          </rPr>
          <t>Administrator:</t>
        </r>
        <r>
          <rPr>
            <sz val="9"/>
            <rFont val="宋体"/>
            <charset val="134"/>
          </rPr>
          <t xml:space="preserve">
3135</t>
        </r>
      </text>
    </comment>
    <comment ref="Q784" authorId="0">
      <text>
        <r>
          <rPr>
            <b/>
            <sz val="9"/>
            <rFont val="宋体"/>
            <charset val="134"/>
          </rPr>
          <t>Administrator:</t>
        </r>
        <r>
          <rPr>
            <sz val="9"/>
            <rFont val="宋体"/>
            <charset val="134"/>
          </rPr>
          <t xml:space="preserve">
4.29</t>
        </r>
      </text>
    </comment>
    <comment ref="Q789" authorId="0">
      <text>
        <r>
          <rPr>
            <b/>
            <sz val="9"/>
            <rFont val="宋体"/>
            <charset val="134"/>
          </rPr>
          <t>Administrator:</t>
        </r>
        <r>
          <rPr>
            <sz val="9"/>
            <rFont val="宋体"/>
            <charset val="134"/>
          </rPr>
          <t xml:space="preserve">
5.30  16504</t>
        </r>
      </text>
    </comment>
    <comment ref="Q791" authorId="0">
      <text>
        <r>
          <rPr>
            <b/>
            <sz val="9"/>
            <rFont val="宋体"/>
            <charset val="134"/>
          </rPr>
          <t>Administrator:</t>
        </r>
        <r>
          <rPr>
            <sz val="9"/>
            <rFont val="宋体"/>
            <charset val="134"/>
          </rPr>
          <t xml:space="preserve">
5.28 4284</t>
        </r>
      </text>
    </comment>
    <comment ref="T793" authorId="0">
      <text>
        <r>
          <rPr>
            <b/>
            <sz val="9"/>
            <rFont val="宋体"/>
            <charset val="134"/>
          </rPr>
          <t>Administrator:</t>
        </r>
        <r>
          <rPr>
            <sz val="9"/>
            <rFont val="宋体"/>
            <charset val="134"/>
          </rPr>
          <t xml:space="preserve">
应付19427.8</t>
        </r>
      </text>
    </comment>
    <comment ref="T796" authorId="0">
      <text>
        <r>
          <rPr>
            <b/>
            <sz val="9"/>
            <rFont val="宋体"/>
            <charset val="134"/>
          </rPr>
          <t>Administrator:</t>
        </r>
        <r>
          <rPr>
            <sz val="9"/>
            <rFont val="宋体"/>
            <charset val="134"/>
          </rPr>
          <t xml:space="preserve">
应付19190.36</t>
        </r>
      </text>
    </comment>
    <comment ref="T797" authorId="0">
      <text>
        <r>
          <rPr>
            <b/>
            <sz val="9"/>
            <rFont val="宋体"/>
            <charset val="134"/>
          </rPr>
          <t>Administrator:</t>
        </r>
        <r>
          <rPr>
            <sz val="9"/>
            <rFont val="宋体"/>
            <charset val="134"/>
          </rPr>
          <t xml:space="preserve">
应付18350.5</t>
        </r>
      </text>
    </comment>
    <comment ref="Q801" authorId="0">
      <text>
        <r>
          <rPr>
            <b/>
            <sz val="9"/>
            <rFont val="宋体"/>
            <charset val="134"/>
          </rPr>
          <t>Administrator:</t>
        </r>
        <r>
          <rPr>
            <sz val="9"/>
            <rFont val="宋体"/>
            <charset val="134"/>
          </rPr>
          <t xml:space="preserve">
13851 7.31</t>
        </r>
      </text>
    </comment>
    <comment ref="T801" authorId="0">
      <text>
        <r>
          <rPr>
            <b/>
            <sz val="9"/>
            <rFont val="宋体"/>
            <charset val="134"/>
          </rPr>
          <t>Administrator:</t>
        </r>
        <r>
          <rPr>
            <sz val="9"/>
            <rFont val="宋体"/>
            <charset val="134"/>
          </rPr>
          <t xml:space="preserve">
客户扣去了卡塔尔展会样品的清关费和样品送到展馆的车费共：$87.67
</t>
        </r>
      </text>
    </comment>
    <comment ref="Q802" authorId="0">
      <text>
        <r>
          <rPr>
            <b/>
            <sz val="9"/>
            <rFont val="宋体"/>
            <charset val="134"/>
          </rPr>
          <t>Administrator:</t>
        </r>
        <r>
          <rPr>
            <sz val="9"/>
            <rFont val="宋体"/>
            <charset val="134"/>
          </rPr>
          <t xml:space="preserve">
实收4070</t>
        </r>
      </text>
    </comment>
    <comment ref="Q805" authorId="0">
      <text>
        <r>
          <rPr>
            <b/>
            <sz val="9"/>
            <rFont val="宋体"/>
            <charset val="134"/>
          </rPr>
          <t>Administrator:</t>
        </r>
        <r>
          <rPr>
            <sz val="9"/>
            <rFont val="宋体"/>
            <charset val="134"/>
          </rPr>
          <t xml:space="preserve">
RMB41000+RMB25000
汇率7.0782+7.1223</t>
        </r>
      </text>
    </comment>
    <comment ref="T805" authorId="0">
      <text>
        <r>
          <rPr>
            <b/>
            <sz val="9"/>
            <rFont val="宋体"/>
            <charset val="134"/>
          </rPr>
          <t>Administrator:</t>
        </r>
        <r>
          <rPr>
            <sz val="9"/>
            <rFont val="宋体"/>
            <charset val="134"/>
          </rPr>
          <t xml:space="preserve">
2019.12.25RMB144000汇率6.9993 折合20573.48美金
多了4570.39美金作为J3614-2定金</t>
        </r>
      </text>
    </comment>
    <comment ref="Q806" authorId="0">
      <text>
        <r>
          <rPr>
            <b/>
            <sz val="9"/>
            <rFont val="宋体"/>
            <charset val="134"/>
          </rPr>
          <t>Administrator:
J3614尾款多打4570.39 作为J3614-2定金</t>
        </r>
      </text>
    </comment>
    <comment ref="T806" authorId="0">
      <text>
        <r>
          <rPr>
            <b/>
            <sz val="9"/>
            <rFont val="宋体"/>
            <charset val="134"/>
          </rPr>
          <t>Administrator:</t>
        </r>
        <r>
          <rPr>
            <sz val="9"/>
            <rFont val="宋体"/>
            <charset val="134"/>
          </rPr>
          <t xml:space="preserve">
应付美金18964.09 2020.1.10 收RMB131000 汇率6.92</t>
        </r>
      </text>
    </comment>
    <comment ref="Q807" authorId="0">
      <text>
        <r>
          <rPr>
            <b/>
            <sz val="9"/>
            <rFont val="Tahoma"/>
            <charset val="134"/>
          </rPr>
          <t>Administrator:</t>
        </r>
        <r>
          <rPr>
            <sz val="9"/>
            <rFont val="Tahoma"/>
            <charset val="134"/>
          </rPr>
          <t xml:space="preserve">
2019.9.30</t>
        </r>
      </text>
    </comment>
    <comment ref="Q808" authorId="0">
      <text>
        <r>
          <rPr>
            <b/>
            <sz val="9"/>
            <rFont val="宋体"/>
            <charset val="134"/>
          </rPr>
          <t>Administrator:</t>
        </r>
        <r>
          <rPr>
            <sz val="9"/>
            <rFont val="宋体"/>
            <charset val="134"/>
          </rPr>
          <t xml:space="preserve">
实收6120.5</t>
        </r>
      </text>
    </comment>
    <comment ref="T808" authorId="0">
      <text>
        <r>
          <rPr>
            <b/>
            <sz val="9"/>
            <rFont val="宋体"/>
            <charset val="134"/>
          </rPr>
          <t>Administrator:</t>
        </r>
        <r>
          <rPr>
            <sz val="9"/>
            <rFont val="宋体"/>
            <charset val="134"/>
          </rPr>
          <t xml:space="preserve">
应付14360</t>
        </r>
      </text>
    </comment>
    <comment ref="Q811" authorId="0">
      <text>
        <r>
          <rPr>
            <b/>
            <sz val="9"/>
            <rFont val="宋体"/>
            <charset val="134"/>
          </rPr>
          <t>Administrator:</t>
        </r>
        <r>
          <rPr>
            <sz val="9"/>
            <rFont val="宋体"/>
            <charset val="134"/>
          </rPr>
          <t xml:space="preserve">
实收3135.5</t>
        </r>
      </text>
    </comment>
    <comment ref="T811" authorId="0">
      <text>
        <r>
          <rPr>
            <b/>
            <sz val="9"/>
            <rFont val="宋体"/>
            <charset val="134"/>
          </rPr>
          <t>Administrator:</t>
        </r>
        <r>
          <rPr>
            <sz val="9"/>
            <rFont val="宋体"/>
            <charset val="134"/>
          </rPr>
          <t xml:space="preserve">
J3629:  $17495.88
M3646: 应收$16653.77, 客户实际打了$16515.79. 客户算错了，少打了$136.98</t>
        </r>
      </text>
    </comment>
    <comment ref="Q813" authorId="0">
      <text>
        <r>
          <rPr>
            <b/>
            <sz val="9"/>
            <rFont val="宋体"/>
            <charset val="134"/>
          </rPr>
          <t>Administrator:</t>
        </r>
        <r>
          <rPr>
            <sz val="9"/>
            <rFont val="宋体"/>
            <charset val="134"/>
          </rPr>
          <t xml:space="preserve">
实收4308.7</t>
        </r>
      </text>
    </comment>
    <comment ref="Q814" authorId="0">
      <text>
        <r>
          <rPr>
            <b/>
            <sz val="9"/>
            <rFont val="宋体"/>
            <charset val="134"/>
          </rPr>
          <t>Administrator:</t>
        </r>
        <r>
          <rPr>
            <sz val="9"/>
            <rFont val="宋体"/>
            <charset val="134"/>
          </rPr>
          <t xml:space="preserve">
实收5910.5</t>
        </r>
      </text>
    </comment>
    <comment ref="T814" authorId="0">
      <text>
        <r>
          <rPr>
            <b/>
            <sz val="9"/>
            <rFont val="宋体"/>
            <charset val="134"/>
          </rPr>
          <t>Administrator:</t>
        </r>
        <r>
          <rPr>
            <sz val="9"/>
            <rFont val="宋体"/>
            <charset val="134"/>
          </rPr>
          <t xml:space="preserve">
实收13835.58</t>
        </r>
      </text>
    </comment>
    <comment ref="T817" authorId="0">
      <text>
        <r>
          <rPr>
            <b/>
            <sz val="9"/>
            <rFont val="宋体"/>
            <charset val="134"/>
          </rPr>
          <t>Administrator:</t>
        </r>
        <r>
          <rPr>
            <sz val="9"/>
            <rFont val="宋体"/>
            <charset val="134"/>
          </rPr>
          <t xml:space="preserve">
M3676和J3681共收到25448.1</t>
        </r>
      </text>
    </comment>
    <comment ref="Q820" authorId="0">
      <text>
        <r>
          <rPr>
            <b/>
            <sz val="9"/>
            <rFont val="宋体"/>
            <charset val="134"/>
          </rPr>
          <t>Administrator:</t>
        </r>
        <r>
          <rPr>
            <sz val="9"/>
            <rFont val="宋体"/>
            <charset val="134"/>
          </rPr>
          <t xml:space="preserve">
2020.1.9实收3157.07</t>
        </r>
      </text>
    </comment>
    <comment ref="T820" authorId="0">
      <text>
        <r>
          <rPr>
            <b/>
            <sz val="9"/>
            <rFont val="宋体"/>
            <charset val="134"/>
          </rPr>
          <t xml:space="preserve">Administrator:
</t>
        </r>
        <r>
          <rPr>
            <sz val="9"/>
            <rFont val="宋体"/>
            <charset val="134"/>
          </rPr>
          <t>2020.5.11收</t>
        </r>
      </text>
    </comment>
    <comment ref="U820" authorId="0">
      <text>
        <r>
          <rPr>
            <b/>
            <sz val="9"/>
            <rFont val="宋体"/>
            <charset val="134"/>
          </rPr>
          <t>Administrator:</t>
        </r>
        <r>
          <rPr>
            <sz val="9"/>
            <rFont val="宋体"/>
            <charset val="134"/>
          </rPr>
          <t xml:space="preserve">
2020.5.11收人民币2036  汇率7.0692</t>
        </r>
      </text>
    </comment>
    <comment ref="Q821" authorId="0">
      <text>
        <r>
          <rPr>
            <b/>
            <sz val="9"/>
            <rFont val="宋体"/>
            <charset val="134"/>
          </rPr>
          <t>Administrator:</t>
        </r>
        <r>
          <rPr>
            <sz val="9"/>
            <rFont val="宋体"/>
            <charset val="134"/>
          </rPr>
          <t xml:space="preserve">
水单20208.07美金2020.1.16实收20180.57美金</t>
        </r>
      </text>
    </comment>
    <comment ref="T821" authorId="0">
      <text>
        <r>
          <rPr>
            <b/>
            <sz val="9"/>
            <rFont val="宋体"/>
            <charset val="134"/>
          </rPr>
          <t>Administrator:</t>
        </r>
        <r>
          <rPr>
            <sz val="9"/>
            <rFont val="宋体"/>
            <charset val="134"/>
          </rPr>
          <t xml:space="preserve">
2020.6.28收</t>
        </r>
      </text>
    </comment>
    <comment ref="U821" authorId="0">
      <text>
        <r>
          <rPr>
            <b/>
            <sz val="9"/>
            <rFont val="宋体"/>
            <charset val="134"/>
          </rPr>
          <t>Administrator:</t>
        </r>
        <r>
          <rPr>
            <sz val="9"/>
            <rFont val="宋体"/>
            <charset val="134"/>
          </rPr>
          <t xml:space="preserve">
2020.7.1收</t>
        </r>
      </text>
    </comment>
    <comment ref="T822" authorId="0">
      <text>
        <r>
          <rPr>
            <b/>
            <sz val="9"/>
            <rFont val="宋体"/>
            <charset val="134"/>
          </rPr>
          <t>Administrator:</t>
        </r>
        <r>
          <rPr>
            <sz val="9"/>
            <rFont val="宋体"/>
            <charset val="134"/>
          </rPr>
          <t xml:space="preserve">
付欧元16269.24 2020.4.27收</t>
        </r>
      </text>
    </comment>
    <comment ref="T823" authorId="0">
      <text>
        <r>
          <rPr>
            <b/>
            <sz val="9"/>
            <rFont val="宋体"/>
            <charset val="134"/>
          </rPr>
          <t>Administrator:</t>
        </r>
        <r>
          <rPr>
            <sz val="9"/>
            <rFont val="宋体"/>
            <charset val="134"/>
          </rPr>
          <t xml:space="preserve">
2020.7.2收</t>
        </r>
      </text>
    </comment>
    <comment ref="Q824" authorId="0">
      <text>
        <r>
          <rPr>
            <b/>
            <sz val="9"/>
            <rFont val="宋体"/>
            <charset val="134"/>
          </rPr>
          <t>Administrator:</t>
        </r>
        <r>
          <rPr>
            <sz val="9"/>
            <rFont val="宋体"/>
            <charset val="134"/>
          </rPr>
          <t xml:space="preserve">
2020.2.10到账7095.5美金</t>
        </r>
      </text>
    </comment>
    <comment ref="T824" authorId="0">
      <text>
        <r>
          <rPr>
            <b/>
            <sz val="9"/>
            <rFont val="宋体"/>
            <charset val="134"/>
          </rPr>
          <t>Administrator:</t>
        </r>
        <r>
          <rPr>
            <sz val="9"/>
            <rFont val="宋体"/>
            <charset val="134"/>
          </rPr>
          <t xml:space="preserve">
2020.4.29收</t>
        </r>
      </text>
    </comment>
    <comment ref="T825" authorId="0">
      <text>
        <r>
          <rPr>
            <b/>
            <sz val="9"/>
            <rFont val="宋体"/>
            <charset val="134"/>
          </rPr>
          <t>Administrator:</t>
        </r>
        <r>
          <rPr>
            <sz val="9"/>
            <rFont val="宋体"/>
            <charset val="134"/>
          </rPr>
          <t xml:space="preserve">
2020.4.1</t>
        </r>
      </text>
    </comment>
    <comment ref="T826" authorId="0">
      <text>
        <r>
          <rPr>
            <b/>
            <sz val="9"/>
            <rFont val="宋体"/>
            <charset val="134"/>
          </rPr>
          <t>Administrator:</t>
        </r>
        <r>
          <rPr>
            <sz val="9"/>
            <rFont val="宋体"/>
            <charset val="134"/>
          </rPr>
          <t xml:space="preserve">
2020.7.31 收11816.57美金</t>
        </r>
      </text>
    </comment>
    <comment ref="T827" authorId="0">
      <text>
        <r>
          <rPr>
            <b/>
            <sz val="9"/>
            <rFont val="宋体"/>
            <charset val="134"/>
          </rPr>
          <t>Administrator:</t>
        </r>
        <r>
          <rPr>
            <sz val="9"/>
            <rFont val="宋体"/>
            <charset val="134"/>
          </rPr>
          <t xml:space="preserve">
2020.5.20收</t>
        </r>
      </text>
    </comment>
    <comment ref="T828" authorId="0">
      <text>
        <r>
          <rPr>
            <b/>
            <sz val="9"/>
            <rFont val="宋体"/>
            <charset val="134"/>
          </rPr>
          <t>Administrator:</t>
        </r>
        <r>
          <rPr>
            <sz val="9"/>
            <rFont val="宋体"/>
            <charset val="134"/>
          </rPr>
          <t xml:space="preserve">
水单11931.83美金2020.6.17收</t>
        </r>
      </text>
    </comment>
    <comment ref="Q829" authorId="0">
      <text>
        <r>
          <rPr>
            <b/>
            <sz val="9"/>
            <rFont val="宋体"/>
            <charset val="134"/>
          </rPr>
          <t>Administrator:</t>
        </r>
        <r>
          <rPr>
            <sz val="9"/>
            <rFont val="宋体"/>
            <charset val="134"/>
          </rPr>
          <t xml:space="preserve">
2020.2.18收到定金14150 用于M3743-1-2</t>
        </r>
      </text>
    </comment>
    <comment ref="T829" authorId="0">
      <text>
        <r>
          <rPr>
            <b/>
            <sz val="9"/>
            <rFont val="宋体"/>
            <charset val="134"/>
          </rPr>
          <t>Administrator:</t>
        </r>
        <r>
          <rPr>
            <sz val="9"/>
            <rFont val="宋体"/>
            <charset val="134"/>
          </rPr>
          <t xml:space="preserve">
2020.5.3收28848.5美金 -1-2尾款</t>
        </r>
      </text>
    </comment>
    <comment ref="Q830" authorId="0">
      <text>
        <r>
          <rPr>
            <b/>
            <sz val="9"/>
            <rFont val="宋体"/>
            <charset val="134"/>
          </rPr>
          <t>Administrator:</t>
        </r>
        <r>
          <rPr>
            <sz val="9"/>
            <rFont val="宋体"/>
            <charset val="134"/>
          </rPr>
          <t xml:space="preserve">
2020.2.18收到定金14150 用于M3743-1-2</t>
        </r>
      </text>
    </comment>
    <comment ref="T831" authorId="0">
      <text>
        <r>
          <rPr>
            <b/>
            <sz val="9"/>
            <rFont val="宋体"/>
            <charset val="134"/>
          </rPr>
          <t>Administrator:</t>
        </r>
        <r>
          <rPr>
            <sz val="9"/>
            <rFont val="宋体"/>
            <charset val="134"/>
          </rPr>
          <t xml:space="preserve">
2020.6.10收</t>
        </r>
      </text>
    </comment>
    <comment ref="Q833"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3" authorId="0">
      <text>
        <r>
          <rPr>
            <b/>
            <sz val="9"/>
            <rFont val="宋体"/>
            <charset val="134"/>
          </rPr>
          <t>Administrator:</t>
        </r>
        <r>
          <rPr>
            <sz val="9"/>
            <rFont val="宋体"/>
            <charset val="134"/>
          </rPr>
          <t xml:space="preserve">
2020.8.28收 汇率</t>
        </r>
      </text>
    </comment>
    <comment ref="U833" authorId="0">
      <text>
        <r>
          <rPr>
            <b/>
            <sz val="9"/>
            <rFont val="宋体"/>
            <charset val="134"/>
          </rPr>
          <t>Administrator:</t>
        </r>
        <r>
          <rPr>
            <sz val="9"/>
            <rFont val="宋体"/>
            <charset val="134"/>
          </rPr>
          <t xml:space="preserve">
2020.9.2收58000人民币 汇率6.8</t>
        </r>
      </text>
    </comment>
    <comment ref="Q834" authorId="0">
      <text>
        <r>
          <rPr>
            <b/>
            <sz val="9"/>
            <rFont val="宋体"/>
            <charset val="134"/>
          </rPr>
          <t>Administrator:</t>
        </r>
        <r>
          <rPr>
            <sz val="9"/>
            <rFont val="宋体"/>
            <charset val="134"/>
          </rPr>
          <t xml:space="preserve">
水单27071美金2020.4.23收27046.5美金</t>
        </r>
      </text>
    </comment>
    <comment ref="T835" authorId="0">
      <text>
        <r>
          <rPr>
            <b/>
            <sz val="9"/>
            <rFont val="宋体"/>
            <charset val="134"/>
          </rPr>
          <t>Administrator:</t>
        </r>
        <r>
          <rPr>
            <sz val="9"/>
            <rFont val="宋体"/>
            <charset val="134"/>
          </rPr>
          <t xml:space="preserve">
水单10040美金2020.5.20收</t>
        </r>
      </text>
    </comment>
    <comment ref="Q836" authorId="0">
      <text>
        <r>
          <rPr>
            <b/>
            <sz val="9"/>
            <rFont val="宋体"/>
            <charset val="134"/>
          </rPr>
          <t>Administrator:</t>
        </r>
        <r>
          <rPr>
            <sz val="9"/>
            <rFont val="宋体"/>
            <charset val="134"/>
          </rPr>
          <t xml:space="preserve">
2020.5.6 收$3928.6</t>
        </r>
      </text>
    </comment>
    <comment ref="T836" authorId="0">
      <text>
        <r>
          <rPr>
            <b/>
            <sz val="9"/>
            <rFont val="宋体"/>
            <charset val="134"/>
          </rPr>
          <t>Administrator:</t>
        </r>
        <r>
          <rPr>
            <sz val="9"/>
            <rFont val="宋体"/>
            <charset val="134"/>
          </rPr>
          <t xml:space="preserve">
2020.8.17收15822.2美金</t>
        </r>
      </text>
    </comment>
    <comment ref="Q837" authorId="0">
      <text>
        <r>
          <rPr>
            <b/>
            <sz val="9"/>
            <rFont val="宋体"/>
            <charset val="134"/>
          </rPr>
          <t>Administrator:</t>
        </r>
        <r>
          <rPr>
            <sz val="9"/>
            <rFont val="宋体"/>
            <charset val="134"/>
          </rPr>
          <t xml:space="preserve">
2020.5.7收5104美金</t>
        </r>
      </text>
    </comment>
    <comment ref="T837" authorId="0">
      <text>
        <r>
          <rPr>
            <b/>
            <sz val="9"/>
            <rFont val="宋体"/>
            <charset val="134"/>
          </rPr>
          <t>Administrator:</t>
        </r>
        <r>
          <rPr>
            <sz val="9"/>
            <rFont val="宋体"/>
            <charset val="134"/>
          </rPr>
          <t xml:space="preserve">
2020.6.9收</t>
        </r>
      </text>
    </comment>
    <comment ref="Q838" authorId="0">
      <text>
        <r>
          <rPr>
            <b/>
            <sz val="9"/>
            <rFont val="宋体"/>
            <charset val="134"/>
          </rPr>
          <t>Administrator:</t>
        </r>
        <r>
          <rPr>
            <sz val="9"/>
            <rFont val="宋体"/>
            <charset val="134"/>
          </rPr>
          <t xml:space="preserve">
水单23000美金 2020.5.14收$22967.5
减去1160美金 客户转给别处了</t>
        </r>
      </text>
    </comment>
    <comment ref="T838" authorId="0">
      <text>
        <r>
          <rPr>
            <b/>
            <sz val="9"/>
            <rFont val="宋体"/>
            <charset val="134"/>
          </rPr>
          <t>Administrator:</t>
        </r>
        <r>
          <rPr>
            <sz val="9"/>
            <rFont val="宋体"/>
            <charset val="134"/>
          </rPr>
          <t xml:space="preserve">
2020.8.17 收47558.8美金</t>
        </r>
      </text>
    </comment>
    <comment ref="Q839" authorId="0">
      <text>
        <r>
          <rPr>
            <b/>
            <sz val="9"/>
            <rFont val="宋体"/>
            <charset val="134"/>
          </rPr>
          <t>Administrator:</t>
        </r>
        <r>
          <rPr>
            <sz val="9"/>
            <rFont val="宋体"/>
            <charset val="134"/>
          </rPr>
          <t xml:space="preserve">
2020.5.19收$4866.5</t>
        </r>
      </text>
    </comment>
    <comment ref="T839" authorId="0">
      <text>
        <r>
          <rPr>
            <b/>
            <sz val="9"/>
            <rFont val="宋体"/>
            <charset val="134"/>
          </rPr>
          <t>Administrator:</t>
        </r>
        <r>
          <rPr>
            <sz val="9"/>
            <rFont val="宋体"/>
            <charset val="134"/>
          </rPr>
          <t xml:space="preserve">
2020.6.4收</t>
        </r>
      </text>
    </comment>
    <comment ref="Q840" authorId="0">
      <text>
        <r>
          <rPr>
            <b/>
            <sz val="9"/>
            <rFont val="宋体"/>
            <charset val="134"/>
          </rPr>
          <t>Administrator:</t>
        </r>
        <r>
          <rPr>
            <sz val="9"/>
            <rFont val="宋体"/>
            <charset val="134"/>
          </rPr>
          <t xml:space="preserve">
2020.6.2收$6339</t>
        </r>
      </text>
    </comment>
    <comment ref="T840" authorId="0">
      <text>
        <r>
          <rPr>
            <b/>
            <sz val="9"/>
            <rFont val="宋体"/>
            <charset val="134"/>
          </rPr>
          <t>Administrator:</t>
        </r>
        <r>
          <rPr>
            <sz val="9"/>
            <rFont val="宋体"/>
            <charset val="134"/>
          </rPr>
          <t xml:space="preserve">
2020.6.29收</t>
        </r>
      </text>
    </comment>
    <comment ref="Q841" authorId="0">
      <text>
        <r>
          <rPr>
            <b/>
            <sz val="9"/>
            <rFont val="宋体"/>
            <charset val="134"/>
          </rPr>
          <t>Administrator:</t>
        </r>
        <r>
          <rPr>
            <sz val="9"/>
            <rFont val="宋体"/>
            <charset val="134"/>
          </rPr>
          <t xml:space="preserve">
2020.6.24收7783.1美金</t>
        </r>
      </text>
    </comment>
    <comment ref="T841" authorId="0">
      <text>
        <r>
          <rPr>
            <b/>
            <sz val="9"/>
            <rFont val="宋体"/>
            <charset val="134"/>
          </rPr>
          <t>Administrator:</t>
        </r>
        <r>
          <rPr>
            <sz val="9"/>
            <rFont val="宋体"/>
            <charset val="134"/>
          </rPr>
          <t xml:space="preserve">
2020.9.4收31253美金</t>
        </r>
      </text>
    </comment>
    <comment ref="Q842" authorId="0">
      <text>
        <r>
          <rPr>
            <b/>
            <sz val="9"/>
            <rFont val="宋体"/>
            <charset val="134"/>
          </rPr>
          <t>Administrator:</t>
        </r>
        <r>
          <rPr>
            <sz val="9"/>
            <rFont val="宋体"/>
            <charset val="134"/>
          </rPr>
          <t xml:space="preserve">
水单29740美金2020.7.15收</t>
        </r>
      </text>
    </comment>
    <comment ref="T842" authorId="0">
      <text>
        <r>
          <rPr>
            <b/>
            <sz val="9"/>
            <rFont val="宋体"/>
            <charset val="134"/>
          </rPr>
          <t>Administrator:</t>
        </r>
        <r>
          <rPr>
            <sz val="9"/>
            <rFont val="宋体"/>
            <charset val="134"/>
          </rPr>
          <t xml:space="preserve">
2020.9.15收</t>
        </r>
      </text>
    </comment>
    <comment ref="T843" authorId="0">
      <text>
        <r>
          <rPr>
            <b/>
            <sz val="9"/>
            <rFont val="宋体"/>
            <charset val="134"/>
          </rPr>
          <t>Administrator:</t>
        </r>
        <r>
          <rPr>
            <sz val="9"/>
            <rFont val="宋体"/>
            <charset val="134"/>
          </rPr>
          <t xml:space="preserve">
2020.9.15收
</t>
        </r>
      </text>
    </comment>
    <comment ref="Q844" authorId="0">
      <text>
        <r>
          <rPr>
            <b/>
            <sz val="9"/>
            <rFont val="宋体"/>
            <charset val="134"/>
          </rPr>
          <t>Administrator:</t>
        </r>
        <r>
          <rPr>
            <sz val="9"/>
            <rFont val="宋体"/>
            <charset val="134"/>
          </rPr>
          <t xml:space="preserve">
2020.7.14收</t>
        </r>
      </text>
    </comment>
    <comment ref="T844" authorId="0">
      <text>
        <r>
          <rPr>
            <b/>
            <sz val="9"/>
            <rFont val="宋体"/>
            <charset val="134"/>
          </rPr>
          <t>Administrator:</t>
        </r>
        <r>
          <rPr>
            <sz val="9"/>
            <rFont val="宋体"/>
            <charset val="134"/>
          </rPr>
          <t xml:space="preserve">
2020.8.4收14420.95美金</t>
        </r>
      </text>
    </comment>
    <comment ref="Q845" authorId="0">
      <text>
        <r>
          <rPr>
            <b/>
            <sz val="9"/>
            <rFont val="宋体"/>
            <charset val="134"/>
          </rPr>
          <t>Administrator:</t>
        </r>
        <r>
          <rPr>
            <sz val="9"/>
            <rFont val="宋体"/>
            <charset val="134"/>
          </rPr>
          <t xml:space="preserve">
2020.7.29收到42728.47RMB 汇率6.99</t>
        </r>
      </text>
    </comment>
    <comment ref="T845" authorId="0">
      <text>
        <r>
          <rPr>
            <b/>
            <sz val="9"/>
            <rFont val="宋体"/>
            <charset val="134"/>
          </rPr>
          <t>Administrator:</t>
        </r>
        <r>
          <rPr>
            <sz val="9"/>
            <rFont val="宋体"/>
            <charset val="134"/>
          </rPr>
          <t xml:space="preserve">
2020.9.11收95885.38RMB 汇率6.82</t>
        </r>
      </text>
    </comment>
    <comment ref="U845" authorId="0">
      <text>
        <r>
          <rPr>
            <b/>
            <sz val="9"/>
            <rFont val="宋体"/>
            <charset val="134"/>
          </rPr>
          <t>Administrator:</t>
        </r>
        <r>
          <rPr>
            <sz val="9"/>
            <rFont val="宋体"/>
            <charset val="134"/>
          </rPr>
          <t xml:space="preserve">
2020.9.27收7590RMB
汇率6.9算给货代</t>
        </r>
      </text>
    </comment>
    <comment ref="Q846" authorId="0">
      <text>
        <r>
          <rPr>
            <b/>
            <sz val="9"/>
            <rFont val="宋体"/>
            <charset val="134"/>
          </rPr>
          <t>Administrator:</t>
        </r>
        <r>
          <rPr>
            <sz val="9"/>
            <rFont val="宋体"/>
            <charset val="134"/>
          </rPr>
          <t xml:space="preserve">
M3841客户多付了$35.4。算到这个单子里
2020.8.5收8482美金</t>
        </r>
      </text>
    </comment>
    <comment ref="T846" authorId="0">
      <text>
        <r>
          <rPr>
            <b/>
            <sz val="9"/>
            <rFont val="宋体"/>
            <charset val="134"/>
          </rPr>
          <t>Administrator:</t>
        </r>
        <r>
          <rPr>
            <sz val="9"/>
            <rFont val="宋体"/>
            <charset val="134"/>
          </rPr>
          <t xml:space="preserve">
2020.8.26收19797.9</t>
        </r>
      </text>
    </comment>
    <comment ref="Q847" authorId="0">
      <text>
        <r>
          <rPr>
            <b/>
            <sz val="9"/>
            <rFont val="宋体"/>
            <charset val="134"/>
          </rPr>
          <t>Administrator:</t>
        </r>
        <r>
          <rPr>
            <sz val="9"/>
            <rFont val="宋体"/>
            <charset val="134"/>
          </rPr>
          <t xml:space="preserve">
2020.8.25收5577</t>
        </r>
      </text>
    </comment>
    <comment ref="T847" authorId="0">
      <text>
        <r>
          <rPr>
            <b/>
            <sz val="9"/>
            <rFont val="宋体"/>
            <charset val="134"/>
          </rPr>
          <t>Administrator:</t>
        </r>
        <r>
          <rPr>
            <sz val="9"/>
            <rFont val="宋体"/>
            <charset val="134"/>
          </rPr>
          <t xml:space="preserve">
2020.9.17收13055.25</t>
        </r>
      </text>
    </comment>
    <comment ref="Q848" authorId="0">
      <text>
        <r>
          <rPr>
            <b/>
            <sz val="9"/>
            <rFont val="宋体"/>
            <charset val="134"/>
          </rPr>
          <t>Administrator:</t>
        </r>
        <r>
          <rPr>
            <sz val="9"/>
            <rFont val="宋体"/>
            <charset val="134"/>
          </rPr>
          <t xml:space="preserve">
2020.9.2收13129.3
水单13164.3</t>
        </r>
      </text>
    </comment>
    <comment ref="T848" authorId="0">
      <text>
        <r>
          <rPr>
            <b/>
            <sz val="9"/>
            <rFont val="宋体"/>
            <charset val="134"/>
          </rPr>
          <t>Administrator:</t>
        </r>
        <r>
          <rPr>
            <sz val="9"/>
            <rFont val="宋体"/>
            <charset val="134"/>
          </rPr>
          <t xml:space="preserve">
2020.11.12收31506.45</t>
        </r>
      </text>
    </comment>
    <comment ref="T849" authorId="0">
      <text>
        <r>
          <rPr>
            <b/>
            <sz val="9"/>
            <rFont val="宋体"/>
            <charset val="134"/>
          </rPr>
          <t>Administrator:</t>
        </r>
        <r>
          <rPr>
            <sz val="9"/>
            <rFont val="宋体"/>
            <charset val="134"/>
          </rPr>
          <t xml:space="preserve">
2020.12.1收19988</t>
        </r>
      </text>
    </comment>
    <comment ref="U849" authorId="0">
      <text>
        <r>
          <rPr>
            <b/>
            <sz val="9"/>
            <rFont val="宋体"/>
            <charset val="134"/>
          </rPr>
          <t>Administrator:</t>
        </r>
        <r>
          <rPr>
            <sz val="9"/>
            <rFont val="宋体"/>
            <charset val="134"/>
          </rPr>
          <t xml:space="preserve">
2020.12.3收14600.5</t>
        </r>
      </text>
    </comment>
    <comment ref="Q850" authorId="0">
      <text>
        <r>
          <rPr>
            <b/>
            <sz val="9"/>
            <rFont val="宋体"/>
            <charset val="134"/>
          </rPr>
          <t>Administrator:</t>
        </r>
        <r>
          <rPr>
            <sz val="9"/>
            <rFont val="宋体"/>
            <charset val="134"/>
          </rPr>
          <t xml:space="preserve">
2020.9.9收31176美金
水单31210</t>
        </r>
      </text>
    </comment>
    <comment ref="T850" authorId="0">
      <text>
        <r>
          <rPr>
            <b/>
            <sz val="9"/>
            <rFont val="宋体"/>
            <charset val="134"/>
          </rPr>
          <t>Administrator:</t>
        </r>
        <r>
          <rPr>
            <sz val="9"/>
            <rFont val="宋体"/>
            <charset val="134"/>
          </rPr>
          <t xml:space="preserve">
2020.11.4收29698</t>
        </r>
      </text>
    </comment>
    <comment ref="T851" authorId="0">
      <text>
        <r>
          <rPr>
            <b/>
            <sz val="9"/>
            <rFont val="宋体"/>
            <charset val="134"/>
          </rPr>
          <t>Administrator:</t>
        </r>
        <r>
          <rPr>
            <sz val="9"/>
            <rFont val="宋体"/>
            <charset val="134"/>
          </rPr>
          <t xml:space="preserve">
2020.11.18收33267.8</t>
        </r>
      </text>
    </comment>
    <comment ref="Q852" authorId="0">
      <text>
        <r>
          <rPr>
            <b/>
            <sz val="9"/>
            <rFont val="宋体"/>
            <charset val="134"/>
          </rPr>
          <t>Administrator:</t>
        </r>
        <r>
          <rPr>
            <sz val="9"/>
            <rFont val="宋体"/>
            <charset val="134"/>
          </rPr>
          <t xml:space="preserve">
2020.9.7收 25000+20000人民币 汇率6.82</t>
        </r>
      </text>
    </comment>
    <comment ref="T852" authorId="0">
      <text>
        <r>
          <rPr>
            <b/>
            <sz val="9"/>
            <rFont val="宋体"/>
            <charset val="134"/>
          </rPr>
          <t>Administrator:</t>
        </r>
        <r>
          <rPr>
            <sz val="9"/>
            <rFont val="宋体"/>
            <charset val="134"/>
          </rPr>
          <t xml:space="preserve">
2020.12.10收两万人民币
12.11收两万人民币
12.12收100000人民币
12.14收50000人民币</t>
        </r>
      </text>
    </comment>
    <comment ref="U852" authorId="0">
      <text>
        <r>
          <rPr>
            <b/>
            <sz val="9"/>
            <rFont val="宋体"/>
            <charset val="134"/>
          </rPr>
          <t>Administrator:</t>
        </r>
        <r>
          <rPr>
            <sz val="9"/>
            <rFont val="宋体"/>
            <charset val="134"/>
          </rPr>
          <t xml:space="preserve">
2020.12.18收RMB40896</t>
        </r>
      </text>
    </comment>
    <comment ref="Q853" authorId="0">
      <text>
        <r>
          <rPr>
            <b/>
            <sz val="9"/>
            <rFont val="宋体"/>
            <charset val="134"/>
          </rPr>
          <t>Administrator:</t>
        </r>
        <r>
          <rPr>
            <sz val="9"/>
            <rFont val="宋体"/>
            <charset val="134"/>
          </rPr>
          <t xml:space="preserve">
2020.9.14收</t>
        </r>
      </text>
    </comment>
    <comment ref="Q854"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4" authorId="0">
      <text>
        <r>
          <rPr>
            <b/>
            <sz val="9"/>
            <rFont val="宋体"/>
            <charset val="134"/>
          </rPr>
          <t>Administrator:</t>
        </r>
        <r>
          <rPr>
            <sz val="9"/>
            <rFont val="宋体"/>
            <charset val="134"/>
          </rPr>
          <t xml:space="preserve">
2020.12.4收17586.1</t>
        </r>
      </text>
    </comment>
    <comment ref="Q855" authorId="0">
      <text>
        <r>
          <rPr>
            <b/>
            <sz val="9"/>
            <rFont val="宋体"/>
            <charset val="134"/>
          </rPr>
          <t>Administrator:</t>
        </r>
        <r>
          <rPr>
            <sz val="9"/>
            <rFont val="宋体"/>
            <charset val="134"/>
          </rPr>
          <t xml:space="preserve">
2020.9.30收RMB30000
2020.10.13收6000美金</t>
        </r>
      </text>
    </comment>
    <comment ref="T855" authorId="0">
      <text>
        <r>
          <rPr>
            <b/>
            <sz val="9"/>
            <rFont val="宋体"/>
            <charset val="134"/>
          </rPr>
          <t>Administrator:</t>
        </r>
        <r>
          <rPr>
            <sz val="9"/>
            <rFont val="宋体"/>
            <charset val="134"/>
          </rPr>
          <t xml:space="preserve">
2020.10.23收16148</t>
        </r>
      </text>
    </comment>
    <comment ref="Q856" authorId="0">
      <text>
        <r>
          <rPr>
            <b/>
            <sz val="9"/>
            <rFont val="宋体"/>
            <charset val="134"/>
          </rPr>
          <t>Administrator:</t>
        </r>
        <r>
          <rPr>
            <sz val="9"/>
            <rFont val="宋体"/>
            <charset val="134"/>
          </rPr>
          <t xml:space="preserve">
2020.10.13收4356</t>
        </r>
      </text>
    </comment>
    <comment ref="T856" authorId="0">
      <text>
        <r>
          <rPr>
            <b/>
            <sz val="9"/>
            <rFont val="宋体"/>
            <charset val="134"/>
          </rPr>
          <t>Administrator:</t>
        </r>
        <r>
          <rPr>
            <sz val="9"/>
            <rFont val="宋体"/>
            <charset val="134"/>
          </rPr>
          <t xml:space="preserve">
2021.1.4收17870</t>
        </r>
      </text>
    </comment>
    <comment ref="Q857" authorId="0">
      <text>
        <r>
          <rPr>
            <b/>
            <sz val="9"/>
            <rFont val="宋体"/>
            <charset val="134"/>
          </rPr>
          <t>Administrator:</t>
        </r>
        <r>
          <rPr>
            <sz val="9"/>
            <rFont val="宋体"/>
            <charset val="134"/>
          </rPr>
          <t xml:space="preserve">
2020.10.15收</t>
        </r>
      </text>
    </comment>
    <comment ref="T857" authorId="0">
      <text>
        <r>
          <rPr>
            <b/>
            <sz val="9"/>
            <rFont val="宋体"/>
            <charset val="134"/>
          </rPr>
          <t>Administrator:</t>
        </r>
        <r>
          <rPr>
            <sz val="9"/>
            <rFont val="宋体"/>
            <charset val="134"/>
          </rPr>
          <t xml:space="preserve">
2021.1.15收38089</t>
        </r>
      </text>
    </comment>
    <comment ref="Q858" authorId="0">
      <text>
        <r>
          <rPr>
            <b/>
            <sz val="9"/>
            <rFont val="宋体"/>
            <charset val="134"/>
          </rPr>
          <t>Administrator:</t>
        </r>
        <r>
          <rPr>
            <sz val="9"/>
            <rFont val="宋体"/>
            <charset val="134"/>
          </rPr>
          <t xml:space="preserve">
2020.11.4收
水单13269美金</t>
        </r>
      </text>
    </comment>
    <comment ref="T858" authorId="0">
      <text>
        <r>
          <rPr>
            <b/>
            <sz val="9"/>
            <rFont val="宋体"/>
            <charset val="134"/>
          </rPr>
          <t>Administrator:</t>
        </r>
        <r>
          <rPr>
            <sz val="9"/>
            <rFont val="宋体"/>
            <charset val="134"/>
          </rPr>
          <t xml:space="preserve">
2020.12.30收17571.7美金</t>
        </r>
      </text>
    </comment>
    <comment ref="U858" authorId="0">
      <text>
        <r>
          <rPr>
            <b/>
            <sz val="9"/>
            <rFont val="宋体"/>
            <charset val="134"/>
          </rPr>
          <t>Administrator:</t>
        </r>
        <r>
          <rPr>
            <sz val="9"/>
            <rFont val="宋体"/>
            <charset val="134"/>
          </rPr>
          <t xml:space="preserve">
2020.12.31收19953</t>
        </r>
      </text>
    </comment>
    <comment ref="T859" authorId="0">
      <text>
        <r>
          <rPr>
            <b/>
            <sz val="9"/>
            <rFont val="宋体"/>
            <charset val="134"/>
          </rPr>
          <t>Administrator:</t>
        </r>
        <r>
          <rPr>
            <sz val="9"/>
            <rFont val="宋体"/>
            <charset val="134"/>
          </rPr>
          <t xml:space="preserve">
2021.1.19收19953</t>
        </r>
      </text>
    </comment>
    <comment ref="U859" authorId="0">
      <text>
        <r>
          <rPr>
            <b/>
            <sz val="9"/>
            <rFont val="宋体"/>
            <charset val="134"/>
          </rPr>
          <t>Administrator:</t>
        </r>
        <r>
          <rPr>
            <sz val="9"/>
            <rFont val="宋体"/>
            <charset val="134"/>
          </rPr>
          <t xml:space="preserve">
2021.1.20收18227.3</t>
        </r>
      </text>
    </comment>
    <comment ref="Q860" authorId="0">
      <text>
        <r>
          <rPr>
            <b/>
            <sz val="9"/>
            <rFont val="宋体"/>
            <charset val="134"/>
          </rPr>
          <t>Administrator:</t>
        </r>
        <r>
          <rPr>
            <sz val="9"/>
            <rFont val="宋体"/>
            <charset val="134"/>
          </rPr>
          <t xml:space="preserve">
2020.11.16收</t>
        </r>
      </text>
    </comment>
    <comment ref="T860" authorId="0">
      <text>
        <r>
          <rPr>
            <b/>
            <sz val="9"/>
            <rFont val="宋体"/>
            <charset val="134"/>
          </rPr>
          <t>Administrator:</t>
        </r>
        <r>
          <rPr>
            <sz val="9"/>
            <rFont val="宋体"/>
            <charset val="134"/>
          </rPr>
          <t xml:space="preserve">
2021.1.6收27046.33
J3933+3941</t>
        </r>
      </text>
    </comment>
    <comment ref="Q861" authorId="0">
      <text>
        <r>
          <rPr>
            <b/>
            <sz val="9"/>
            <rFont val="宋体"/>
            <charset val="134"/>
          </rPr>
          <t>Administrator:</t>
        </r>
        <r>
          <rPr>
            <sz val="9"/>
            <rFont val="宋体"/>
            <charset val="134"/>
          </rPr>
          <t xml:space="preserve">
2020.11.16收</t>
        </r>
      </text>
    </comment>
    <comment ref="T861" authorId="0">
      <text>
        <r>
          <rPr>
            <b/>
            <sz val="9"/>
            <rFont val="宋体"/>
            <charset val="134"/>
          </rPr>
          <t>Administrator:</t>
        </r>
        <r>
          <rPr>
            <sz val="9"/>
            <rFont val="宋体"/>
            <charset val="134"/>
          </rPr>
          <t xml:space="preserve">
2020.12.15收13236</t>
        </r>
      </text>
    </comment>
    <comment ref="Q862" authorId="0">
      <text>
        <r>
          <rPr>
            <b/>
            <sz val="9"/>
            <rFont val="宋体"/>
            <charset val="134"/>
          </rPr>
          <t>Administrator:</t>
        </r>
        <r>
          <rPr>
            <sz val="9"/>
            <rFont val="宋体"/>
            <charset val="134"/>
          </rPr>
          <t xml:space="preserve">
2020.11.17收5269</t>
        </r>
      </text>
    </comment>
    <comment ref="Q863" authorId="0">
      <text>
        <r>
          <rPr>
            <b/>
            <sz val="9"/>
            <rFont val="宋体"/>
            <charset val="134"/>
          </rPr>
          <t>Administrator:</t>
        </r>
        <r>
          <rPr>
            <sz val="9"/>
            <rFont val="宋体"/>
            <charset val="134"/>
          </rPr>
          <t xml:space="preserve">
2020.12.1收4970</t>
        </r>
      </text>
    </comment>
    <comment ref="T863" authorId="0">
      <text>
        <r>
          <rPr>
            <b/>
            <sz val="9"/>
            <rFont val="宋体"/>
            <charset val="134"/>
          </rPr>
          <t>Administrator:</t>
        </r>
        <r>
          <rPr>
            <sz val="9"/>
            <rFont val="宋体"/>
            <charset val="134"/>
          </rPr>
          <t xml:space="preserve">
2021.3.15收9140.3</t>
        </r>
      </text>
    </comment>
    <comment ref="Q864"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4" authorId="0">
      <text>
        <r>
          <rPr>
            <b/>
            <sz val="9"/>
            <rFont val="宋体"/>
            <charset val="134"/>
          </rPr>
          <t>Administrator:</t>
        </r>
        <r>
          <rPr>
            <sz val="9"/>
            <rFont val="宋体"/>
            <charset val="134"/>
          </rPr>
          <t xml:space="preserve">
2021.4.22收38235</t>
        </r>
      </text>
    </comment>
    <comment ref="Q865" authorId="0">
      <text>
        <r>
          <rPr>
            <b/>
            <sz val="9"/>
            <rFont val="宋体"/>
            <charset val="134"/>
          </rPr>
          <t>Administrator:</t>
        </r>
        <r>
          <rPr>
            <sz val="9"/>
            <rFont val="宋体"/>
            <charset val="134"/>
          </rPr>
          <t xml:space="preserve">
2021.1.8收6290
J3974多付514.28美金</t>
        </r>
      </text>
    </comment>
    <comment ref="T865" authorId="0">
      <text>
        <r>
          <rPr>
            <b/>
            <sz val="9"/>
            <rFont val="宋体"/>
            <charset val="134"/>
          </rPr>
          <t>Administrator:</t>
        </r>
        <r>
          <rPr>
            <sz val="9"/>
            <rFont val="宋体"/>
            <charset val="134"/>
          </rPr>
          <t xml:space="preserve">
2021.4.13收14204.72</t>
        </r>
      </text>
    </comment>
    <comment ref="Q866" authorId="0">
      <text>
        <r>
          <rPr>
            <b/>
            <sz val="9"/>
            <rFont val="宋体"/>
            <charset val="134"/>
          </rPr>
          <t>Administrator:</t>
        </r>
        <r>
          <rPr>
            <sz val="9"/>
            <rFont val="宋体"/>
            <charset val="134"/>
          </rPr>
          <t xml:space="preserve">
2021.1.27收6368</t>
        </r>
      </text>
    </comment>
    <comment ref="T866" authorId="0">
      <text>
        <r>
          <rPr>
            <b/>
            <sz val="9"/>
            <rFont val="宋体"/>
            <charset val="134"/>
          </rPr>
          <t>Administrator:</t>
        </r>
        <r>
          <rPr>
            <sz val="9"/>
            <rFont val="宋体"/>
            <charset val="134"/>
          </rPr>
          <t xml:space="preserve">
2021.3.30收14898.64</t>
        </r>
      </text>
    </comment>
    <comment ref="Q867" authorId="0">
      <text>
        <r>
          <rPr>
            <b/>
            <sz val="9"/>
            <rFont val="宋体"/>
            <charset val="134"/>
          </rPr>
          <t>Administrator:</t>
        </r>
        <r>
          <rPr>
            <sz val="9"/>
            <rFont val="宋体"/>
            <charset val="134"/>
          </rPr>
          <t xml:space="preserve">
2021.3.12收9425</t>
        </r>
      </text>
    </comment>
    <comment ref="T867" authorId="0">
      <text>
        <r>
          <rPr>
            <b/>
            <sz val="9"/>
            <rFont val="宋体"/>
            <charset val="134"/>
          </rPr>
          <t>Administrator:</t>
        </r>
        <r>
          <rPr>
            <sz val="9"/>
            <rFont val="宋体"/>
            <charset val="134"/>
          </rPr>
          <t xml:space="preserve">
2021.5.11收44104.3
J3992+J3998一起付的</t>
        </r>
      </text>
    </comment>
    <comment ref="Q868" authorId="0">
      <text>
        <r>
          <rPr>
            <b/>
            <sz val="9"/>
            <rFont val="宋体"/>
            <charset val="134"/>
          </rPr>
          <t>Administrator:</t>
        </r>
        <r>
          <rPr>
            <sz val="9"/>
            <rFont val="宋体"/>
            <charset val="134"/>
          </rPr>
          <t xml:space="preserve">
2021.3.4收¥55000(汇率6.46，折合美金$8512.93)--冻结中
2021.4.15打款RMB219924 汇率6.52</t>
        </r>
      </text>
    </comment>
    <comment ref="T868" authorId="0">
      <text>
        <r>
          <rPr>
            <b/>
            <sz val="9"/>
            <rFont val="宋体"/>
            <charset val="134"/>
          </rPr>
          <t>Administrator:</t>
        </r>
        <r>
          <rPr>
            <sz val="9"/>
            <rFont val="宋体"/>
            <charset val="134"/>
          </rPr>
          <t xml:space="preserve">
2021.8.5收RMB20万 汇率6.46  多打人民币24233</t>
        </r>
      </text>
    </comment>
    <comment ref="Q869" authorId="0">
      <text>
        <r>
          <rPr>
            <b/>
            <sz val="9"/>
            <rFont val="宋体"/>
            <charset val="134"/>
          </rPr>
          <t>Administrator:</t>
        </r>
        <r>
          <rPr>
            <sz val="9"/>
            <rFont val="宋体"/>
            <charset val="134"/>
          </rPr>
          <t xml:space="preserve">
2021.3.17收9441</t>
        </r>
      </text>
    </comment>
    <comment ref="T869" authorId="0">
      <text>
        <r>
          <rPr>
            <b/>
            <sz val="9"/>
            <rFont val="宋体"/>
            <charset val="134"/>
          </rPr>
          <t>Administrator:</t>
        </r>
        <r>
          <rPr>
            <sz val="9"/>
            <rFont val="宋体"/>
            <charset val="134"/>
          </rPr>
          <t xml:space="preserve">
2021.5.11收44104.3
J3992+J3998一起付的</t>
        </r>
      </text>
    </comment>
    <comment ref="Q870" authorId="0">
      <text>
        <r>
          <rPr>
            <b/>
            <sz val="9"/>
            <rFont val="宋体"/>
            <charset val="134"/>
          </rPr>
          <t>Administrator:</t>
        </r>
        <r>
          <rPr>
            <sz val="9"/>
            <rFont val="宋体"/>
            <charset val="134"/>
          </rPr>
          <t xml:space="preserve">
2021.3.24收</t>
        </r>
      </text>
    </comment>
    <comment ref="T870" authorId="0">
      <text>
        <r>
          <rPr>
            <b/>
            <sz val="9"/>
            <rFont val="宋体"/>
            <charset val="134"/>
          </rPr>
          <t>Administrator:</t>
        </r>
        <r>
          <rPr>
            <sz val="9"/>
            <rFont val="宋体"/>
            <charset val="134"/>
          </rPr>
          <t xml:space="preserve">
2021.5.6收32852.6
J4005 J4006一起付的</t>
        </r>
      </text>
    </comment>
    <comment ref="Q871" authorId="0">
      <text>
        <r>
          <rPr>
            <b/>
            <sz val="9"/>
            <rFont val="宋体"/>
            <charset val="134"/>
          </rPr>
          <t>Administrator:</t>
        </r>
        <r>
          <rPr>
            <sz val="9"/>
            <rFont val="宋体"/>
            <charset val="134"/>
          </rPr>
          <t xml:space="preserve">
2021.3.24收</t>
        </r>
      </text>
    </comment>
    <comment ref="T871" authorId="0">
      <text>
        <r>
          <rPr>
            <b/>
            <sz val="9"/>
            <rFont val="宋体"/>
            <charset val="134"/>
          </rPr>
          <t>Administrator:</t>
        </r>
        <r>
          <rPr>
            <sz val="9"/>
            <rFont val="宋体"/>
            <charset val="134"/>
          </rPr>
          <t xml:space="preserve">
2021.5.6收32852.6
J4005 J4006一起付的</t>
        </r>
      </text>
    </comment>
    <comment ref="Q872" authorId="0">
      <text>
        <r>
          <rPr>
            <b/>
            <sz val="9"/>
            <rFont val="宋体"/>
            <charset val="134"/>
          </rPr>
          <t>Administrator:</t>
        </r>
        <r>
          <rPr>
            <sz val="9"/>
            <rFont val="宋体"/>
            <charset val="134"/>
          </rPr>
          <t xml:space="preserve">
2021.3.25收19988水单2万美金</t>
        </r>
      </text>
    </comment>
    <comment ref="T872" authorId="0">
      <text>
        <r>
          <rPr>
            <b/>
            <sz val="9"/>
            <rFont val="宋体"/>
            <charset val="134"/>
          </rPr>
          <t>Administrator:</t>
        </r>
        <r>
          <rPr>
            <sz val="9"/>
            <rFont val="宋体"/>
            <charset val="134"/>
          </rPr>
          <t xml:space="preserve">
2021.7.29收$19988</t>
        </r>
      </text>
    </comment>
    <comment ref="T873" authorId="0">
      <text>
        <r>
          <rPr>
            <b/>
            <sz val="9"/>
            <rFont val="宋体"/>
            <charset val="134"/>
          </rPr>
          <t>Administrator:</t>
        </r>
        <r>
          <rPr>
            <sz val="9"/>
            <rFont val="宋体"/>
            <charset val="134"/>
          </rPr>
          <t xml:space="preserve">
2021.5.6收17779.6</t>
        </r>
      </text>
    </comment>
    <comment ref="T874" authorId="0">
      <text>
        <r>
          <rPr>
            <b/>
            <sz val="9"/>
            <rFont val="宋体"/>
            <charset val="134"/>
          </rPr>
          <t>Administrator:</t>
        </r>
        <r>
          <rPr>
            <sz val="9"/>
            <rFont val="宋体"/>
            <charset val="134"/>
          </rPr>
          <t xml:space="preserve">
2021.7.13收4036.4</t>
        </r>
      </text>
    </comment>
    <comment ref="U874" authorId="0">
      <text>
        <r>
          <rPr>
            <b/>
            <sz val="9"/>
            <rFont val="宋体"/>
            <charset val="134"/>
          </rPr>
          <t>Administrator:</t>
        </r>
        <r>
          <rPr>
            <sz val="9"/>
            <rFont val="宋体"/>
            <charset val="134"/>
          </rPr>
          <t xml:space="preserve">
2021.7.13收19988</t>
        </r>
      </text>
    </comment>
    <comment ref="T875" authorId="0">
      <text>
        <r>
          <rPr>
            <b/>
            <sz val="9"/>
            <rFont val="宋体"/>
            <charset val="134"/>
          </rPr>
          <t>Administrator:</t>
        </r>
        <r>
          <rPr>
            <sz val="9"/>
            <rFont val="宋体"/>
            <charset val="134"/>
          </rPr>
          <t xml:space="preserve">
2021.6.16收19988</t>
        </r>
      </text>
    </comment>
    <comment ref="U875" authorId="0">
      <text>
        <r>
          <rPr>
            <b/>
            <sz val="9"/>
            <rFont val="宋体"/>
            <charset val="134"/>
          </rPr>
          <t>Administrator:</t>
        </r>
        <r>
          <rPr>
            <sz val="9"/>
            <rFont val="宋体"/>
            <charset val="134"/>
          </rPr>
          <t xml:space="preserve">
2021.7.26收3980.86</t>
        </r>
      </text>
    </comment>
    <comment ref="T876" authorId="0">
      <text>
        <r>
          <rPr>
            <b/>
            <sz val="9"/>
            <rFont val="宋体"/>
            <charset val="134"/>
          </rPr>
          <t>Administrator:</t>
        </r>
        <r>
          <rPr>
            <sz val="9"/>
            <rFont val="宋体"/>
            <charset val="134"/>
          </rPr>
          <t xml:space="preserve">
2021.7.26收$19988</t>
        </r>
      </text>
    </comment>
    <comment ref="U876" authorId="0">
      <text>
        <r>
          <rPr>
            <b/>
            <sz val="9"/>
            <rFont val="宋体"/>
            <charset val="134"/>
          </rPr>
          <t>Administrator:</t>
        </r>
        <r>
          <rPr>
            <sz val="9"/>
            <rFont val="宋体"/>
            <charset val="134"/>
          </rPr>
          <t xml:space="preserve">
2021.7.30收9234.74</t>
        </r>
      </text>
    </comment>
    <comment ref="Q877" authorId="0">
      <text>
        <r>
          <rPr>
            <b/>
            <sz val="9"/>
            <rFont val="宋体"/>
            <charset val="134"/>
          </rPr>
          <t>Administrator:</t>
        </r>
        <r>
          <rPr>
            <sz val="9"/>
            <rFont val="宋体"/>
            <charset val="134"/>
          </rPr>
          <t xml:space="preserve">
2021.4.1收21962.8</t>
        </r>
      </text>
    </comment>
    <comment ref="T877" authorId="0">
      <text>
        <r>
          <rPr>
            <b/>
            <sz val="9"/>
            <rFont val="宋体"/>
            <charset val="134"/>
          </rPr>
          <t>Administrator:</t>
        </r>
        <r>
          <rPr>
            <sz val="9"/>
            <rFont val="宋体"/>
            <charset val="134"/>
          </rPr>
          <t xml:space="preserve">
2021.7.28收49132</t>
        </r>
      </text>
    </comment>
    <comment ref="Q878" authorId="0">
      <text>
        <r>
          <rPr>
            <b/>
            <sz val="9"/>
            <rFont val="宋体"/>
            <charset val="134"/>
          </rPr>
          <t>Administrator:</t>
        </r>
        <r>
          <rPr>
            <sz val="9"/>
            <rFont val="宋体"/>
            <charset val="134"/>
          </rPr>
          <t xml:space="preserve">
2021.4.27收4799</t>
        </r>
      </text>
    </comment>
    <comment ref="T878" authorId="0">
      <text>
        <r>
          <rPr>
            <b/>
            <sz val="9"/>
            <rFont val="宋体"/>
            <charset val="134"/>
          </rPr>
          <t>Administrator:</t>
        </r>
        <r>
          <rPr>
            <sz val="9"/>
            <rFont val="宋体"/>
            <charset val="134"/>
          </rPr>
          <t xml:space="preserve">
2021.6.10收27306</t>
        </r>
      </text>
    </comment>
    <comment ref="Q879" authorId="0">
      <text>
        <r>
          <rPr>
            <b/>
            <sz val="9"/>
            <rFont val="宋体"/>
            <charset val="134"/>
          </rPr>
          <t>Administrator:</t>
        </r>
        <r>
          <rPr>
            <sz val="9"/>
            <rFont val="宋体"/>
            <charset val="134"/>
          </rPr>
          <t xml:space="preserve">
2021.6.2收9966</t>
        </r>
      </text>
    </comment>
    <comment ref="T879" authorId="0">
      <text>
        <r>
          <rPr>
            <b/>
            <sz val="9"/>
            <rFont val="宋体"/>
            <charset val="134"/>
          </rPr>
          <t>Administrator:</t>
        </r>
        <r>
          <rPr>
            <sz val="9"/>
            <rFont val="宋体"/>
            <charset val="134"/>
          </rPr>
          <t xml:space="preserve">
2021.9.9收26966
2021.9.10收26966</t>
        </r>
      </text>
    </comment>
    <comment ref="U879" authorId="0">
      <text>
        <r>
          <rPr>
            <b/>
            <sz val="9"/>
            <rFont val="宋体"/>
            <charset val="134"/>
          </rPr>
          <t>Administrator:</t>
        </r>
        <r>
          <rPr>
            <sz val="9"/>
            <rFont val="宋体"/>
            <charset val="134"/>
          </rPr>
          <t xml:space="preserve">
2021.9.13收9630</t>
        </r>
      </text>
    </comment>
    <comment ref="Q880" authorId="0">
      <text>
        <r>
          <rPr>
            <b/>
            <sz val="9"/>
            <rFont val="宋体"/>
            <charset val="134"/>
          </rPr>
          <t>Administrator:</t>
        </r>
        <r>
          <rPr>
            <sz val="9"/>
            <rFont val="宋体"/>
            <charset val="134"/>
          </rPr>
          <t xml:space="preserve">
2021.6.9收8147</t>
        </r>
      </text>
    </comment>
    <comment ref="T880" authorId="0">
      <text>
        <r>
          <rPr>
            <b/>
            <sz val="9"/>
            <rFont val="宋体"/>
            <charset val="134"/>
          </rPr>
          <t>Administrator:</t>
        </r>
        <r>
          <rPr>
            <sz val="9"/>
            <rFont val="宋体"/>
            <charset val="134"/>
          </rPr>
          <t xml:space="preserve">
2021.6.29收19050.76</t>
        </r>
      </text>
    </comment>
    <comment ref="Q881" authorId="0">
      <text>
        <r>
          <rPr>
            <b/>
            <sz val="9"/>
            <rFont val="宋体"/>
            <charset val="134"/>
          </rPr>
          <t>Administrator:</t>
        </r>
        <r>
          <rPr>
            <sz val="9"/>
            <rFont val="宋体"/>
            <charset val="134"/>
          </rPr>
          <t xml:space="preserve">
2021.7.28收14008</t>
        </r>
      </text>
    </comment>
    <comment ref="T881" authorId="0">
      <text>
        <r>
          <rPr>
            <b/>
            <sz val="9"/>
            <rFont val="宋体"/>
            <charset val="134"/>
          </rPr>
          <t>Administrator:</t>
        </r>
        <r>
          <rPr>
            <sz val="9"/>
            <rFont val="宋体"/>
            <charset val="134"/>
          </rPr>
          <t xml:space="preserve">
2021.10.14收57895.7</t>
        </r>
      </text>
    </comment>
    <comment ref="T882" authorId="0">
      <text>
        <r>
          <rPr>
            <b/>
            <sz val="9"/>
            <rFont val="宋体"/>
            <charset val="134"/>
          </rPr>
          <t>Administrator:</t>
        </r>
        <r>
          <rPr>
            <sz val="9"/>
            <rFont val="宋体"/>
            <charset val="134"/>
          </rPr>
          <t xml:space="preserve">
2021.11.29收109860.81</t>
        </r>
      </text>
    </comment>
    <comment ref="T883" authorId="0">
      <text>
        <r>
          <rPr>
            <b/>
            <sz val="9"/>
            <rFont val="宋体"/>
            <charset val="134"/>
          </rPr>
          <t>Administrator:</t>
        </r>
        <r>
          <rPr>
            <sz val="9"/>
            <rFont val="宋体"/>
            <charset val="134"/>
          </rPr>
          <t xml:space="preserve">
2021.11.9收104969.61</t>
        </r>
      </text>
    </comment>
    <comment ref="Q884" authorId="0">
      <text>
        <r>
          <rPr>
            <b/>
            <sz val="9"/>
            <rFont val="宋体"/>
            <charset val="134"/>
          </rPr>
          <t>Administrator:</t>
        </r>
        <r>
          <rPr>
            <sz val="9"/>
            <rFont val="宋体"/>
            <charset val="134"/>
          </rPr>
          <t xml:space="preserve">
2021.9.2收16946</t>
        </r>
      </text>
    </comment>
    <comment ref="T884" authorId="0">
      <text>
        <r>
          <rPr>
            <b/>
            <sz val="9"/>
            <rFont val="宋体"/>
            <charset val="134"/>
          </rPr>
          <t>Administrator:</t>
        </r>
        <r>
          <rPr>
            <sz val="9"/>
            <rFont val="宋体"/>
            <charset val="134"/>
          </rPr>
          <t xml:space="preserve">
2021.10.8收39581.45</t>
        </r>
      </text>
    </comment>
    <comment ref="P885" authorId="0">
      <text>
        <r>
          <rPr>
            <b/>
            <sz val="9"/>
            <rFont val="宋体"/>
            <charset val="134"/>
          </rPr>
          <t>Administrator:</t>
        </r>
        <r>
          <rPr>
            <sz val="9"/>
            <rFont val="宋体"/>
            <charset val="134"/>
          </rPr>
          <t xml:space="preserve">
客户按发票值29776.45付款的</t>
        </r>
      </text>
    </comment>
    <comment ref="T885" authorId="0">
      <text>
        <r>
          <rPr>
            <b/>
            <sz val="9"/>
            <rFont val="宋体"/>
            <charset val="134"/>
          </rPr>
          <t>Administrator:</t>
        </r>
        <r>
          <rPr>
            <sz val="9"/>
            <rFont val="宋体"/>
            <charset val="134"/>
          </rPr>
          <t xml:space="preserve">
2021.10.8收39581.45
</t>
        </r>
      </text>
    </comment>
    <comment ref="Q886" authorId="0">
      <text>
        <r>
          <rPr>
            <b/>
            <sz val="9"/>
            <rFont val="宋体"/>
            <charset val="134"/>
          </rPr>
          <t>Administrator:</t>
        </r>
        <r>
          <rPr>
            <sz val="9"/>
            <rFont val="宋体"/>
            <charset val="134"/>
          </rPr>
          <t xml:space="preserve">
2021.9.6RMB3万+J3994多付的¥24233，一共¥54233，折合美金8408，汇率6.45
2021.10.21收RMB11万</t>
        </r>
      </text>
    </comment>
    <comment ref="T886" authorId="0">
      <text>
        <r>
          <rPr>
            <b/>
            <sz val="9"/>
            <rFont val="宋体"/>
            <charset val="134"/>
          </rPr>
          <t>Administrator:</t>
        </r>
        <r>
          <rPr>
            <sz val="9"/>
            <rFont val="宋体"/>
            <charset val="134"/>
          </rPr>
          <t xml:space="preserve">
2022.1.17收RMB368667 汇率6.3636</t>
        </r>
      </text>
    </comment>
    <comment ref="Q887" authorId="0">
      <text>
        <r>
          <rPr>
            <b/>
            <sz val="9"/>
            <rFont val="宋体"/>
            <charset val="134"/>
          </rPr>
          <t>Administrator:</t>
        </r>
        <r>
          <rPr>
            <sz val="9"/>
            <rFont val="宋体"/>
            <charset val="134"/>
          </rPr>
          <t xml:space="preserve">
2021.9.9收14491</t>
        </r>
      </text>
    </comment>
    <comment ref="T887" authorId="0">
      <text>
        <r>
          <rPr>
            <b/>
            <sz val="9"/>
            <rFont val="宋体"/>
            <charset val="134"/>
          </rPr>
          <t>Administrator:</t>
        </r>
        <r>
          <rPr>
            <sz val="9"/>
            <rFont val="宋体"/>
            <charset val="134"/>
          </rPr>
          <t xml:space="preserve">
2021.12.27收29261</t>
        </r>
      </text>
    </comment>
    <comment ref="T888" authorId="0">
      <text>
        <r>
          <rPr>
            <b/>
            <sz val="9"/>
            <rFont val="宋体"/>
            <charset val="134"/>
          </rPr>
          <t>Administrator:</t>
        </r>
        <r>
          <rPr>
            <sz val="9"/>
            <rFont val="宋体"/>
            <charset val="134"/>
          </rPr>
          <t xml:space="preserve">
2021.12.30收27997</t>
        </r>
      </text>
    </comment>
    <comment ref="Q889" authorId="0">
      <text>
        <r>
          <rPr>
            <b/>
            <sz val="9"/>
            <rFont val="宋体"/>
            <charset val="134"/>
          </rPr>
          <t>Administrator:</t>
        </r>
        <r>
          <rPr>
            <sz val="9"/>
            <rFont val="宋体"/>
            <charset val="134"/>
          </rPr>
          <t xml:space="preserve">
2021.9.15收8699</t>
        </r>
      </text>
    </comment>
    <comment ref="T889" authorId="0">
      <text>
        <r>
          <rPr>
            <b/>
            <sz val="9"/>
            <rFont val="宋体"/>
            <charset val="134"/>
          </rPr>
          <t>Administrator:</t>
        </r>
        <r>
          <rPr>
            <sz val="9"/>
            <rFont val="宋体"/>
            <charset val="134"/>
          </rPr>
          <t xml:space="preserve">
2021.10.28收19703.7 水单19723.7
少付了J4117甩货的款619.2美金</t>
        </r>
      </text>
    </comment>
    <comment ref="Q890" authorId="0">
      <text>
        <r>
          <rPr>
            <b/>
            <sz val="9"/>
            <rFont val="宋体"/>
            <charset val="134"/>
          </rPr>
          <t>Administrator:</t>
        </r>
        <r>
          <rPr>
            <sz val="9"/>
            <rFont val="宋体"/>
            <charset val="134"/>
          </rPr>
          <t xml:space="preserve">
2021.9.22收18421.06</t>
        </r>
      </text>
    </comment>
    <comment ref="T890" authorId="0">
      <text>
        <r>
          <rPr>
            <b/>
            <sz val="9"/>
            <rFont val="宋体"/>
            <charset val="134"/>
          </rPr>
          <t>Administrator:</t>
        </r>
        <r>
          <rPr>
            <sz val="9"/>
            <rFont val="宋体"/>
            <charset val="134"/>
          </rPr>
          <t xml:space="preserve">
2021.11.30收44185.9
J4135-1: $33430.26
J4174: $10787.64
</t>
        </r>
      </text>
    </comment>
    <comment ref="T891" authorId="0">
      <text>
        <r>
          <rPr>
            <b/>
            <sz val="9"/>
            <rFont val="宋体"/>
            <charset val="134"/>
          </rPr>
          <t>Administrator:</t>
        </r>
        <r>
          <rPr>
            <sz val="9"/>
            <rFont val="宋体"/>
            <charset val="134"/>
          </rPr>
          <t xml:space="preserve">
2021.12.10收68766.42</t>
        </r>
      </text>
    </comment>
    <comment ref="Q892" authorId="0">
      <text>
        <r>
          <rPr>
            <b/>
            <sz val="9"/>
            <rFont val="宋体"/>
            <charset val="134"/>
          </rPr>
          <t>Administrator:</t>
        </r>
        <r>
          <rPr>
            <sz val="9"/>
            <rFont val="宋体"/>
            <charset val="134"/>
          </rPr>
          <t xml:space="preserve">
定金一共49305=24305+25000
2021.9.22收24276
2021.9.27收24981.8</t>
        </r>
      </text>
    </comment>
    <comment ref="T892" authorId="0">
      <text>
        <r>
          <rPr>
            <b/>
            <sz val="9"/>
            <rFont val="宋体"/>
            <charset val="134"/>
          </rPr>
          <t>Administrator:</t>
        </r>
        <r>
          <rPr>
            <sz val="9"/>
            <rFont val="宋体"/>
            <charset val="134"/>
          </rPr>
          <t xml:space="preserve">
2021.12.21收19981.8+19981.8
2021.12.22收19981.8</t>
        </r>
      </text>
    </comment>
    <comment ref="U892" authorId="0">
      <text>
        <r>
          <rPr>
            <b/>
            <sz val="9"/>
            <rFont val="宋体"/>
            <charset val="134"/>
          </rPr>
          <t>Administrator:</t>
        </r>
        <r>
          <rPr>
            <sz val="9"/>
            <rFont val="宋体"/>
            <charset val="134"/>
          </rPr>
          <t xml:space="preserve">
18552.49来自J4136-1
15470.51来自J4136-3</t>
        </r>
      </text>
    </comment>
    <comment ref="T893" authorId="0">
      <text>
        <r>
          <rPr>
            <b/>
            <sz val="9"/>
            <rFont val="宋体"/>
            <charset val="134"/>
          </rPr>
          <t>Administrator:</t>
        </r>
        <r>
          <rPr>
            <sz val="9"/>
            <rFont val="宋体"/>
            <charset val="134"/>
          </rPr>
          <t xml:space="preserve">
2021.12.24收19981.8
水单两万 $15470.51用于J4136-2  $4529.49用于J4136-3
2021.12.28收19971</t>
        </r>
      </text>
    </comment>
    <comment ref="U893" authorId="0">
      <text>
        <r>
          <rPr>
            <b/>
            <sz val="9"/>
            <rFont val="宋体"/>
            <charset val="134"/>
          </rPr>
          <t>Administrator:</t>
        </r>
        <r>
          <rPr>
            <sz val="9"/>
            <rFont val="宋体"/>
            <charset val="134"/>
          </rPr>
          <t xml:space="preserve">
2021.12.30收200422021.12.14收19981.8</t>
        </r>
      </text>
    </comment>
    <comment ref="T894" authorId="0">
      <text>
        <r>
          <rPr>
            <b/>
            <sz val="9"/>
            <rFont val="宋体"/>
            <charset val="134"/>
          </rPr>
          <t>Administrator:</t>
        </r>
        <r>
          <rPr>
            <sz val="9"/>
            <rFont val="宋体"/>
            <charset val="134"/>
          </rPr>
          <t xml:space="preserve">
2021.12.15收19971+19971
2021.12.15收19971
2021.12.16收19971</t>
        </r>
      </text>
    </comment>
    <comment ref="U894" authorId="0">
      <text>
        <r>
          <rPr>
            <b/>
            <sz val="9"/>
            <rFont val="宋体"/>
            <charset val="134"/>
          </rPr>
          <t>Administrator:</t>
        </r>
        <r>
          <rPr>
            <sz val="9"/>
            <rFont val="宋体"/>
            <charset val="134"/>
          </rPr>
          <t xml:space="preserve">
2021.12.20收19971
水单2万 剩18552.4用于J4136-2</t>
        </r>
      </text>
    </comment>
    <comment ref="Q895" authorId="0">
      <text>
        <r>
          <rPr>
            <b/>
            <sz val="9"/>
            <rFont val="宋体"/>
            <charset val="134"/>
          </rPr>
          <t>Administrator:</t>
        </r>
        <r>
          <rPr>
            <sz val="9"/>
            <rFont val="宋体"/>
            <charset val="134"/>
          </rPr>
          <t xml:space="preserve">
2021.11.9收8031.45</t>
        </r>
      </text>
    </comment>
    <comment ref="T895" authorId="0">
      <text>
        <r>
          <rPr>
            <b/>
            <sz val="9"/>
            <rFont val="宋体"/>
            <charset val="134"/>
          </rPr>
          <t>Administrator:</t>
        </r>
        <r>
          <rPr>
            <sz val="9"/>
            <rFont val="宋体"/>
            <charset val="134"/>
          </rPr>
          <t xml:space="preserve">
2021.12.9收18759.73</t>
        </r>
      </text>
    </comment>
    <comment ref="Q896" authorId="0">
      <text>
        <r>
          <rPr>
            <b/>
            <sz val="9"/>
            <rFont val="宋体"/>
            <charset val="134"/>
          </rPr>
          <t>Administrator:</t>
        </r>
        <r>
          <rPr>
            <sz val="9"/>
            <rFont val="宋体"/>
            <charset val="134"/>
          </rPr>
          <t xml:space="preserve">
2021.11.15收21563
水单21600</t>
        </r>
      </text>
    </comment>
    <comment ref="T896" authorId="0">
      <text>
        <r>
          <rPr>
            <b/>
            <sz val="9"/>
            <rFont val="宋体"/>
            <charset val="134"/>
          </rPr>
          <t>Administrator:</t>
        </r>
        <r>
          <rPr>
            <sz val="9"/>
            <rFont val="宋体"/>
            <charset val="134"/>
          </rPr>
          <t xml:space="preserve">
2022.2.16收59083</t>
        </r>
      </text>
    </comment>
    <comment ref="T897" authorId="0">
      <text>
        <r>
          <rPr>
            <b/>
            <sz val="9"/>
            <rFont val="宋体"/>
            <charset val="134"/>
          </rPr>
          <t>Administrator:</t>
        </r>
        <r>
          <rPr>
            <sz val="9"/>
            <rFont val="宋体"/>
            <charset val="134"/>
          </rPr>
          <t xml:space="preserve">
2022.3.10收32109</t>
        </r>
      </text>
    </comment>
    <comment ref="Q898" authorId="0">
      <text>
        <r>
          <rPr>
            <b/>
            <sz val="9"/>
            <rFont val="宋体"/>
            <charset val="134"/>
          </rPr>
          <t>Administrator:</t>
        </r>
        <r>
          <rPr>
            <sz val="9"/>
            <rFont val="宋体"/>
            <charset val="134"/>
          </rPr>
          <t xml:space="preserve">
2021.11.30收</t>
        </r>
      </text>
    </comment>
    <comment ref="T898" authorId="0">
      <text>
        <r>
          <rPr>
            <b/>
            <sz val="9"/>
            <rFont val="宋体"/>
            <charset val="134"/>
          </rPr>
          <t>Administrator:</t>
        </r>
        <r>
          <rPr>
            <sz val="9"/>
            <rFont val="宋体"/>
            <charset val="134"/>
          </rPr>
          <t xml:space="preserve">
2022.2.14收62797.96</t>
        </r>
      </text>
    </comment>
    <comment ref="T899" authorId="0">
      <text>
        <r>
          <rPr>
            <b/>
            <sz val="9"/>
            <rFont val="宋体"/>
            <charset val="134"/>
          </rPr>
          <t>Administrator:</t>
        </r>
        <r>
          <rPr>
            <sz val="9"/>
            <rFont val="宋体"/>
            <charset val="134"/>
          </rPr>
          <t xml:space="preserve">
2021.12.3收32660</t>
        </r>
      </text>
    </comment>
    <comment ref="P900" authorId="0">
      <text>
        <r>
          <rPr>
            <b/>
            <sz val="9"/>
            <rFont val="宋体"/>
            <charset val="134"/>
          </rPr>
          <t>Administrator:</t>
        </r>
        <r>
          <rPr>
            <sz val="9"/>
            <rFont val="宋体"/>
            <charset val="134"/>
          </rPr>
          <t xml:space="preserve">
实际发货34355美金
甩货已付</t>
        </r>
      </text>
    </comment>
    <comment ref="Q900" authorId="0">
      <text>
        <r>
          <rPr>
            <b/>
            <sz val="9"/>
            <rFont val="宋体"/>
            <charset val="134"/>
          </rPr>
          <t>Administrator:</t>
        </r>
        <r>
          <rPr>
            <sz val="9"/>
            <rFont val="宋体"/>
            <charset val="134"/>
          </rPr>
          <t xml:space="preserve">
2021.12.7收9498.95</t>
        </r>
      </text>
    </comment>
    <comment ref="T900" authorId="0">
      <text>
        <r>
          <rPr>
            <b/>
            <sz val="9"/>
            <rFont val="宋体"/>
            <charset val="134"/>
          </rPr>
          <t>Administrator:</t>
        </r>
        <r>
          <rPr>
            <sz val="9"/>
            <rFont val="宋体"/>
            <charset val="134"/>
          </rPr>
          <t xml:space="preserve">
2022.1.13收11537.05
2022.1.14收9463</t>
        </r>
      </text>
    </comment>
    <comment ref="U900" authorId="0">
      <text>
        <r>
          <rPr>
            <b/>
            <sz val="9"/>
            <rFont val="宋体"/>
            <charset val="134"/>
          </rPr>
          <t>Administrator:</t>
        </r>
        <r>
          <rPr>
            <sz val="9"/>
            <rFont val="宋体"/>
            <charset val="134"/>
          </rPr>
          <t xml:space="preserve">
2022.1.19收4468</t>
        </r>
      </text>
    </comment>
    <comment ref="Q901" authorId="0">
      <text>
        <r>
          <rPr>
            <b/>
            <sz val="9"/>
            <rFont val="宋体"/>
            <charset val="134"/>
          </rPr>
          <t>Administrator:</t>
        </r>
        <r>
          <rPr>
            <sz val="9"/>
            <rFont val="宋体"/>
            <charset val="134"/>
          </rPr>
          <t xml:space="preserve">
2021.12.7收19981.8
2021.12.8收18981.8
2021.12.9收19981.8
2021.12.15收21598.8
80617=20000+19000+20000+21617</t>
        </r>
      </text>
    </comment>
    <comment ref="T901" authorId="0">
      <text>
        <r>
          <rPr>
            <b/>
            <sz val="9"/>
            <rFont val="宋体"/>
            <charset val="134"/>
          </rPr>
          <t>Administrator:</t>
        </r>
        <r>
          <rPr>
            <sz val="9"/>
            <rFont val="宋体"/>
            <charset val="134"/>
          </rPr>
          <t xml:space="preserve">
2022.5.19收24981.8
水单25000
J4237  $24807.44
J4185-4  $192.56</t>
        </r>
      </text>
    </comment>
    <comment ref="U901" authorId="0">
      <text>
        <r>
          <rPr>
            <b/>
            <sz val="9"/>
            <rFont val="宋体"/>
            <charset val="134"/>
          </rPr>
          <t>Administrator:</t>
        </r>
        <r>
          <rPr>
            <sz val="9"/>
            <rFont val="宋体"/>
            <charset val="134"/>
          </rPr>
          <t xml:space="preserve">
2022.5.26收25132</t>
        </r>
      </text>
    </comment>
    <comment ref="T902" authorId="0">
      <text>
        <r>
          <rPr>
            <b/>
            <sz val="9"/>
            <rFont val="宋体"/>
            <charset val="134"/>
          </rPr>
          <t>Administrator:</t>
        </r>
        <r>
          <rPr>
            <sz val="9"/>
            <rFont val="宋体"/>
            <charset val="134"/>
          </rPr>
          <t xml:space="preserve">
2022.5.11收24971
2022.5.12收24971</t>
        </r>
      </text>
    </comment>
    <comment ref="U902" authorId="0">
      <text>
        <r>
          <rPr>
            <b/>
            <sz val="9"/>
            <rFont val="宋体"/>
            <charset val="134"/>
          </rPr>
          <t>Administrator:</t>
        </r>
        <r>
          <rPr>
            <sz val="9"/>
            <rFont val="宋体"/>
            <charset val="134"/>
          </rPr>
          <t xml:space="preserve">
2022.5.18收24981.80
J4185-3  $19058.4
J4237  $5941.6</t>
        </r>
      </text>
    </comment>
    <comment ref="T903" authorId="0">
      <text>
        <r>
          <rPr>
            <b/>
            <sz val="9"/>
            <rFont val="宋体"/>
            <charset val="134"/>
          </rPr>
          <t>Administrator:</t>
        </r>
        <r>
          <rPr>
            <sz val="9"/>
            <rFont val="宋体"/>
            <charset val="134"/>
          </rPr>
          <t xml:space="preserve">
2022.2.15收19981.8
2022.2.15收19981.8</t>
        </r>
      </text>
    </comment>
    <comment ref="U903" authorId="0">
      <text>
        <r>
          <rPr>
            <b/>
            <sz val="9"/>
            <rFont val="宋体"/>
            <charset val="134"/>
          </rPr>
          <t>Administrator:</t>
        </r>
        <r>
          <rPr>
            <sz val="9"/>
            <rFont val="宋体"/>
            <charset val="134"/>
          </rPr>
          <t xml:space="preserve">
2022.2.16收19981.8+19981.8
多付7027.4用于J4237定金</t>
        </r>
      </text>
    </comment>
    <comment ref="T904" authorId="0">
      <text>
        <r>
          <rPr>
            <b/>
            <sz val="9"/>
            <rFont val="宋体"/>
            <charset val="134"/>
          </rPr>
          <t>Administrator:</t>
        </r>
        <r>
          <rPr>
            <sz val="9"/>
            <rFont val="宋体"/>
            <charset val="134"/>
          </rPr>
          <t xml:space="preserve">
2022.4.6收24981.8</t>
        </r>
      </text>
    </comment>
    <comment ref="U904" authorId="0">
      <text>
        <r>
          <rPr>
            <b/>
            <sz val="9"/>
            <rFont val="宋体"/>
            <charset val="134"/>
          </rPr>
          <t>Administrator:</t>
        </r>
        <r>
          <rPr>
            <sz val="9"/>
            <rFont val="宋体"/>
            <charset val="134"/>
          </rPr>
          <t xml:space="preserve">
2022.4.7收18061.8
2022.4.7收24981.8</t>
        </r>
      </text>
    </comment>
    <comment ref="Q905" authorId="0">
      <text>
        <r>
          <rPr>
            <b/>
            <sz val="9"/>
            <rFont val="宋体"/>
            <charset val="134"/>
          </rPr>
          <t>Administrator:</t>
        </r>
        <r>
          <rPr>
            <sz val="9"/>
            <rFont val="宋体"/>
            <charset val="134"/>
          </rPr>
          <t xml:space="preserve">
2021.12.22收19951
2021.12.30收26971
2022.1.19收10086</t>
        </r>
      </text>
    </comment>
    <comment ref="Q906" authorId="0">
      <text>
        <r>
          <rPr>
            <b/>
            <sz val="9"/>
            <rFont val="宋体"/>
            <charset val="134"/>
          </rPr>
          <t>Administrator:</t>
        </r>
        <r>
          <rPr>
            <sz val="9"/>
            <rFont val="宋体"/>
            <charset val="134"/>
          </rPr>
          <t xml:space="preserve">
2021.12.21收124256.91 作为J4197 4198定金</t>
        </r>
      </text>
    </comment>
    <comment ref="Q907" authorId="0">
      <text>
        <r>
          <rPr>
            <b/>
            <sz val="9"/>
            <rFont val="宋体"/>
            <charset val="134"/>
          </rPr>
          <t>Administrator:</t>
        </r>
        <r>
          <rPr>
            <sz val="9"/>
            <rFont val="宋体"/>
            <charset val="134"/>
          </rPr>
          <t xml:space="preserve">
$74661.01见J4197
2021.12.24收3481.34</t>
        </r>
      </text>
    </comment>
    <comment ref="Q908" authorId="0">
      <text>
        <r>
          <rPr>
            <b/>
            <sz val="9"/>
            <rFont val="宋体"/>
            <charset val="134"/>
          </rPr>
          <t>Administrator:</t>
        </r>
        <r>
          <rPr>
            <sz val="9"/>
            <rFont val="宋体"/>
            <charset val="134"/>
          </rPr>
          <t xml:space="preserve">
2022.1.25收7981.8</t>
        </r>
      </text>
    </comment>
    <comment ref="T908" authorId="0">
      <text>
        <r>
          <rPr>
            <b/>
            <sz val="9"/>
            <rFont val="宋体"/>
            <charset val="134"/>
          </rPr>
          <t>Administrator:</t>
        </r>
        <r>
          <rPr>
            <sz val="9"/>
            <rFont val="宋体"/>
            <charset val="134"/>
          </rPr>
          <t xml:space="preserve">
2022.4.7收23438.8</t>
        </r>
      </text>
    </comment>
    <comment ref="Q909" authorId="0">
      <text>
        <r>
          <rPr>
            <b/>
            <sz val="9"/>
            <rFont val="宋体"/>
            <charset val="134"/>
          </rPr>
          <t>Administrator:</t>
        </r>
        <r>
          <rPr>
            <sz val="9"/>
            <rFont val="宋体"/>
            <charset val="134"/>
          </rPr>
          <t xml:space="preserve">
来自J4185-1</t>
        </r>
      </text>
    </comment>
    <comment ref="T909" authorId="0">
      <text>
        <r>
          <rPr>
            <b/>
            <sz val="9"/>
            <rFont val="宋体"/>
            <charset val="134"/>
          </rPr>
          <t>Administrator:</t>
        </r>
        <r>
          <rPr>
            <sz val="9"/>
            <rFont val="宋体"/>
            <charset val="134"/>
          </rPr>
          <t xml:space="preserve">
2022.5.18收24981.80
J4185-3  $19058.4
J4237  $5941.6</t>
        </r>
      </text>
    </comment>
    <comment ref="U909" authorId="0">
      <text>
        <r>
          <rPr>
            <b/>
            <sz val="9"/>
            <rFont val="宋体"/>
            <charset val="134"/>
          </rPr>
          <t>Administrator:</t>
        </r>
        <r>
          <rPr>
            <sz val="9"/>
            <rFont val="宋体"/>
            <charset val="134"/>
          </rPr>
          <t xml:space="preserve">
2022.5.19收24981.8
水单25000
J4237  $24807.44
J4185-4  $192.56</t>
        </r>
      </text>
    </comment>
    <comment ref="Q910" authorId="0">
      <text>
        <r>
          <rPr>
            <b/>
            <sz val="9"/>
            <rFont val="宋体"/>
            <charset val="134"/>
          </rPr>
          <t>Administrator:</t>
        </r>
        <r>
          <rPr>
            <sz val="9"/>
            <rFont val="宋体"/>
            <charset val="134"/>
          </rPr>
          <t xml:space="preserve">
2022.3.8收19981.07</t>
        </r>
      </text>
    </comment>
    <comment ref="T912" authorId="0">
      <text>
        <r>
          <rPr>
            <b/>
            <sz val="9"/>
            <rFont val="宋体"/>
            <charset val="134"/>
          </rPr>
          <t>Administrator:</t>
        </r>
        <r>
          <rPr>
            <sz val="9"/>
            <rFont val="宋体"/>
            <charset val="134"/>
          </rPr>
          <t xml:space="preserve">
2022.6.8收28867.55</t>
        </r>
      </text>
    </comment>
    <comment ref="Q913" authorId="0">
      <text>
        <r>
          <rPr>
            <b/>
            <sz val="9"/>
            <rFont val="宋体"/>
            <charset val="134"/>
          </rPr>
          <t>Administrator:</t>
        </r>
        <r>
          <rPr>
            <sz val="9"/>
            <rFont val="宋体"/>
            <charset val="134"/>
          </rPr>
          <t xml:space="preserve">
2022.3.8收汇率6.3061，折合美金$6343.06</t>
        </r>
      </text>
    </comment>
    <comment ref="Q914" authorId="0">
      <text>
        <r>
          <rPr>
            <b/>
            <sz val="9"/>
            <rFont val="宋体"/>
            <charset val="134"/>
          </rPr>
          <t>Administrator:</t>
        </r>
        <r>
          <rPr>
            <sz val="9"/>
            <rFont val="宋体"/>
            <charset val="134"/>
          </rPr>
          <t xml:space="preserve">
2022.3.11收9635.5</t>
        </r>
      </text>
    </comment>
    <comment ref="T914" authorId="0">
      <text>
        <r>
          <rPr>
            <b/>
            <sz val="9"/>
            <rFont val="宋体"/>
            <charset val="134"/>
          </rPr>
          <t>Administrator:</t>
        </r>
        <r>
          <rPr>
            <sz val="9"/>
            <rFont val="宋体"/>
            <charset val="134"/>
          </rPr>
          <t xml:space="preserve">
2022.5.16收51950.5</t>
        </r>
      </text>
    </comment>
    <comment ref="Q915" authorId="0">
      <text>
        <r>
          <rPr>
            <b/>
            <sz val="9"/>
            <rFont val="宋体"/>
            <charset val="134"/>
          </rPr>
          <t>Administrator:</t>
        </r>
        <r>
          <rPr>
            <sz val="9"/>
            <rFont val="宋体"/>
            <charset val="134"/>
          </rPr>
          <t xml:space="preserve">
2022.4.6收8350</t>
        </r>
      </text>
    </comment>
    <comment ref="T915" authorId="0">
      <text>
        <r>
          <rPr>
            <b/>
            <sz val="9"/>
            <rFont val="宋体"/>
            <charset val="134"/>
          </rPr>
          <t>Administrator:</t>
        </r>
        <r>
          <rPr>
            <sz val="9"/>
            <rFont val="宋体"/>
            <charset val="134"/>
          </rPr>
          <t xml:space="preserve">
2022.5.27收19410.48</t>
        </r>
      </text>
    </comment>
    <comment ref="Q916" authorId="0">
      <text>
        <r>
          <rPr>
            <b/>
            <sz val="9"/>
            <rFont val="宋体"/>
            <charset val="134"/>
          </rPr>
          <t>Administrator:</t>
        </r>
        <r>
          <rPr>
            <sz val="9"/>
            <rFont val="宋体"/>
            <charset val="134"/>
          </rPr>
          <t xml:space="preserve">
2022.4.6收8366</t>
        </r>
      </text>
    </comment>
    <comment ref="T916" authorId="0">
      <text>
        <r>
          <rPr>
            <b/>
            <sz val="9"/>
            <rFont val="宋体"/>
            <charset val="134"/>
          </rPr>
          <t>Administrator:</t>
        </r>
        <r>
          <rPr>
            <sz val="9"/>
            <rFont val="宋体"/>
            <charset val="134"/>
          </rPr>
          <t xml:space="preserve">
2022.5.26收19506.2</t>
        </r>
      </text>
    </comment>
    <comment ref="Q917" authorId="0">
      <text>
        <r>
          <rPr>
            <b/>
            <sz val="9"/>
            <rFont val="宋体"/>
            <charset val="134"/>
          </rPr>
          <t>Administrator:</t>
        </r>
        <r>
          <rPr>
            <sz val="9"/>
            <rFont val="宋体"/>
            <charset val="134"/>
          </rPr>
          <t xml:space="preserve">
2022.4.2收</t>
        </r>
      </text>
    </comment>
    <comment ref="Q918" authorId="0">
      <text>
        <r>
          <rPr>
            <b/>
            <sz val="9"/>
            <rFont val="宋体"/>
            <charset val="134"/>
          </rPr>
          <t>Administrator:</t>
        </r>
        <r>
          <rPr>
            <sz val="9"/>
            <rFont val="宋体"/>
            <charset val="134"/>
          </rPr>
          <t xml:space="preserve">
2022.4.3收5万
2022.4.5收75000</t>
        </r>
      </text>
    </comment>
    <comment ref="Q919" authorId="0">
      <text>
        <r>
          <rPr>
            <b/>
            <sz val="9"/>
            <rFont val="宋体"/>
            <charset val="134"/>
          </rPr>
          <t>Administrator:</t>
        </r>
        <r>
          <rPr>
            <sz val="9"/>
            <rFont val="宋体"/>
            <charset val="134"/>
          </rPr>
          <t xml:space="preserve">
2022.4.19收14477</t>
        </r>
      </text>
    </comment>
    <comment ref="Q921" authorId="0">
      <text>
        <r>
          <rPr>
            <b/>
            <sz val="9"/>
            <rFont val="宋体"/>
            <charset val="134"/>
          </rPr>
          <t>Administrator:</t>
        </r>
        <r>
          <rPr>
            <sz val="9"/>
            <rFont val="宋体"/>
            <charset val="134"/>
          </rPr>
          <t xml:space="preserve">
2022.4.21收15233.1</t>
        </r>
      </text>
    </comment>
    <comment ref="P922" authorId="0">
      <text>
        <r>
          <rPr>
            <b/>
            <sz val="9"/>
            <rFont val="宋体"/>
            <charset val="134"/>
          </rPr>
          <t>Administrator:</t>
        </r>
        <r>
          <rPr>
            <sz val="9"/>
            <rFont val="宋体"/>
            <charset val="134"/>
          </rPr>
          <t xml:space="preserve">
甩货之前付款了</t>
        </r>
      </text>
    </comment>
    <comment ref="Q922" authorId="0">
      <text>
        <r>
          <rPr>
            <b/>
            <sz val="9"/>
            <rFont val="宋体"/>
            <charset val="134"/>
          </rPr>
          <t>Administrator:</t>
        </r>
        <r>
          <rPr>
            <sz val="9"/>
            <rFont val="宋体"/>
            <charset val="134"/>
          </rPr>
          <t xml:space="preserve">
2022.4.29收24928</t>
        </r>
      </text>
    </comment>
    <comment ref="T922" authorId="0">
      <text>
        <r>
          <rPr>
            <b/>
            <sz val="9"/>
            <rFont val="宋体"/>
            <charset val="134"/>
          </rPr>
          <t>Administrator:</t>
        </r>
        <r>
          <rPr>
            <sz val="9"/>
            <rFont val="宋体"/>
            <charset val="134"/>
          </rPr>
          <t xml:space="preserve">
2022.5.27收57268.78</t>
        </r>
      </text>
    </comment>
    <comment ref="Q924" authorId="0">
      <text>
        <r>
          <rPr>
            <b/>
            <sz val="9"/>
            <rFont val="宋体"/>
            <charset val="134"/>
          </rPr>
          <t>Administrator:</t>
        </r>
        <r>
          <rPr>
            <sz val="9"/>
            <rFont val="宋体"/>
            <charset val="134"/>
          </rPr>
          <t xml:space="preserve">
2022.5.12收</t>
        </r>
      </text>
    </comment>
    <comment ref="Q925" authorId="0">
      <text>
        <r>
          <rPr>
            <b/>
            <sz val="9"/>
            <rFont val="宋体"/>
            <charset val="134"/>
          </rPr>
          <t>Administrator:</t>
        </r>
        <r>
          <rPr>
            <sz val="9"/>
            <rFont val="宋体"/>
            <charset val="134"/>
          </rPr>
          <t xml:space="preserve">
2022.5.16收24966+24966+24981.8
2022.5.17收 24981.8</t>
        </r>
      </text>
    </comment>
    <comment ref="Q926" authorId="0">
      <text>
        <r>
          <rPr>
            <b/>
            <sz val="9"/>
            <rFont val="宋体"/>
            <charset val="134"/>
          </rPr>
          <t>Administrator:</t>
        </r>
        <r>
          <rPr>
            <sz val="9"/>
            <rFont val="宋体"/>
            <charset val="134"/>
          </rPr>
          <t xml:space="preserve">
2022.6.6收10038</t>
        </r>
      </text>
    </comment>
    <comment ref="Q927" authorId="0">
      <text>
        <r>
          <rPr>
            <b/>
            <sz val="9"/>
            <rFont val="宋体"/>
            <charset val="134"/>
          </rPr>
          <t>Administrator:</t>
        </r>
        <r>
          <rPr>
            <sz val="9"/>
            <rFont val="宋体"/>
            <charset val="134"/>
          </rPr>
          <t xml:space="preserve">
2022.6.9收</t>
        </r>
      </text>
    </comment>
    <comment ref="T932" authorId="0">
      <text>
        <r>
          <rPr>
            <b/>
            <sz val="9"/>
            <rFont val="宋体"/>
            <charset val="134"/>
          </rPr>
          <t>Administrator:</t>
        </r>
        <r>
          <rPr>
            <sz val="9"/>
            <rFont val="宋体"/>
            <charset val="134"/>
          </rPr>
          <t xml:space="preserve">
2020.4.7收</t>
        </r>
      </text>
    </comment>
    <comment ref="Q933" authorId="0">
      <text>
        <r>
          <rPr>
            <b/>
            <sz val="9"/>
            <rFont val="宋体"/>
            <charset val="134"/>
          </rPr>
          <t>Administrator:</t>
        </r>
        <r>
          <rPr>
            <sz val="9"/>
            <rFont val="宋体"/>
            <charset val="134"/>
          </rPr>
          <t xml:space="preserve">
2020.9.14收</t>
        </r>
      </text>
    </comment>
    <comment ref="T933" authorId="0">
      <text>
        <r>
          <rPr>
            <b/>
            <sz val="9"/>
            <rFont val="宋体"/>
            <charset val="134"/>
          </rPr>
          <t>Administrator:</t>
        </r>
        <r>
          <rPr>
            <sz val="9"/>
            <rFont val="宋体"/>
            <charset val="134"/>
          </rPr>
          <t xml:space="preserve">
2021.1.18共收29626美金
X3882: $ 11807.55
J3884: $13628.65
客户多打了$4189.8转走了</t>
        </r>
      </text>
    </comment>
    <comment ref="Q934" authorId="0">
      <text>
        <r>
          <rPr>
            <b/>
            <sz val="9"/>
            <rFont val="宋体"/>
            <charset val="134"/>
          </rPr>
          <t>Administrator:</t>
        </r>
        <r>
          <rPr>
            <sz val="9"/>
            <rFont val="宋体"/>
            <charset val="134"/>
          </rPr>
          <t xml:space="preserve">
2020.9.29收2291.8</t>
        </r>
      </text>
    </comment>
    <comment ref="T934" authorId="0">
      <text>
        <r>
          <rPr>
            <b/>
            <sz val="9"/>
            <rFont val="宋体"/>
            <charset val="134"/>
          </rPr>
          <t>Administrator:</t>
        </r>
        <r>
          <rPr>
            <sz val="9"/>
            <rFont val="宋体"/>
            <charset val="134"/>
          </rPr>
          <t xml:space="preserve">
2020.11.13收6662.8</t>
        </r>
      </text>
    </comment>
    <comment ref="Q938" authorId="0">
      <text>
        <r>
          <rPr>
            <b/>
            <sz val="9"/>
            <rFont val="Tahoma"/>
            <charset val="134"/>
          </rPr>
          <t>Administrator:</t>
        </r>
        <r>
          <rPr>
            <sz val="9"/>
            <rFont val="Tahoma"/>
            <charset val="134"/>
          </rPr>
          <t xml:space="preserve">
2018.7.24 </t>
        </r>
        <r>
          <rPr>
            <sz val="9"/>
            <rFont val="宋体"/>
            <charset val="134"/>
          </rPr>
          <t>到款</t>
        </r>
      </text>
    </comment>
    <comment ref="Q939" authorId="1">
      <text>
        <r>
          <rPr>
            <b/>
            <sz val="11"/>
            <rFont val="MS PGothic"/>
            <charset val="134"/>
          </rPr>
          <t>Microsoft Office 用户: USD4622 汇率 6.49</t>
        </r>
      </text>
    </comment>
    <comment ref="Q940"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0" authorId="0">
      <text>
        <r>
          <rPr>
            <b/>
            <sz val="9"/>
            <rFont val="宋体"/>
            <charset val="134"/>
          </rPr>
          <t>Administrator:</t>
        </r>
        <r>
          <rPr>
            <sz val="9"/>
            <rFont val="宋体"/>
            <charset val="134"/>
          </rPr>
          <t xml:space="preserve">
9.7日到账全款，20000人民币是待在账户里的定金</t>
        </r>
      </text>
    </comment>
    <comment ref="T940" authorId="0">
      <text>
        <r>
          <rPr>
            <b/>
            <sz val="9"/>
            <rFont val="宋体"/>
            <charset val="134"/>
          </rPr>
          <t>Administrator:</t>
        </r>
        <r>
          <rPr>
            <sz val="9"/>
            <rFont val="宋体"/>
            <charset val="134"/>
          </rPr>
          <t xml:space="preserve">
9.7日到账全款，20000人民币是待在账户里的定金</t>
        </r>
      </text>
    </comment>
    <comment ref="U940" authorId="0">
      <text>
        <r>
          <rPr>
            <b/>
            <sz val="9"/>
            <rFont val="宋体"/>
            <charset val="134"/>
          </rPr>
          <t>Administrator:</t>
        </r>
        <r>
          <rPr>
            <sz val="9"/>
            <rFont val="宋体"/>
            <charset val="134"/>
          </rPr>
          <t xml:space="preserve">
9.7日到账全款，20000人民币是待在账户里的定金</t>
        </r>
      </text>
    </comment>
    <comment ref="Q949" authorId="0">
      <text>
        <r>
          <rPr>
            <b/>
            <sz val="9"/>
            <rFont val="宋体"/>
            <charset val="134"/>
          </rPr>
          <t xml:space="preserve">Administrator:
</t>
        </r>
        <r>
          <rPr>
            <sz val="9"/>
            <rFont val="宋体"/>
            <charset val="134"/>
          </rPr>
          <t>汇率6.9  50000RMB</t>
        </r>
      </text>
    </comment>
    <comment ref="R949" authorId="0">
      <text>
        <r>
          <rPr>
            <b/>
            <sz val="9"/>
            <rFont val="宋体"/>
            <charset val="134"/>
          </rPr>
          <t>Administrator:</t>
        </r>
        <r>
          <rPr>
            <sz val="9"/>
            <rFont val="宋体"/>
            <charset val="134"/>
          </rPr>
          <t xml:space="preserve">
托收金额
差188差额部分打RMB1.9 到0215卡</t>
        </r>
      </text>
    </comment>
    <comment ref="U949" authorId="0">
      <text>
        <r>
          <rPr>
            <b/>
            <sz val="9"/>
            <rFont val="宋体"/>
            <charset val="134"/>
          </rPr>
          <t>Administrator:</t>
        </r>
        <r>
          <rPr>
            <sz val="9"/>
            <rFont val="宋体"/>
            <charset val="134"/>
          </rPr>
          <t xml:space="preserve">
托收金额
差188差额部分</t>
        </r>
      </text>
    </comment>
    <comment ref="R955" authorId="0">
      <text>
        <r>
          <rPr>
            <b/>
            <sz val="9"/>
            <rFont val="宋体"/>
            <charset val="134"/>
          </rPr>
          <t xml:space="preserve">Administrator:
</t>
        </r>
        <r>
          <rPr>
            <sz val="9"/>
            <rFont val="宋体"/>
            <charset val="134"/>
          </rPr>
          <t>有20000 RMB 定金</t>
        </r>
      </text>
    </comment>
    <comment ref="T955" authorId="0">
      <text>
        <r>
          <rPr>
            <b/>
            <sz val="9"/>
            <rFont val="宋体"/>
            <charset val="134"/>
          </rPr>
          <t>Administrator:</t>
        </r>
        <r>
          <rPr>
            <sz val="9"/>
            <rFont val="宋体"/>
            <charset val="134"/>
          </rPr>
          <t xml:space="preserve">
38427  1.11</t>
        </r>
      </text>
    </comment>
    <comment ref="U955" authorId="0">
      <text>
        <r>
          <rPr>
            <b/>
            <sz val="9"/>
            <rFont val="宋体"/>
            <charset val="134"/>
          </rPr>
          <t xml:space="preserve">Administrator:
</t>
        </r>
        <r>
          <rPr>
            <sz val="9"/>
            <rFont val="宋体"/>
            <charset val="134"/>
          </rPr>
          <t>有20000 RMB 定金</t>
        </r>
      </text>
    </comment>
    <comment ref="Q958" authorId="0">
      <text>
        <r>
          <rPr>
            <b/>
            <sz val="9"/>
            <rFont val="宋体"/>
            <charset val="134"/>
          </rPr>
          <t>Administrator:
6693.5  实际收</t>
        </r>
      </text>
    </comment>
    <comment ref="Q960" authorId="0">
      <text>
        <r>
          <rPr>
            <b/>
            <sz val="9"/>
            <rFont val="宋体"/>
            <charset val="134"/>
          </rPr>
          <t>Administrator:</t>
        </r>
        <r>
          <rPr>
            <sz val="9"/>
            <rFont val="宋体"/>
            <charset val="134"/>
          </rPr>
          <t xml:space="preserve">
6510</t>
        </r>
      </text>
    </comment>
    <comment ref="Q961" authorId="0">
      <text>
        <r>
          <rPr>
            <b/>
            <sz val="9"/>
            <rFont val="宋体"/>
            <charset val="134"/>
          </rPr>
          <t>Administrator:</t>
        </r>
        <r>
          <rPr>
            <sz val="9"/>
            <rFont val="宋体"/>
            <charset val="134"/>
          </rPr>
          <t xml:space="preserve">
3.4 2075模具费 3.18</t>
        </r>
      </text>
    </comment>
    <comment ref="P965" authorId="0">
      <text>
        <r>
          <rPr>
            <b/>
            <sz val="9"/>
            <rFont val="宋体"/>
            <charset val="134"/>
          </rPr>
          <t>Administrator:</t>
        </r>
        <r>
          <rPr>
            <sz val="9"/>
            <rFont val="宋体"/>
            <charset val="134"/>
          </rPr>
          <t xml:space="preserve">
5.15</t>
        </r>
      </text>
    </comment>
    <comment ref="T969" authorId="0">
      <text>
        <r>
          <rPr>
            <b/>
            <sz val="9"/>
            <rFont val="宋体"/>
            <charset val="134"/>
          </rPr>
          <t>Administrator:</t>
        </r>
        <r>
          <rPr>
            <sz val="9"/>
            <rFont val="宋体"/>
            <charset val="134"/>
          </rPr>
          <t xml:space="preserve">
尾款一共USD15388.1
19.12.9实收RMB38600   2109.12.12实收USD9869.1</t>
        </r>
      </text>
    </comment>
    <comment ref="Q971" authorId="0">
      <text>
        <r>
          <rPr>
            <b/>
            <sz val="9"/>
            <rFont val="宋体"/>
            <charset val="134"/>
          </rPr>
          <t>Administrator:</t>
        </r>
        <r>
          <rPr>
            <sz val="9"/>
            <rFont val="宋体"/>
            <charset val="134"/>
          </rPr>
          <t xml:space="preserve">
实收10850.75</t>
        </r>
      </text>
    </comment>
    <comment ref="P973" authorId="0">
      <text>
        <r>
          <rPr>
            <b/>
            <sz val="9"/>
            <rFont val="宋体"/>
            <charset val="134"/>
          </rPr>
          <t>Administrator:
包括岩棉1413.36</t>
        </r>
      </text>
    </comment>
    <comment ref="Q974" authorId="0">
      <text>
        <r>
          <rPr>
            <b/>
            <sz val="9"/>
            <rFont val="宋体"/>
            <charset val="134"/>
          </rPr>
          <t>Administrator:</t>
        </r>
        <r>
          <rPr>
            <sz val="9"/>
            <rFont val="宋体"/>
            <charset val="134"/>
          </rPr>
          <t xml:space="preserve">
付6765美金收到6689.76美金</t>
        </r>
      </text>
    </comment>
    <comment ref="Q976" authorId="0">
      <text>
        <r>
          <rPr>
            <b/>
            <sz val="9"/>
            <rFont val="宋体"/>
            <charset val="134"/>
          </rPr>
          <t>Administrator:实收</t>
        </r>
        <r>
          <rPr>
            <sz val="9"/>
            <rFont val="宋体"/>
            <charset val="134"/>
          </rPr>
          <t>6159.5</t>
        </r>
      </text>
    </comment>
    <comment ref="T976" authorId="0">
      <text>
        <r>
          <rPr>
            <b/>
            <sz val="9"/>
            <rFont val="宋体"/>
            <charset val="134"/>
          </rPr>
          <t>Administrator:</t>
        </r>
        <r>
          <rPr>
            <sz val="9"/>
            <rFont val="宋体"/>
            <charset val="134"/>
          </rPr>
          <t xml:space="preserve">
应付15637.9</t>
        </r>
      </text>
    </comment>
    <comment ref="P977" authorId="0">
      <text>
        <r>
          <rPr>
            <b/>
            <sz val="9"/>
            <rFont val="宋体"/>
            <charset val="134"/>
          </rPr>
          <t>Administrator:</t>
        </r>
        <r>
          <rPr>
            <sz val="9"/>
            <rFont val="宋体"/>
            <charset val="134"/>
          </rPr>
          <t xml:space="preserve">
给客户寄200个口罩 快递费37美金</t>
        </r>
      </text>
    </comment>
    <comment ref="T977" authorId="0">
      <text>
        <r>
          <rPr>
            <b/>
            <sz val="9"/>
            <rFont val="宋体"/>
            <charset val="134"/>
          </rPr>
          <t>Administrator:</t>
        </r>
        <r>
          <rPr>
            <sz val="9"/>
            <rFont val="宋体"/>
            <charset val="134"/>
          </rPr>
          <t xml:space="preserve">
2020.4.25收</t>
        </r>
      </text>
    </comment>
    <comment ref="P978" authorId="0">
      <text>
        <r>
          <rPr>
            <b/>
            <sz val="9"/>
            <rFont val="宋体"/>
            <charset val="134"/>
          </rPr>
          <t>Administrator:</t>
        </r>
        <r>
          <rPr>
            <sz val="9"/>
            <rFont val="宋体"/>
            <charset val="134"/>
          </rPr>
          <t xml:space="preserve">
轻钢17365岩棉664.56</t>
        </r>
      </text>
    </comment>
    <comment ref="Q980" authorId="0">
      <text>
        <r>
          <rPr>
            <b/>
            <sz val="9"/>
            <rFont val="宋体"/>
            <charset val="134"/>
          </rPr>
          <t>Administrator:</t>
        </r>
        <r>
          <rPr>
            <sz val="9"/>
            <rFont val="宋体"/>
            <charset val="134"/>
          </rPr>
          <t xml:space="preserve">
19.12.12  19.12.14打款</t>
        </r>
      </text>
    </comment>
    <comment ref="P981" authorId="0">
      <text>
        <r>
          <rPr>
            <b/>
            <sz val="9"/>
            <rFont val="宋体"/>
            <charset val="134"/>
          </rPr>
          <t>Administrator:</t>
        </r>
        <r>
          <rPr>
            <sz val="9"/>
            <rFont val="宋体"/>
            <charset val="134"/>
          </rPr>
          <t xml:space="preserve">
发票值25229美金 多装的836美金之前付款 J3667甩货</t>
        </r>
      </text>
    </comment>
    <comment ref="Q981" authorId="0">
      <text>
        <r>
          <rPr>
            <b/>
            <sz val="9"/>
            <rFont val="宋体"/>
            <charset val="134"/>
          </rPr>
          <t>Administrator:</t>
        </r>
        <r>
          <rPr>
            <sz val="9"/>
            <rFont val="宋体"/>
            <charset val="134"/>
          </rPr>
          <t xml:space="preserve">
2020.1.16</t>
        </r>
      </text>
    </comment>
    <comment ref="T981" authorId="0">
      <text>
        <r>
          <rPr>
            <b/>
            <sz val="9"/>
            <rFont val="宋体"/>
            <charset val="134"/>
          </rPr>
          <t>Administrator:水单</t>
        </r>
        <r>
          <rPr>
            <sz val="9"/>
            <rFont val="宋体"/>
            <charset val="134"/>
          </rPr>
          <t xml:space="preserve">
19583美金2020.6.9收</t>
        </r>
      </text>
    </comment>
    <comment ref="Q982" authorId="0">
      <text>
        <r>
          <rPr>
            <b/>
            <sz val="9"/>
            <rFont val="宋体"/>
            <charset val="134"/>
          </rPr>
          <t>Administrator:</t>
        </r>
        <r>
          <rPr>
            <sz val="9"/>
            <rFont val="宋体"/>
            <charset val="134"/>
          </rPr>
          <t xml:space="preserve">
2020.1.21 收RMB30750 汇率6.84</t>
        </r>
      </text>
    </comment>
    <comment ref="T982" authorId="0">
      <text>
        <r>
          <rPr>
            <b/>
            <sz val="9"/>
            <rFont val="宋体"/>
            <charset val="134"/>
          </rPr>
          <t>Administrator:</t>
        </r>
        <r>
          <rPr>
            <sz val="9"/>
            <rFont val="宋体"/>
            <charset val="134"/>
          </rPr>
          <t xml:space="preserve">
2020.6.11收</t>
        </r>
      </text>
    </comment>
    <comment ref="T983" authorId="0">
      <text>
        <r>
          <rPr>
            <b/>
            <sz val="9"/>
            <rFont val="宋体"/>
            <charset val="134"/>
          </rPr>
          <t>Administrator:</t>
        </r>
        <r>
          <rPr>
            <sz val="9"/>
            <rFont val="宋体"/>
            <charset val="134"/>
          </rPr>
          <t xml:space="preserve">
2020.6.15收</t>
        </r>
      </text>
    </comment>
    <comment ref="T984" authorId="0">
      <text>
        <r>
          <rPr>
            <b/>
            <sz val="9"/>
            <rFont val="宋体"/>
            <charset val="134"/>
          </rPr>
          <t>Administrator:</t>
        </r>
        <r>
          <rPr>
            <sz val="9"/>
            <rFont val="宋体"/>
            <charset val="134"/>
          </rPr>
          <t xml:space="preserve">
2020.6.5收</t>
        </r>
      </text>
    </comment>
    <comment ref="Q985" authorId="0">
      <text>
        <r>
          <rPr>
            <b/>
            <sz val="9"/>
            <rFont val="宋体"/>
            <charset val="134"/>
          </rPr>
          <t>Administrator:</t>
        </r>
        <r>
          <rPr>
            <sz val="9"/>
            <rFont val="宋体"/>
            <charset val="134"/>
          </rPr>
          <t xml:space="preserve">
2020.2.18收到五万人民币  其中一万折合$1410.84做定金  剩下四万做J3834定金</t>
        </r>
      </text>
    </comment>
    <comment ref="T985" authorId="0">
      <text>
        <r>
          <rPr>
            <b/>
            <sz val="9"/>
            <rFont val="宋体"/>
            <charset val="134"/>
          </rPr>
          <t>Administrator:</t>
        </r>
        <r>
          <rPr>
            <sz val="9"/>
            <rFont val="宋体"/>
            <charset val="134"/>
          </rPr>
          <t xml:space="preserve">
2020.5.22收</t>
        </r>
      </text>
    </comment>
    <comment ref="Q986" authorId="0">
      <text>
        <r>
          <rPr>
            <b/>
            <sz val="9"/>
            <rFont val="宋体"/>
            <charset val="134"/>
          </rPr>
          <t>Administrator:</t>
        </r>
        <r>
          <rPr>
            <sz val="9"/>
            <rFont val="宋体"/>
            <charset val="134"/>
          </rPr>
          <t xml:space="preserve">
2020.3.9收6295.74美金</t>
        </r>
      </text>
    </comment>
    <comment ref="T986" authorId="0">
      <text>
        <r>
          <rPr>
            <b/>
            <sz val="9"/>
            <rFont val="宋体"/>
            <charset val="134"/>
          </rPr>
          <t>Administrator:</t>
        </r>
        <r>
          <rPr>
            <sz val="9"/>
            <rFont val="宋体"/>
            <charset val="134"/>
          </rPr>
          <t xml:space="preserve">
2020.7.8收</t>
        </r>
      </text>
    </comment>
    <comment ref="Q987" authorId="0">
      <text>
        <r>
          <rPr>
            <b/>
            <sz val="9"/>
            <rFont val="宋体"/>
            <charset val="134"/>
          </rPr>
          <t>Administrator:</t>
        </r>
        <r>
          <rPr>
            <sz val="9"/>
            <rFont val="宋体"/>
            <charset val="134"/>
          </rPr>
          <t xml:space="preserve">
2020.3.5收3973美金</t>
        </r>
      </text>
    </comment>
    <comment ref="T987" authorId="0">
      <text>
        <r>
          <rPr>
            <b/>
            <sz val="9"/>
            <rFont val="宋体"/>
            <charset val="134"/>
          </rPr>
          <t>Administrator:</t>
        </r>
        <r>
          <rPr>
            <sz val="9"/>
            <rFont val="宋体"/>
            <charset val="134"/>
          </rPr>
          <t xml:space="preserve">
2020.7.22</t>
        </r>
      </text>
    </comment>
    <comment ref="Q988" authorId="0">
      <text>
        <r>
          <rPr>
            <b/>
            <sz val="9"/>
            <rFont val="宋体"/>
            <charset val="134"/>
          </rPr>
          <t>Administrator:</t>
        </r>
        <r>
          <rPr>
            <sz val="9"/>
            <rFont val="宋体"/>
            <charset val="134"/>
          </rPr>
          <t xml:space="preserve">
2020.3.5收22700RMB 汇率6.92</t>
        </r>
      </text>
    </comment>
    <comment ref="T988" authorId="0">
      <text>
        <r>
          <rPr>
            <b/>
            <sz val="9"/>
            <rFont val="宋体"/>
            <charset val="134"/>
          </rPr>
          <t>Administrator:</t>
        </r>
        <r>
          <rPr>
            <sz val="9"/>
            <rFont val="宋体"/>
            <charset val="134"/>
          </rPr>
          <t xml:space="preserve">
2020.9.27收13026.4
实际尾款13052.65客户按13066.4付款的</t>
        </r>
      </text>
    </comment>
    <comment ref="Q989" authorId="0">
      <text>
        <r>
          <rPr>
            <b/>
            <sz val="9"/>
            <rFont val="宋体"/>
            <charset val="134"/>
          </rPr>
          <t>Administrator:</t>
        </r>
        <r>
          <rPr>
            <sz val="9"/>
            <rFont val="宋体"/>
            <charset val="134"/>
          </rPr>
          <t xml:space="preserve">
2020.3.9收</t>
        </r>
      </text>
    </comment>
    <comment ref="T989" authorId="0">
      <text>
        <r>
          <rPr>
            <b/>
            <sz val="9"/>
            <rFont val="宋体"/>
            <charset val="134"/>
          </rPr>
          <t>Administrator:</t>
        </r>
        <r>
          <rPr>
            <sz val="9"/>
            <rFont val="宋体"/>
            <charset val="134"/>
          </rPr>
          <t xml:space="preserve">
2020.9.1收11048.53</t>
        </r>
      </text>
    </comment>
    <comment ref="Q990"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0" authorId="0">
      <text>
        <r>
          <rPr>
            <b/>
            <sz val="9"/>
            <rFont val="宋体"/>
            <charset val="134"/>
          </rPr>
          <t>Administrator:</t>
        </r>
        <r>
          <rPr>
            <sz val="9"/>
            <rFont val="宋体"/>
            <charset val="134"/>
          </rPr>
          <t xml:space="preserve">
2020.7.7收</t>
        </r>
      </text>
    </comment>
    <comment ref="T991" authorId="0">
      <text>
        <r>
          <rPr>
            <b/>
            <sz val="9"/>
            <rFont val="宋体"/>
            <charset val="134"/>
          </rPr>
          <t>Administrator:</t>
        </r>
        <r>
          <rPr>
            <sz val="9"/>
            <rFont val="宋体"/>
            <charset val="134"/>
          </rPr>
          <t xml:space="preserve">
2020.5.7收</t>
        </r>
      </text>
    </comment>
    <comment ref="T992" authorId="0">
      <text>
        <r>
          <rPr>
            <b/>
            <sz val="9"/>
            <rFont val="宋体"/>
            <charset val="134"/>
          </rPr>
          <t>Administrator:</t>
        </r>
        <r>
          <rPr>
            <sz val="9"/>
            <rFont val="宋体"/>
            <charset val="134"/>
          </rPr>
          <t xml:space="preserve">
2020.5.29收65851.08美金
J3778部分尾款 $53930 + J3813订金 $11934</t>
        </r>
      </text>
    </comment>
    <comment ref="T993" authorId="0">
      <text>
        <r>
          <rPr>
            <b/>
            <sz val="9"/>
            <rFont val="宋体"/>
            <charset val="134"/>
          </rPr>
          <t>Administrator:</t>
        </r>
        <r>
          <rPr>
            <sz val="9"/>
            <rFont val="宋体"/>
            <charset val="134"/>
          </rPr>
          <t xml:space="preserve">
2020.5.29收 
-2-3尾款91544美金 一起安排的</t>
        </r>
      </text>
    </comment>
    <comment ref="Q994"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4" authorId="0">
      <text>
        <r>
          <rPr>
            <b/>
            <sz val="9"/>
            <rFont val="宋体"/>
            <charset val="134"/>
          </rPr>
          <t>Administrator:</t>
        </r>
        <r>
          <rPr>
            <sz val="9"/>
            <rFont val="宋体"/>
            <charset val="134"/>
          </rPr>
          <t xml:space="preserve">
2020.7.14收 打的人民币</t>
        </r>
      </text>
    </comment>
    <comment ref="U994" authorId="0">
      <text>
        <r>
          <rPr>
            <b/>
            <sz val="9"/>
            <rFont val="宋体"/>
            <charset val="134"/>
          </rPr>
          <t>Administrator:</t>
        </r>
        <r>
          <rPr>
            <sz val="9"/>
            <rFont val="宋体"/>
            <charset val="134"/>
          </rPr>
          <t xml:space="preserve">
2020.7.15收</t>
        </r>
      </text>
    </comment>
    <comment ref="Q995" authorId="0">
      <text>
        <r>
          <rPr>
            <b/>
            <sz val="9"/>
            <rFont val="宋体"/>
            <charset val="134"/>
          </rPr>
          <t>Administrator:</t>
        </r>
        <r>
          <rPr>
            <sz val="9"/>
            <rFont val="宋体"/>
            <charset val="134"/>
          </rPr>
          <t xml:space="preserve">
2020.4.2收到83184港币 按汇率7.761 折合美金10718</t>
        </r>
      </text>
    </comment>
    <comment ref="T995" authorId="0">
      <text>
        <r>
          <rPr>
            <b/>
            <sz val="9"/>
            <rFont val="宋体"/>
            <charset val="134"/>
          </rPr>
          <t>Administrator:</t>
        </r>
        <r>
          <rPr>
            <sz val="9"/>
            <rFont val="宋体"/>
            <charset val="134"/>
          </rPr>
          <t xml:space="preserve">
港币入账 手续费多 2020.7.8到账</t>
        </r>
      </text>
    </comment>
    <comment ref="Q996" authorId="0">
      <text>
        <r>
          <rPr>
            <b/>
            <sz val="9"/>
            <rFont val="宋体"/>
            <charset val="134"/>
          </rPr>
          <t>Administrator:</t>
        </r>
        <r>
          <rPr>
            <sz val="9"/>
            <rFont val="宋体"/>
            <charset val="134"/>
          </rPr>
          <t xml:space="preserve">
2020.4.16 收 农行</t>
        </r>
      </text>
    </comment>
    <comment ref="T996" authorId="0">
      <text>
        <r>
          <rPr>
            <b/>
            <sz val="9"/>
            <rFont val="宋体"/>
            <charset val="134"/>
          </rPr>
          <t>Administrator:</t>
        </r>
        <r>
          <rPr>
            <sz val="9"/>
            <rFont val="宋体"/>
            <charset val="134"/>
          </rPr>
          <t xml:space="preserve">
2020.11.3收</t>
        </r>
      </text>
    </comment>
    <comment ref="Q997" authorId="0">
      <text>
        <r>
          <rPr>
            <b/>
            <sz val="9"/>
            <rFont val="宋体"/>
            <charset val="134"/>
          </rPr>
          <t>Administrator:</t>
        </r>
        <r>
          <rPr>
            <sz val="9"/>
            <rFont val="宋体"/>
            <charset val="134"/>
          </rPr>
          <t xml:space="preserve">
四万定金汇率7.06</t>
        </r>
      </text>
    </comment>
    <comment ref="T997" authorId="0">
      <text>
        <r>
          <rPr>
            <b/>
            <sz val="9"/>
            <rFont val="宋体"/>
            <charset val="134"/>
          </rPr>
          <t>Administrator:</t>
        </r>
        <r>
          <rPr>
            <sz val="9"/>
            <rFont val="宋体"/>
            <charset val="134"/>
          </rPr>
          <t xml:space="preserve">
2020.6.8收 107480RMB 汇率7.07
</t>
        </r>
      </text>
    </comment>
    <comment ref="Q998" authorId="0">
      <text>
        <r>
          <rPr>
            <b/>
            <sz val="9"/>
            <rFont val="宋体"/>
            <charset val="134"/>
          </rPr>
          <t>Administrator:</t>
        </r>
        <r>
          <rPr>
            <sz val="9"/>
            <rFont val="宋体"/>
            <charset val="134"/>
          </rPr>
          <t xml:space="preserve">
2020.5.9收8337.9</t>
        </r>
      </text>
    </comment>
    <comment ref="T998" authorId="0">
      <text>
        <r>
          <rPr>
            <b/>
            <sz val="9"/>
            <rFont val="宋体"/>
            <charset val="134"/>
          </rPr>
          <t>Administrator:</t>
        </r>
        <r>
          <rPr>
            <sz val="9"/>
            <rFont val="宋体"/>
            <charset val="134"/>
          </rPr>
          <t xml:space="preserve">
2020.8.5收20015.66美金</t>
        </r>
      </text>
    </comment>
    <comment ref="Q999" authorId="0">
      <text>
        <r>
          <rPr>
            <b/>
            <sz val="9"/>
            <rFont val="宋体"/>
            <charset val="134"/>
          </rPr>
          <t>Administrator:</t>
        </r>
        <r>
          <rPr>
            <sz val="9"/>
            <rFont val="宋体"/>
            <charset val="134"/>
          </rPr>
          <t xml:space="preserve">
2020.5.29收</t>
        </r>
      </text>
    </comment>
    <comment ref="T999" authorId="0">
      <text>
        <r>
          <rPr>
            <b/>
            <sz val="9"/>
            <rFont val="宋体"/>
            <charset val="134"/>
          </rPr>
          <t>Administrator:</t>
        </r>
        <r>
          <rPr>
            <sz val="9"/>
            <rFont val="宋体"/>
            <charset val="134"/>
          </rPr>
          <t xml:space="preserve">
2020.7.21收</t>
        </r>
      </text>
    </comment>
    <comment ref="Q1000"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0" authorId="0">
      <text>
        <r>
          <rPr>
            <b/>
            <sz val="9"/>
            <rFont val="宋体"/>
            <charset val="134"/>
          </rPr>
          <t>Administrator:</t>
        </r>
        <r>
          <rPr>
            <sz val="9"/>
            <rFont val="宋体"/>
            <charset val="134"/>
          </rPr>
          <t xml:space="preserve">
2020.7.16</t>
        </r>
      </text>
    </comment>
    <comment ref="Q1001" authorId="0">
      <text>
        <r>
          <rPr>
            <b/>
            <sz val="9"/>
            <rFont val="宋体"/>
            <charset val="134"/>
          </rPr>
          <t>Administrator:</t>
        </r>
        <r>
          <rPr>
            <sz val="9"/>
            <rFont val="宋体"/>
            <charset val="134"/>
          </rPr>
          <t xml:space="preserve">
2020.6.18收</t>
        </r>
      </text>
    </comment>
    <comment ref="T1001" authorId="0">
      <text>
        <r>
          <rPr>
            <b/>
            <sz val="9"/>
            <rFont val="宋体"/>
            <charset val="134"/>
          </rPr>
          <t>Administrator:</t>
        </r>
        <r>
          <rPr>
            <sz val="9"/>
            <rFont val="宋体"/>
            <charset val="134"/>
          </rPr>
          <t xml:space="preserve">
2020.7.31收</t>
        </r>
      </text>
    </comment>
    <comment ref="T1002" authorId="0">
      <text>
        <r>
          <rPr>
            <b/>
            <sz val="9"/>
            <rFont val="宋体"/>
            <charset val="134"/>
          </rPr>
          <t>Administrator:</t>
        </r>
        <r>
          <rPr>
            <sz val="9"/>
            <rFont val="宋体"/>
            <charset val="134"/>
          </rPr>
          <t xml:space="preserve">
2020.7.23</t>
        </r>
      </text>
    </comment>
    <comment ref="T1003" authorId="0">
      <text>
        <r>
          <rPr>
            <b/>
            <sz val="9"/>
            <rFont val="宋体"/>
            <charset val="134"/>
          </rPr>
          <t>Administrator:</t>
        </r>
        <r>
          <rPr>
            <sz val="9"/>
            <rFont val="宋体"/>
            <charset val="134"/>
          </rPr>
          <t xml:space="preserve">
2020.8.4收19703美金</t>
        </r>
      </text>
    </comment>
    <comment ref="Q1004" authorId="0">
      <text>
        <r>
          <rPr>
            <b/>
            <sz val="9"/>
            <rFont val="宋体"/>
            <charset val="134"/>
          </rPr>
          <t>Administrator:</t>
        </r>
        <r>
          <rPr>
            <sz val="9"/>
            <rFont val="宋体"/>
            <charset val="134"/>
          </rPr>
          <t xml:space="preserve">
2020.7.9收13308</t>
        </r>
      </text>
    </comment>
    <comment ref="T1004" authorId="0">
      <text>
        <r>
          <rPr>
            <b/>
            <sz val="9"/>
            <rFont val="宋体"/>
            <charset val="134"/>
          </rPr>
          <t>Administrator:</t>
        </r>
        <r>
          <rPr>
            <sz val="9"/>
            <rFont val="宋体"/>
            <charset val="134"/>
          </rPr>
          <t xml:space="preserve">
2020.8.20收29743美金</t>
        </r>
      </text>
    </comment>
    <comment ref="Q1005" authorId="0">
      <text>
        <r>
          <rPr>
            <b/>
            <sz val="9"/>
            <rFont val="宋体"/>
            <charset val="134"/>
          </rPr>
          <t>Administrator:</t>
        </r>
        <r>
          <rPr>
            <sz val="9"/>
            <rFont val="宋体"/>
            <charset val="134"/>
          </rPr>
          <t xml:space="preserve">
2020.7.9收9179</t>
        </r>
      </text>
    </comment>
    <comment ref="T1005" authorId="0">
      <text>
        <r>
          <rPr>
            <b/>
            <sz val="9"/>
            <rFont val="宋体"/>
            <charset val="134"/>
          </rPr>
          <t>Administrator:</t>
        </r>
        <r>
          <rPr>
            <sz val="9"/>
            <rFont val="宋体"/>
            <charset val="134"/>
          </rPr>
          <t xml:space="preserve">
2020.8.19收18742.25</t>
        </r>
      </text>
    </comment>
    <comment ref="Q1006" authorId="0">
      <text>
        <r>
          <rPr>
            <b/>
            <sz val="9"/>
            <rFont val="宋体"/>
            <charset val="134"/>
          </rPr>
          <t>Administrator:</t>
        </r>
        <r>
          <rPr>
            <sz val="9"/>
            <rFont val="宋体"/>
            <charset val="134"/>
          </rPr>
          <t xml:space="preserve">
2020.7.15收 47000RMB 汇率6.98</t>
        </r>
      </text>
    </comment>
    <comment ref="T1006" authorId="0">
      <text>
        <r>
          <rPr>
            <b/>
            <sz val="9"/>
            <rFont val="宋体"/>
            <charset val="134"/>
          </rPr>
          <t>Administrator:</t>
        </r>
        <r>
          <rPr>
            <sz val="9"/>
            <rFont val="宋体"/>
            <charset val="134"/>
          </rPr>
          <t xml:space="preserve">
2020.8.14收</t>
        </r>
      </text>
    </comment>
    <comment ref="Q1007" authorId="0">
      <text>
        <r>
          <rPr>
            <b/>
            <sz val="9"/>
            <rFont val="宋体"/>
            <charset val="134"/>
          </rPr>
          <t>Administrator:</t>
        </r>
        <r>
          <rPr>
            <sz val="9"/>
            <rFont val="宋体"/>
            <charset val="134"/>
          </rPr>
          <t xml:space="preserve">
2020.7.19收 汇率6.98
打49200人民币 1200是打包带钱</t>
        </r>
      </text>
    </comment>
    <comment ref="T1007" authorId="0">
      <text>
        <r>
          <rPr>
            <b/>
            <sz val="9"/>
            <rFont val="宋体"/>
            <charset val="134"/>
          </rPr>
          <t>Administrator:</t>
        </r>
        <r>
          <rPr>
            <sz val="9"/>
            <rFont val="宋体"/>
            <charset val="134"/>
          </rPr>
          <t xml:space="preserve">
2020.9.8收RMB109100.65
汇率6.82</t>
        </r>
      </text>
    </comment>
    <comment ref="Q1008" authorId="0">
      <text>
        <r>
          <rPr>
            <b/>
            <sz val="9"/>
            <rFont val="宋体"/>
            <charset val="134"/>
          </rPr>
          <t>Administrator:</t>
        </r>
        <r>
          <rPr>
            <sz val="9"/>
            <rFont val="宋体"/>
            <charset val="134"/>
          </rPr>
          <t xml:space="preserve">
4万是J3746的订单打的，扣掉900模具费
15000RMB 2020.7.3收到</t>
        </r>
      </text>
    </comment>
    <comment ref="T1008" authorId="0">
      <text>
        <r>
          <rPr>
            <b/>
            <sz val="9"/>
            <rFont val="宋体"/>
            <charset val="134"/>
          </rPr>
          <t>Administrator:</t>
        </r>
        <r>
          <rPr>
            <sz val="9"/>
            <rFont val="宋体"/>
            <charset val="134"/>
          </rPr>
          <t xml:space="preserve">
2020.8.21收19747</t>
        </r>
      </text>
    </comment>
    <comment ref="Q1009" authorId="0">
      <text>
        <r>
          <rPr>
            <b/>
            <sz val="9"/>
            <rFont val="宋体"/>
            <charset val="134"/>
          </rPr>
          <t>Administrator:</t>
        </r>
        <r>
          <rPr>
            <sz val="9"/>
            <rFont val="宋体"/>
            <charset val="134"/>
          </rPr>
          <t xml:space="preserve">
2020.7.31收</t>
        </r>
      </text>
    </comment>
    <comment ref="T1009" authorId="0">
      <text>
        <r>
          <rPr>
            <b/>
            <sz val="9"/>
            <rFont val="宋体"/>
            <charset val="134"/>
          </rPr>
          <t>Administrator:</t>
        </r>
        <r>
          <rPr>
            <sz val="9"/>
            <rFont val="宋体"/>
            <charset val="134"/>
          </rPr>
          <t xml:space="preserve">
2020.9.2收</t>
        </r>
      </text>
    </comment>
    <comment ref="T1010" authorId="0">
      <text>
        <r>
          <rPr>
            <b/>
            <sz val="9"/>
            <rFont val="宋体"/>
            <charset val="134"/>
          </rPr>
          <t>Administrator:</t>
        </r>
        <r>
          <rPr>
            <sz val="9"/>
            <rFont val="宋体"/>
            <charset val="134"/>
          </rPr>
          <t xml:space="preserve">
2020.9.24收</t>
        </r>
      </text>
    </comment>
    <comment ref="Q1011" authorId="0">
      <text>
        <r>
          <rPr>
            <b/>
            <sz val="9"/>
            <rFont val="宋体"/>
            <charset val="134"/>
          </rPr>
          <t>Administrator:</t>
        </r>
        <r>
          <rPr>
            <sz val="9"/>
            <rFont val="宋体"/>
            <charset val="134"/>
          </rPr>
          <t xml:space="preserve">
39100+15000 J3849定金移过来的
730元 （此单返还的模具费）
2020.8.13 收三万人民币</t>
        </r>
      </text>
    </comment>
    <comment ref="T1011" authorId="0">
      <text>
        <r>
          <rPr>
            <b/>
            <sz val="9"/>
            <rFont val="宋体"/>
            <charset val="134"/>
          </rPr>
          <t>Administrator:</t>
        </r>
        <r>
          <rPr>
            <sz val="9"/>
            <rFont val="宋体"/>
            <charset val="134"/>
          </rPr>
          <t xml:space="preserve">
2020.10.13收39633.90美金</t>
        </r>
      </text>
    </comment>
    <comment ref="Q1012" authorId="0">
      <text>
        <r>
          <rPr>
            <b/>
            <sz val="9"/>
            <rFont val="宋体"/>
            <charset val="134"/>
          </rPr>
          <t>Administrator:</t>
        </r>
        <r>
          <rPr>
            <sz val="9"/>
            <rFont val="宋体"/>
            <charset val="134"/>
          </rPr>
          <t xml:space="preserve">
2020.8.17收8209.92美金
2020.8.18收4596.9美金</t>
        </r>
      </text>
    </comment>
    <comment ref="T1012" authorId="0">
      <text>
        <r>
          <rPr>
            <b/>
            <sz val="9"/>
            <rFont val="宋体"/>
            <charset val="134"/>
          </rPr>
          <t>Administrator:</t>
        </r>
        <r>
          <rPr>
            <sz val="9"/>
            <rFont val="宋体"/>
            <charset val="134"/>
          </rPr>
          <t xml:space="preserve">
2020.10.9收</t>
        </r>
      </text>
    </comment>
    <comment ref="U1012" authorId="0">
      <text>
        <r>
          <rPr>
            <b/>
            <sz val="9"/>
            <rFont val="宋体"/>
            <charset val="134"/>
          </rPr>
          <t>Administrator:</t>
        </r>
        <r>
          <rPr>
            <sz val="9"/>
            <rFont val="宋体"/>
            <charset val="134"/>
          </rPr>
          <t xml:space="preserve">
2020.10.10收</t>
        </r>
      </text>
    </comment>
    <comment ref="Q1013" authorId="0">
      <text>
        <r>
          <rPr>
            <b/>
            <sz val="9"/>
            <rFont val="宋体"/>
            <charset val="134"/>
          </rPr>
          <t>Administrator:</t>
        </r>
        <r>
          <rPr>
            <sz val="9"/>
            <rFont val="宋体"/>
            <charset val="134"/>
          </rPr>
          <t xml:space="preserve">
2020.8.25收</t>
        </r>
      </text>
    </comment>
    <comment ref="T1013" authorId="0">
      <text>
        <r>
          <rPr>
            <b/>
            <sz val="9"/>
            <rFont val="宋体"/>
            <charset val="134"/>
          </rPr>
          <t>Administrator:</t>
        </r>
        <r>
          <rPr>
            <sz val="9"/>
            <rFont val="宋体"/>
            <charset val="134"/>
          </rPr>
          <t xml:space="preserve">
2020.10.1收到13904</t>
        </r>
      </text>
    </comment>
    <comment ref="P1014" authorId="0">
      <text>
        <r>
          <rPr>
            <b/>
            <sz val="9"/>
            <rFont val="宋体"/>
            <charset val="134"/>
          </rPr>
          <t>Administrator:</t>
        </r>
        <r>
          <rPr>
            <sz val="9"/>
            <rFont val="宋体"/>
            <charset val="134"/>
          </rPr>
          <t xml:space="preserve">
4200运费
1000装卸费
补贴650</t>
        </r>
      </text>
    </comment>
    <comment ref="Q1014" authorId="0">
      <text>
        <r>
          <rPr>
            <b/>
            <sz val="9"/>
            <rFont val="宋体"/>
            <charset val="134"/>
          </rPr>
          <t>Administrator:</t>
        </r>
        <r>
          <rPr>
            <sz val="9"/>
            <rFont val="宋体"/>
            <charset val="134"/>
          </rPr>
          <t xml:space="preserve">
定金打给经理了</t>
        </r>
      </text>
    </comment>
    <comment ref="Q1015" authorId="0">
      <text>
        <r>
          <rPr>
            <b/>
            <sz val="9"/>
            <rFont val="宋体"/>
            <charset val="134"/>
          </rPr>
          <t>Administrator:</t>
        </r>
        <r>
          <rPr>
            <sz val="9"/>
            <rFont val="宋体"/>
            <charset val="134"/>
          </rPr>
          <t xml:space="preserve">
2020.9.16收</t>
        </r>
      </text>
    </comment>
    <comment ref="T1015" authorId="0">
      <text>
        <r>
          <rPr>
            <b/>
            <sz val="9"/>
            <rFont val="宋体"/>
            <charset val="134"/>
          </rPr>
          <t>Administrator:</t>
        </r>
        <r>
          <rPr>
            <sz val="9"/>
            <rFont val="宋体"/>
            <charset val="134"/>
          </rPr>
          <t xml:space="preserve">
2020.11.18收30889</t>
        </r>
      </text>
    </comment>
    <comment ref="T1016" authorId="0">
      <text>
        <r>
          <rPr>
            <b/>
            <sz val="9"/>
            <rFont val="宋体"/>
            <charset val="134"/>
          </rPr>
          <t>Administrator:</t>
        </r>
        <r>
          <rPr>
            <sz val="9"/>
            <rFont val="宋体"/>
            <charset val="134"/>
          </rPr>
          <t xml:space="preserve">
2020.9.19收</t>
        </r>
      </text>
    </comment>
    <comment ref="P1017" authorId="0">
      <text>
        <r>
          <rPr>
            <b/>
            <sz val="9"/>
            <rFont val="宋体"/>
            <charset val="134"/>
          </rPr>
          <t>Administrator:</t>
        </r>
        <r>
          <rPr>
            <sz val="9"/>
            <rFont val="宋体"/>
            <charset val="134"/>
          </rPr>
          <t xml:space="preserve">
J3840已付未装货款的50%  2722.75美金</t>
        </r>
      </text>
    </comment>
    <comment ref="Q1017" authorId="0">
      <text>
        <r>
          <rPr>
            <b/>
            <sz val="9"/>
            <rFont val="宋体"/>
            <charset val="134"/>
          </rPr>
          <t>Administrator:</t>
        </r>
        <r>
          <rPr>
            <sz val="9"/>
            <rFont val="宋体"/>
            <charset val="134"/>
          </rPr>
          <t xml:space="preserve">
2020.9.24收7490</t>
        </r>
      </text>
    </comment>
    <comment ref="T1017" authorId="0">
      <text>
        <r>
          <rPr>
            <b/>
            <sz val="9"/>
            <rFont val="宋体"/>
            <charset val="134"/>
          </rPr>
          <t>Administrator:</t>
        </r>
        <r>
          <rPr>
            <sz val="9"/>
            <rFont val="宋体"/>
            <charset val="134"/>
          </rPr>
          <t xml:space="preserve">
2020.11.2收17523.7</t>
        </r>
      </text>
    </comment>
    <comment ref="P1018" authorId="0">
      <text>
        <r>
          <rPr>
            <b/>
            <sz val="9"/>
            <rFont val="宋体"/>
            <charset val="134"/>
          </rPr>
          <t>Administrator:</t>
        </r>
        <r>
          <rPr>
            <sz val="9"/>
            <rFont val="宋体"/>
            <charset val="134"/>
          </rPr>
          <t xml:space="preserve">
10箱3.5*35的钉子的费用 3066RMB</t>
        </r>
      </text>
    </comment>
    <comment ref="Q1018" authorId="0">
      <text>
        <r>
          <rPr>
            <b/>
            <sz val="9"/>
            <rFont val="宋体"/>
            <charset val="134"/>
          </rPr>
          <t>Administrator:</t>
        </r>
        <r>
          <rPr>
            <sz val="9"/>
            <rFont val="宋体"/>
            <charset val="134"/>
          </rPr>
          <t xml:space="preserve">
2020.9.25收15000
2020.11.2收3066</t>
        </r>
      </text>
    </comment>
    <comment ref="Q1019" authorId="0">
      <text>
        <r>
          <rPr>
            <b/>
            <sz val="9"/>
            <rFont val="宋体"/>
            <charset val="134"/>
          </rPr>
          <t>Administrator:</t>
        </r>
        <r>
          <rPr>
            <sz val="9"/>
            <rFont val="宋体"/>
            <charset val="134"/>
          </rPr>
          <t xml:space="preserve">
2020.10.9收7465</t>
        </r>
      </text>
    </comment>
    <comment ref="T1019" authorId="0">
      <text>
        <r>
          <rPr>
            <b/>
            <sz val="9"/>
            <rFont val="宋体"/>
            <charset val="134"/>
          </rPr>
          <t>Administrator:</t>
        </r>
        <r>
          <rPr>
            <sz val="9"/>
            <rFont val="宋体"/>
            <charset val="134"/>
          </rPr>
          <t xml:space="preserve">
2021.1.21收15198.5</t>
        </r>
      </text>
    </comment>
    <comment ref="Q1020" authorId="0">
      <text>
        <r>
          <rPr>
            <b/>
            <sz val="9"/>
            <rFont val="宋体"/>
            <charset val="134"/>
          </rPr>
          <t>Administrator:</t>
        </r>
        <r>
          <rPr>
            <sz val="9"/>
            <rFont val="宋体"/>
            <charset val="134"/>
          </rPr>
          <t xml:space="preserve">
2020.10.10收</t>
        </r>
      </text>
    </comment>
    <comment ref="T1020" authorId="0">
      <text>
        <r>
          <rPr>
            <b/>
            <sz val="9"/>
            <rFont val="宋体"/>
            <charset val="134"/>
          </rPr>
          <t>Administrator:</t>
        </r>
        <r>
          <rPr>
            <sz val="9"/>
            <rFont val="宋体"/>
            <charset val="134"/>
          </rPr>
          <t xml:space="preserve">
2020.12.11收41646.65</t>
        </r>
      </text>
    </comment>
    <comment ref="Q1021" authorId="0">
      <text>
        <r>
          <rPr>
            <b/>
            <sz val="9"/>
            <rFont val="宋体"/>
            <charset val="134"/>
          </rPr>
          <t>Administrator:</t>
        </r>
        <r>
          <rPr>
            <sz val="9"/>
            <rFont val="宋体"/>
            <charset val="134"/>
          </rPr>
          <t xml:space="preserve">
2020.10.16收</t>
        </r>
      </text>
    </comment>
    <comment ref="T1021" authorId="0">
      <text>
        <r>
          <rPr>
            <b/>
            <sz val="9"/>
            <rFont val="宋体"/>
            <charset val="134"/>
          </rPr>
          <t>Administrator:</t>
        </r>
        <r>
          <rPr>
            <sz val="9"/>
            <rFont val="宋体"/>
            <charset val="134"/>
          </rPr>
          <t xml:space="preserve">
2020.12.29收16579.05</t>
        </r>
      </text>
    </comment>
    <comment ref="Q1022" authorId="0">
      <text>
        <r>
          <rPr>
            <b/>
            <sz val="9"/>
            <rFont val="宋体"/>
            <charset val="134"/>
          </rPr>
          <t>Administrator:</t>
        </r>
        <r>
          <rPr>
            <sz val="9"/>
            <rFont val="宋体"/>
            <charset val="134"/>
          </rPr>
          <t xml:space="preserve">
2020.10.15收</t>
        </r>
      </text>
    </comment>
    <comment ref="T1022" authorId="0">
      <text>
        <r>
          <rPr>
            <b/>
            <sz val="9"/>
            <rFont val="宋体"/>
            <charset val="134"/>
          </rPr>
          <t>Administrator:</t>
        </r>
        <r>
          <rPr>
            <sz val="9"/>
            <rFont val="宋体"/>
            <charset val="134"/>
          </rPr>
          <t xml:space="preserve">
2021.2.20收</t>
        </r>
      </text>
    </comment>
    <comment ref="T1023" authorId="0">
      <text>
        <r>
          <rPr>
            <b/>
            <sz val="9"/>
            <rFont val="宋体"/>
            <charset val="134"/>
          </rPr>
          <t>Administrator:</t>
        </r>
        <r>
          <rPr>
            <sz val="9"/>
            <rFont val="宋体"/>
            <charset val="134"/>
          </rPr>
          <t xml:space="preserve">
2020.12.15收21379.26</t>
        </r>
      </text>
    </comment>
    <comment ref="Q1024" authorId="0">
      <text>
        <r>
          <rPr>
            <b/>
            <sz val="9"/>
            <rFont val="宋体"/>
            <charset val="134"/>
          </rPr>
          <t>Administrator:</t>
        </r>
        <r>
          <rPr>
            <sz val="9"/>
            <rFont val="宋体"/>
            <charset val="134"/>
          </rPr>
          <t xml:space="preserve">
2020.10.20收四万人民币定金
减掉港杂装卸费RMB1694
返还模具费170</t>
        </r>
      </text>
    </comment>
    <comment ref="T1024" authorId="0">
      <text>
        <r>
          <rPr>
            <b/>
            <sz val="9"/>
            <rFont val="宋体"/>
            <charset val="134"/>
          </rPr>
          <t>Administrator:</t>
        </r>
        <r>
          <rPr>
            <sz val="9"/>
            <rFont val="宋体"/>
            <charset val="134"/>
          </rPr>
          <t xml:space="preserve">
2021.1.5收14864.72</t>
        </r>
      </text>
    </comment>
    <comment ref="Q1025" authorId="0">
      <text>
        <r>
          <rPr>
            <b/>
            <sz val="9"/>
            <rFont val="宋体"/>
            <charset val="134"/>
          </rPr>
          <t>Administrator:</t>
        </r>
        <r>
          <rPr>
            <sz val="9"/>
            <rFont val="宋体"/>
            <charset val="134"/>
          </rPr>
          <t xml:space="preserve">
2020.11.4收</t>
        </r>
      </text>
    </comment>
    <comment ref="Q1026" authorId="0">
      <text>
        <r>
          <rPr>
            <b/>
            <sz val="9"/>
            <rFont val="宋体"/>
            <charset val="134"/>
          </rPr>
          <t>Administrator:</t>
        </r>
        <r>
          <rPr>
            <sz val="9"/>
            <rFont val="宋体"/>
            <charset val="134"/>
          </rPr>
          <t xml:space="preserve">
2020.11.9收13303</t>
        </r>
      </text>
    </comment>
    <comment ref="T1026" authorId="0">
      <text>
        <r>
          <rPr>
            <b/>
            <sz val="9"/>
            <rFont val="宋体"/>
            <charset val="134"/>
          </rPr>
          <t>Administrator:</t>
        </r>
        <r>
          <rPr>
            <sz val="9"/>
            <rFont val="宋体"/>
            <charset val="134"/>
          </rPr>
          <t xml:space="preserve">
2021.1.13收37848</t>
        </r>
      </text>
    </comment>
    <comment ref="P1027" authorId="0">
      <text>
        <r>
          <rPr>
            <b/>
            <sz val="9"/>
            <rFont val="宋体"/>
            <charset val="134"/>
          </rPr>
          <t>Administrator:</t>
        </r>
        <r>
          <rPr>
            <sz val="9"/>
            <rFont val="宋体"/>
            <charset val="134"/>
          </rPr>
          <t xml:space="preserve">
纸箱费RMB6500 汇率6.44折合1009美金</t>
        </r>
      </text>
    </comment>
    <comment ref="Q1027" authorId="0">
      <text>
        <r>
          <rPr>
            <b/>
            <sz val="9"/>
            <rFont val="宋体"/>
            <charset val="134"/>
          </rPr>
          <t>Administrator:</t>
        </r>
        <r>
          <rPr>
            <sz val="9"/>
            <rFont val="宋体"/>
            <charset val="134"/>
          </rPr>
          <t xml:space="preserve">
2020.11.13收9075.34</t>
        </r>
      </text>
    </comment>
    <comment ref="T1027" authorId="0">
      <text>
        <r>
          <rPr>
            <b/>
            <sz val="9"/>
            <rFont val="宋体"/>
            <charset val="134"/>
          </rPr>
          <t>Administrator:</t>
        </r>
        <r>
          <rPr>
            <sz val="9"/>
            <rFont val="宋体"/>
            <charset val="134"/>
          </rPr>
          <t xml:space="preserve">
2021.1.14收22231.46</t>
        </r>
      </text>
    </comment>
    <comment ref="Q1028" authorId="0">
      <text>
        <r>
          <rPr>
            <b/>
            <sz val="9"/>
            <rFont val="宋体"/>
            <charset val="134"/>
          </rPr>
          <t>Administrator:</t>
        </r>
        <r>
          <rPr>
            <sz val="9"/>
            <rFont val="宋体"/>
            <charset val="134"/>
          </rPr>
          <t xml:space="preserve">
2020.11.19收3575</t>
        </r>
      </text>
    </comment>
    <comment ref="T1028" authorId="0">
      <text>
        <r>
          <rPr>
            <b/>
            <sz val="9"/>
            <rFont val="宋体"/>
            <charset val="134"/>
          </rPr>
          <t>Administrator:</t>
        </r>
        <r>
          <rPr>
            <sz val="9"/>
            <rFont val="宋体"/>
            <charset val="134"/>
          </rPr>
          <t xml:space="preserve">
2021.2.3收14360</t>
        </r>
      </text>
    </comment>
    <comment ref="Q1029" authorId="0">
      <text>
        <r>
          <rPr>
            <b/>
            <sz val="9"/>
            <rFont val="宋体"/>
            <charset val="134"/>
          </rPr>
          <t>Administrator:</t>
        </r>
        <r>
          <rPr>
            <sz val="9"/>
            <rFont val="宋体"/>
            <charset val="134"/>
          </rPr>
          <t xml:space="preserve">
2020.11.23收23575</t>
        </r>
      </text>
    </comment>
    <comment ref="T1029" authorId="0">
      <text>
        <r>
          <rPr>
            <b/>
            <sz val="9"/>
            <rFont val="宋体"/>
            <charset val="134"/>
          </rPr>
          <t>Administrator:</t>
        </r>
        <r>
          <rPr>
            <sz val="9"/>
            <rFont val="宋体"/>
            <charset val="134"/>
          </rPr>
          <t xml:space="preserve">
2021.2.1收39953</t>
        </r>
      </text>
    </comment>
    <comment ref="U1029" authorId="0">
      <text>
        <r>
          <rPr>
            <b/>
            <sz val="9"/>
            <rFont val="宋体"/>
            <charset val="134"/>
          </rPr>
          <t>Administrator:</t>
        </r>
        <r>
          <rPr>
            <sz val="9"/>
            <rFont val="宋体"/>
            <charset val="134"/>
          </rPr>
          <t xml:space="preserve">
2021.2.2收6043</t>
        </r>
      </text>
    </comment>
    <comment ref="Q1030" authorId="0">
      <text>
        <r>
          <rPr>
            <b/>
            <sz val="9"/>
            <rFont val="宋体"/>
            <charset val="134"/>
          </rPr>
          <t>Administrator:</t>
        </r>
        <r>
          <rPr>
            <sz val="9"/>
            <rFont val="宋体"/>
            <charset val="134"/>
          </rPr>
          <t xml:space="preserve">
2020.12.2收3675</t>
        </r>
      </text>
    </comment>
    <comment ref="T1030" authorId="0">
      <text>
        <r>
          <rPr>
            <b/>
            <sz val="9"/>
            <rFont val="宋体"/>
            <charset val="134"/>
          </rPr>
          <t>Administrator:</t>
        </r>
        <r>
          <rPr>
            <sz val="9"/>
            <rFont val="宋体"/>
            <charset val="134"/>
          </rPr>
          <t xml:space="preserve">
2021.3.9收14917.5</t>
        </r>
      </text>
    </comment>
    <comment ref="Q1031" authorId="0">
      <text>
        <r>
          <rPr>
            <b/>
            <sz val="9"/>
            <rFont val="宋体"/>
            <charset val="134"/>
          </rPr>
          <t>Administrator:</t>
        </r>
        <r>
          <rPr>
            <sz val="9"/>
            <rFont val="宋体"/>
            <charset val="134"/>
          </rPr>
          <t xml:space="preserve">
2020.12.4收52000人民币  汇率6.53</t>
        </r>
      </text>
    </comment>
    <comment ref="T1031" authorId="0">
      <text>
        <r>
          <rPr>
            <b/>
            <sz val="9"/>
            <rFont val="宋体"/>
            <charset val="134"/>
          </rPr>
          <t>Administrator:</t>
        </r>
        <r>
          <rPr>
            <sz val="9"/>
            <rFont val="宋体"/>
            <charset val="134"/>
          </rPr>
          <t xml:space="preserve">
2021.1.26收RMB117424.95
汇率6.46</t>
        </r>
      </text>
    </comment>
    <comment ref="T1032" authorId="0">
      <text>
        <r>
          <rPr>
            <b/>
            <sz val="9"/>
            <rFont val="宋体"/>
            <charset val="134"/>
          </rPr>
          <t>Administrator:</t>
        </r>
        <r>
          <rPr>
            <sz val="9"/>
            <rFont val="宋体"/>
            <charset val="134"/>
          </rPr>
          <t xml:space="preserve">
2021.4.6收43883.9</t>
        </r>
      </text>
    </comment>
    <comment ref="Q1033" authorId="0">
      <text>
        <r>
          <rPr>
            <b/>
            <sz val="9"/>
            <rFont val="宋体"/>
            <charset val="134"/>
          </rPr>
          <t>Administrator:</t>
        </r>
        <r>
          <rPr>
            <sz val="9"/>
            <rFont val="宋体"/>
            <charset val="134"/>
          </rPr>
          <t xml:space="preserve">
2020.12.8收13192.68</t>
        </r>
      </text>
    </comment>
    <comment ref="T1033" authorId="0">
      <text>
        <r>
          <rPr>
            <b/>
            <sz val="9"/>
            <rFont val="宋体"/>
            <charset val="134"/>
          </rPr>
          <t>Administrator:</t>
        </r>
        <r>
          <rPr>
            <sz val="9"/>
            <rFont val="宋体"/>
            <charset val="134"/>
          </rPr>
          <t xml:space="preserve">
2021.5.11收54011.39</t>
        </r>
      </text>
    </comment>
    <comment ref="Q1034" authorId="0">
      <text>
        <r>
          <rPr>
            <b/>
            <sz val="9"/>
            <rFont val="宋体"/>
            <charset val="134"/>
          </rPr>
          <t>Administrator:</t>
        </r>
        <r>
          <rPr>
            <sz val="9"/>
            <rFont val="宋体"/>
            <charset val="134"/>
          </rPr>
          <t xml:space="preserve">
2020.12.22收7448.3</t>
        </r>
      </text>
    </comment>
    <comment ref="T1034" authorId="0">
      <text>
        <r>
          <rPr>
            <b/>
            <sz val="9"/>
            <rFont val="宋体"/>
            <charset val="134"/>
          </rPr>
          <t>Administrator:</t>
        </r>
        <r>
          <rPr>
            <sz val="9"/>
            <rFont val="宋体"/>
            <charset val="134"/>
          </rPr>
          <t xml:space="preserve">
2021.1.22收20350</t>
        </r>
      </text>
    </comment>
    <comment ref="Q1035" authorId="0">
      <text>
        <r>
          <rPr>
            <b/>
            <sz val="9"/>
            <rFont val="宋体"/>
            <charset val="134"/>
          </rPr>
          <t>Administrator:</t>
        </r>
        <r>
          <rPr>
            <sz val="9"/>
            <rFont val="宋体"/>
            <charset val="134"/>
          </rPr>
          <t xml:space="preserve">
2021.1.15收50000人民币 汇率6.46</t>
        </r>
      </text>
    </comment>
    <comment ref="T1035"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6" authorId="0">
      <text>
        <r>
          <rPr>
            <b/>
            <sz val="9"/>
            <rFont val="宋体"/>
            <charset val="134"/>
          </rPr>
          <t>Administrator:</t>
        </r>
        <r>
          <rPr>
            <sz val="9"/>
            <rFont val="宋体"/>
            <charset val="134"/>
          </rPr>
          <t xml:space="preserve">
2021.2.26收30000
2021.3.15收10000
共四万</t>
        </r>
      </text>
    </comment>
    <comment ref="T1036" authorId="0">
      <text>
        <r>
          <rPr>
            <b/>
            <sz val="9"/>
            <rFont val="宋体"/>
            <charset val="134"/>
          </rPr>
          <t>Administrator:</t>
        </r>
        <r>
          <rPr>
            <sz val="9"/>
            <rFont val="宋体"/>
            <charset val="134"/>
          </rPr>
          <t xml:space="preserve">
2021.4.25收143535</t>
        </r>
      </text>
    </comment>
    <comment ref="U1037" authorId="0">
      <text>
        <r>
          <rPr>
            <b/>
            <sz val="9"/>
            <rFont val="宋体"/>
            <charset val="134"/>
          </rPr>
          <t>Administrator:</t>
        </r>
        <r>
          <rPr>
            <sz val="9"/>
            <rFont val="宋体"/>
            <charset val="134"/>
          </rPr>
          <t xml:space="preserve">
2021.6.19收2万
2021.6.21收890</t>
        </r>
      </text>
    </comment>
    <comment ref="T1038" authorId="0">
      <text>
        <r>
          <rPr>
            <b/>
            <sz val="9"/>
            <rFont val="宋体"/>
            <charset val="134"/>
          </rPr>
          <t>Administrator:</t>
        </r>
        <r>
          <rPr>
            <sz val="9"/>
            <rFont val="宋体"/>
            <charset val="134"/>
          </rPr>
          <t xml:space="preserve">
2021.5.30收</t>
        </r>
      </text>
    </comment>
    <comment ref="Q1039" authorId="0">
      <text>
        <r>
          <rPr>
            <b/>
            <sz val="9"/>
            <rFont val="宋体"/>
            <charset val="134"/>
          </rPr>
          <t>Administrator:</t>
        </r>
        <r>
          <rPr>
            <sz val="9"/>
            <rFont val="宋体"/>
            <charset val="134"/>
          </rPr>
          <t xml:space="preserve">
2021.3.2收6506.76</t>
        </r>
      </text>
    </comment>
    <comment ref="T1039" authorId="0">
      <text>
        <r>
          <rPr>
            <b/>
            <sz val="9"/>
            <rFont val="宋体"/>
            <charset val="134"/>
          </rPr>
          <t>Administrator:</t>
        </r>
        <r>
          <rPr>
            <sz val="9"/>
            <rFont val="宋体"/>
            <charset val="134"/>
          </rPr>
          <t xml:space="preserve">
21.3.25收15229.12</t>
        </r>
      </text>
    </comment>
    <comment ref="Q1040" authorId="0">
      <text>
        <r>
          <rPr>
            <b/>
            <sz val="9"/>
            <rFont val="宋体"/>
            <charset val="134"/>
          </rPr>
          <t>Administrator:</t>
        </r>
        <r>
          <rPr>
            <sz val="9"/>
            <rFont val="宋体"/>
            <charset val="134"/>
          </rPr>
          <t xml:space="preserve">
2021.3.4收</t>
        </r>
      </text>
    </comment>
    <comment ref="Q1041" authorId="0">
      <text>
        <r>
          <rPr>
            <b/>
            <sz val="9"/>
            <rFont val="宋体"/>
            <charset val="134"/>
          </rPr>
          <t>Administrator:</t>
        </r>
        <r>
          <rPr>
            <sz val="9"/>
            <rFont val="宋体"/>
            <charset val="134"/>
          </rPr>
          <t xml:space="preserve">
2021.3.4收7202</t>
        </r>
      </text>
    </comment>
    <comment ref="Q1042" authorId="0">
      <text>
        <r>
          <rPr>
            <b/>
            <sz val="9"/>
            <rFont val="宋体"/>
            <charset val="134"/>
          </rPr>
          <t>Administrator:</t>
        </r>
        <r>
          <rPr>
            <sz val="9"/>
            <rFont val="宋体"/>
            <charset val="134"/>
          </rPr>
          <t xml:space="preserve">
2021.3.15收7960</t>
        </r>
      </text>
    </comment>
    <comment ref="T1042" authorId="0">
      <text>
        <r>
          <rPr>
            <b/>
            <sz val="9"/>
            <rFont val="宋体"/>
            <charset val="134"/>
          </rPr>
          <t>Administrator:</t>
        </r>
        <r>
          <rPr>
            <sz val="9"/>
            <rFont val="宋体"/>
            <charset val="134"/>
          </rPr>
          <t xml:space="preserve">
2021.6.9收17919.23</t>
        </r>
      </text>
    </comment>
    <comment ref="T1043" authorId="0">
      <text>
        <r>
          <rPr>
            <b/>
            <sz val="9"/>
            <rFont val="宋体"/>
            <charset val="134"/>
          </rPr>
          <t>Administrator:</t>
        </r>
        <r>
          <rPr>
            <sz val="9"/>
            <rFont val="宋体"/>
            <charset val="134"/>
          </rPr>
          <t xml:space="preserve">
2021.4.23收27042.8</t>
        </r>
      </text>
    </comment>
    <comment ref="Q1044" authorId="0">
      <text>
        <r>
          <rPr>
            <b/>
            <sz val="9"/>
            <rFont val="宋体"/>
            <charset val="134"/>
          </rPr>
          <t>Administrator:</t>
        </r>
        <r>
          <rPr>
            <sz val="9"/>
            <rFont val="宋体"/>
            <charset val="134"/>
          </rPr>
          <t xml:space="preserve">
2021.3.26收15596.34</t>
        </r>
      </text>
    </comment>
    <comment ref="T1044" authorId="0">
      <text>
        <r>
          <rPr>
            <b/>
            <sz val="9"/>
            <rFont val="宋体"/>
            <charset val="134"/>
          </rPr>
          <t>Administrator:</t>
        </r>
        <r>
          <rPr>
            <sz val="9"/>
            <rFont val="宋体"/>
            <charset val="134"/>
          </rPr>
          <t xml:space="preserve">
2021.7.20收33774.29</t>
        </r>
      </text>
    </comment>
    <comment ref="U1044" authorId="0">
      <text>
        <r>
          <rPr>
            <b/>
            <sz val="9"/>
            <rFont val="宋体"/>
            <charset val="134"/>
          </rPr>
          <t>Administrator:</t>
        </r>
        <r>
          <rPr>
            <sz val="9"/>
            <rFont val="宋体"/>
            <charset val="134"/>
          </rPr>
          <t xml:space="preserve">
2021.7.30收31815.58</t>
        </r>
      </text>
    </comment>
    <comment ref="Q1045" authorId="0">
      <text>
        <r>
          <rPr>
            <b/>
            <sz val="9"/>
            <rFont val="宋体"/>
            <charset val="134"/>
          </rPr>
          <t>Administrator:</t>
        </r>
        <r>
          <rPr>
            <sz val="9"/>
            <rFont val="宋体"/>
            <charset val="134"/>
          </rPr>
          <t xml:space="preserve">
2021.3.31收8563</t>
        </r>
      </text>
    </comment>
    <comment ref="T1045" authorId="0">
      <text>
        <r>
          <rPr>
            <b/>
            <sz val="9"/>
            <rFont val="宋体"/>
            <charset val="134"/>
          </rPr>
          <t>Administrator:</t>
        </r>
        <r>
          <rPr>
            <sz val="9"/>
            <rFont val="宋体"/>
            <charset val="134"/>
          </rPr>
          <t xml:space="preserve">
2021.8.10收23060.6</t>
        </r>
      </text>
    </comment>
    <comment ref="Q1046" authorId="0">
      <text>
        <r>
          <rPr>
            <b/>
            <sz val="9"/>
            <rFont val="宋体"/>
            <charset val="134"/>
          </rPr>
          <t>Administrator:</t>
        </r>
        <r>
          <rPr>
            <sz val="9"/>
            <rFont val="宋体"/>
            <charset val="134"/>
          </rPr>
          <t xml:space="preserve">
2021.4.2收十万人民币 汇率6.55</t>
        </r>
      </text>
    </comment>
    <comment ref="T1046" authorId="0">
      <text>
        <r>
          <rPr>
            <b/>
            <sz val="9"/>
            <rFont val="宋体"/>
            <charset val="134"/>
          </rPr>
          <t>Administrator:</t>
        </r>
        <r>
          <rPr>
            <sz val="9"/>
            <rFont val="宋体"/>
            <charset val="134"/>
          </rPr>
          <t xml:space="preserve">
2021.5.31收RMB150000</t>
        </r>
      </text>
    </comment>
    <comment ref="Q1047" authorId="0">
      <text>
        <r>
          <rPr>
            <b/>
            <sz val="9"/>
            <rFont val="宋体"/>
            <charset val="134"/>
          </rPr>
          <t>Administrator:</t>
        </r>
        <r>
          <rPr>
            <sz val="9"/>
            <rFont val="宋体"/>
            <charset val="134"/>
          </rPr>
          <t xml:space="preserve">
2021.4.2收十万人民币 汇率6.55</t>
        </r>
      </text>
    </comment>
    <comment ref="T1047" authorId="0">
      <text>
        <r>
          <rPr>
            <b/>
            <sz val="9"/>
            <rFont val="宋体"/>
            <charset val="134"/>
          </rPr>
          <t>Administrator:</t>
        </r>
        <r>
          <rPr>
            <sz val="9"/>
            <rFont val="宋体"/>
            <charset val="134"/>
          </rPr>
          <t xml:space="preserve">
2021.6.7收RMB3+12万</t>
        </r>
      </text>
    </comment>
    <comment ref="U1047" authorId="0">
      <text>
        <r>
          <rPr>
            <b/>
            <sz val="9"/>
            <rFont val="宋体"/>
            <charset val="134"/>
          </rPr>
          <t>Administrator:</t>
        </r>
        <r>
          <rPr>
            <sz val="9"/>
            <rFont val="宋体"/>
            <charset val="134"/>
          </rPr>
          <t xml:space="preserve">
2021.6.16收24970.5</t>
        </r>
      </text>
    </comment>
    <comment ref="P1048" authorId="0">
      <text>
        <r>
          <rPr>
            <b/>
            <sz val="9"/>
            <rFont val="宋体"/>
            <charset val="134"/>
          </rPr>
          <t>Administrator:</t>
        </r>
        <r>
          <rPr>
            <sz val="9"/>
            <rFont val="宋体"/>
            <charset val="134"/>
          </rPr>
          <t xml:space="preserve">
发票值24445.4 甩13件也付款了</t>
        </r>
      </text>
    </comment>
    <comment ref="Q1048" authorId="0">
      <text>
        <r>
          <rPr>
            <b/>
            <sz val="9"/>
            <rFont val="宋体"/>
            <charset val="134"/>
          </rPr>
          <t>Administrator:</t>
        </r>
        <r>
          <rPr>
            <sz val="9"/>
            <rFont val="宋体"/>
            <charset val="134"/>
          </rPr>
          <t xml:space="preserve">
2021.4.12收7363.8</t>
        </r>
      </text>
    </comment>
    <comment ref="T1048" authorId="0">
      <text>
        <r>
          <rPr>
            <b/>
            <sz val="9"/>
            <rFont val="宋体"/>
            <charset val="134"/>
          </rPr>
          <t>Administrator:</t>
        </r>
        <r>
          <rPr>
            <sz val="9"/>
            <rFont val="宋体"/>
            <charset val="134"/>
          </rPr>
          <t xml:space="preserve">
2021.6.18收17217.33</t>
        </r>
      </text>
    </comment>
    <comment ref="T1049" authorId="0">
      <text>
        <r>
          <rPr>
            <b/>
            <sz val="9"/>
            <rFont val="宋体"/>
            <charset val="134"/>
          </rPr>
          <t>Administrator:</t>
        </r>
        <r>
          <rPr>
            <sz val="9"/>
            <rFont val="宋体"/>
            <charset val="134"/>
          </rPr>
          <t xml:space="preserve">
2021.5.18收29007</t>
        </r>
      </text>
    </comment>
    <comment ref="Q1050" authorId="0">
      <text>
        <r>
          <rPr>
            <b/>
            <sz val="9"/>
            <rFont val="宋体"/>
            <charset val="134"/>
          </rPr>
          <t>Administrator:</t>
        </r>
        <r>
          <rPr>
            <sz val="9"/>
            <rFont val="宋体"/>
            <charset val="134"/>
          </rPr>
          <t xml:space="preserve">
2021.4.17收5万人民币
J4032-2+J4043-1用掉4万
剩一万移到J4043-2</t>
        </r>
      </text>
    </comment>
    <comment ref="T1050" authorId="0">
      <text>
        <r>
          <rPr>
            <b/>
            <sz val="9"/>
            <rFont val="宋体"/>
            <charset val="134"/>
          </rPr>
          <t>Administrator:</t>
        </r>
        <r>
          <rPr>
            <sz val="9"/>
            <rFont val="宋体"/>
            <charset val="134"/>
          </rPr>
          <t xml:space="preserve">
2021.6.8收51631.22 J4032-2+J4043-1</t>
        </r>
      </text>
    </comment>
    <comment ref="Q1052"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2" authorId="0">
      <text>
        <r>
          <rPr>
            <b/>
            <sz val="9"/>
            <rFont val="宋体"/>
            <charset val="134"/>
          </rPr>
          <t>Administrator:</t>
        </r>
        <r>
          <rPr>
            <sz val="9"/>
            <rFont val="宋体"/>
            <charset val="134"/>
          </rPr>
          <t xml:space="preserve">
2021.6.25收48036</t>
        </r>
      </text>
    </comment>
    <comment ref="U1052" authorId="0">
      <text>
        <r>
          <rPr>
            <b/>
            <sz val="9"/>
            <rFont val="宋体"/>
            <charset val="134"/>
          </rPr>
          <t>Administrator:</t>
        </r>
        <r>
          <rPr>
            <sz val="9"/>
            <rFont val="宋体"/>
            <charset val="134"/>
          </rPr>
          <t xml:space="preserve">
2021.6.28收</t>
        </r>
      </text>
    </comment>
    <comment ref="Q1054" authorId="0">
      <text>
        <r>
          <rPr>
            <b/>
            <sz val="9"/>
            <rFont val="宋体"/>
            <charset val="134"/>
          </rPr>
          <t>Administrator:</t>
        </r>
        <r>
          <rPr>
            <sz val="9"/>
            <rFont val="宋体"/>
            <charset val="134"/>
          </rPr>
          <t xml:space="preserve">
2021.5.26收10130.2</t>
        </r>
      </text>
    </comment>
    <comment ref="T1054" authorId="0">
      <text>
        <r>
          <rPr>
            <b/>
            <sz val="9"/>
            <rFont val="宋体"/>
            <charset val="134"/>
          </rPr>
          <t>Administrator:</t>
        </r>
        <r>
          <rPr>
            <sz val="9"/>
            <rFont val="宋体"/>
            <charset val="134"/>
          </rPr>
          <t xml:space="preserve">
2021.8.5收20220.41</t>
        </r>
      </text>
    </comment>
    <comment ref="Q1055" authorId="0">
      <text>
        <r>
          <rPr>
            <b/>
            <sz val="9"/>
            <rFont val="宋体"/>
            <charset val="134"/>
          </rPr>
          <t>Administrator:</t>
        </r>
        <r>
          <rPr>
            <sz val="9"/>
            <rFont val="宋体"/>
            <charset val="134"/>
          </rPr>
          <t xml:space="preserve">
2021.5.27收</t>
        </r>
      </text>
    </comment>
    <comment ref="T1055" authorId="0">
      <text>
        <r>
          <rPr>
            <b/>
            <sz val="9"/>
            <rFont val="宋体"/>
            <charset val="134"/>
          </rPr>
          <t>Administrator:</t>
        </r>
        <r>
          <rPr>
            <sz val="9"/>
            <rFont val="宋体"/>
            <charset val="134"/>
          </rPr>
          <t xml:space="preserve">
2021.8.2收</t>
        </r>
      </text>
    </comment>
    <comment ref="Q1056" authorId="0">
      <text>
        <r>
          <rPr>
            <b/>
            <sz val="9"/>
            <rFont val="宋体"/>
            <charset val="134"/>
          </rPr>
          <t>Administrator:</t>
        </r>
        <r>
          <rPr>
            <sz val="9"/>
            <rFont val="宋体"/>
            <charset val="134"/>
          </rPr>
          <t xml:space="preserve">
2021.6.9收RMB60000
汇率6.38</t>
        </r>
      </text>
    </comment>
    <comment ref="T1056" authorId="0">
      <text>
        <r>
          <rPr>
            <b/>
            <sz val="9"/>
            <rFont val="宋体"/>
            <charset val="134"/>
          </rPr>
          <t>Administrator:</t>
        </r>
        <r>
          <rPr>
            <sz val="9"/>
            <rFont val="宋体"/>
            <charset val="134"/>
          </rPr>
          <t xml:space="preserve">
2021.7.20收30989.5</t>
        </r>
      </text>
    </comment>
    <comment ref="Q1057" authorId="0">
      <text>
        <r>
          <rPr>
            <b/>
            <sz val="9"/>
            <rFont val="宋体"/>
            <charset val="134"/>
          </rPr>
          <t>Administrator:</t>
        </r>
        <r>
          <rPr>
            <sz val="9"/>
            <rFont val="宋体"/>
            <charset val="134"/>
          </rPr>
          <t xml:space="preserve">
2021.6.9收RMB40000
10000</t>
        </r>
      </text>
    </comment>
    <comment ref="T1057" authorId="0">
      <text>
        <r>
          <rPr>
            <b/>
            <sz val="9"/>
            <rFont val="宋体"/>
            <charset val="134"/>
          </rPr>
          <t>Administrator:</t>
        </r>
        <r>
          <rPr>
            <sz val="9"/>
            <rFont val="宋体"/>
            <charset val="134"/>
          </rPr>
          <t xml:space="preserve">
J4066多付的</t>
        </r>
      </text>
    </comment>
    <comment ref="U1057" authorId="0">
      <text>
        <r>
          <rPr>
            <b/>
            <sz val="9"/>
            <rFont val="宋体"/>
            <charset val="134"/>
          </rPr>
          <t>Administrator:</t>
        </r>
        <r>
          <rPr>
            <sz val="9"/>
            <rFont val="宋体"/>
            <charset val="134"/>
          </rPr>
          <t xml:space="preserve">
2021.8.6收19973 水单2万美金
J4066-J4067客户佣金 1981.2美金
客户多付23.8美金</t>
        </r>
      </text>
    </comment>
    <comment ref="T1058" authorId="0">
      <text>
        <r>
          <rPr>
            <b/>
            <sz val="9"/>
            <rFont val="宋体"/>
            <charset val="134"/>
          </rPr>
          <t>Administrator:</t>
        </r>
        <r>
          <rPr>
            <sz val="9"/>
            <rFont val="宋体"/>
            <charset val="134"/>
          </rPr>
          <t xml:space="preserve">
2021.7.23收27941.5</t>
        </r>
      </text>
    </comment>
    <comment ref="T1059" authorId="0">
      <text>
        <r>
          <rPr>
            <b/>
            <sz val="9"/>
            <rFont val="宋体"/>
            <charset val="134"/>
          </rPr>
          <t>Administrator:</t>
        </r>
        <r>
          <rPr>
            <sz val="9"/>
            <rFont val="宋体"/>
            <charset val="134"/>
          </rPr>
          <t xml:space="preserve">
2021.6.29收</t>
        </r>
      </text>
    </comment>
    <comment ref="T1060" authorId="0">
      <text>
        <r>
          <rPr>
            <b/>
            <sz val="9"/>
            <rFont val="宋体"/>
            <charset val="134"/>
          </rPr>
          <t>Administrator:</t>
        </r>
        <r>
          <rPr>
            <sz val="9"/>
            <rFont val="宋体"/>
            <charset val="134"/>
          </rPr>
          <t xml:space="preserve">
2021.11.17收19904.58</t>
        </r>
      </text>
    </comment>
    <comment ref="Q1061" authorId="0">
      <text>
        <r>
          <rPr>
            <b/>
            <sz val="9"/>
            <rFont val="宋体"/>
            <charset val="134"/>
          </rPr>
          <t>Administrator:</t>
        </r>
        <r>
          <rPr>
            <sz val="9"/>
            <rFont val="宋体"/>
            <charset val="134"/>
          </rPr>
          <t xml:space="preserve">
2021.7.2收
55573人民币
汇率6.45</t>
        </r>
      </text>
    </comment>
    <comment ref="T1061" authorId="0">
      <text>
        <r>
          <rPr>
            <b/>
            <sz val="9"/>
            <rFont val="宋体"/>
            <charset val="134"/>
          </rPr>
          <t>Administrator:</t>
        </r>
        <r>
          <rPr>
            <sz val="9"/>
            <rFont val="宋体"/>
            <charset val="134"/>
          </rPr>
          <t xml:space="preserve">
2021.8.18收</t>
        </r>
      </text>
    </comment>
    <comment ref="Q1062" authorId="0">
      <text>
        <r>
          <rPr>
            <b/>
            <sz val="9"/>
            <rFont val="宋体"/>
            <charset val="134"/>
          </rPr>
          <t>Administrator:</t>
        </r>
        <r>
          <rPr>
            <sz val="9"/>
            <rFont val="宋体"/>
            <charset val="134"/>
          </rPr>
          <t xml:space="preserve">
2021.7.2收4万人民币</t>
        </r>
      </text>
    </comment>
    <comment ref="T1062" authorId="0">
      <text>
        <r>
          <rPr>
            <b/>
            <sz val="9"/>
            <rFont val="宋体"/>
            <charset val="134"/>
          </rPr>
          <t>Administrator:</t>
        </r>
        <r>
          <rPr>
            <sz val="9"/>
            <rFont val="宋体"/>
            <charset val="134"/>
          </rPr>
          <t xml:space="preserve">
2021.8.13收</t>
        </r>
      </text>
    </comment>
    <comment ref="Q1063" authorId="0">
      <text>
        <r>
          <rPr>
            <b/>
            <sz val="9"/>
            <rFont val="宋体"/>
            <charset val="134"/>
          </rPr>
          <t>Administrator:</t>
        </r>
        <r>
          <rPr>
            <sz val="9"/>
            <rFont val="宋体"/>
            <charset val="134"/>
          </rPr>
          <t xml:space="preserve">
2021.7.5收16854.79</t>
        </r>
      </text>
    </comment>
    <comment ref="T1063" authorId="0">
      <text>
        <r>
          <rPr>
            <b/>
            <sz val="9"/>
            <rFont val="宋体"/>
            <charset val="134"/>
          </rPr>
          <t>Administrator:</t>
        </r>
        <r>
          <rPr>
            <sz val="9"/>
            <rFont val="宋体"/>
            <charset val="134"/>
          </rPr>
          <t xml:space="preserve">
2021.9.24收39089.19</t>
        </r>
      </text>
    </comment>
    <comment ref="Q1064" authorId="0">
      <text>
        <r>
          <rPr>
            <b/>
            <sz val="9"/>
            <rFont val="宋体"/>
            <charset val="134"/>
          </rPr>
          <t>Administrator:</t>
        </r>
        <r>
          <rPr>
            <sz val="9"/>
            <rFont val="宋体"/>
            <charset val="134"/>
          </rPr>
          <t xml:space="preserve">
2021.7.23收8426.38</t>
        </r>
      </text>
    </comment>
    <comment ref="T1064" authorId="0">
      <text>
        <r>
          <rPr>
            <b/>
            <sz val="9"/>
            <rFont val="宋体"/>
            <charset val="134"/>
          </rPr>
          <t>Administrator:</t>
        </r>
        <r>
          <rPr>
            <sz val="9"/>
            <rFont val="宋体"/>
            <charset val="134"/>
          </rPr>
          <t xml:space="preserve">
2021.9.23收19782.87</t>
        </r>
      </text>
    </comment>
    <comment ref="T1065" authorId="0">
      <text>
        <r>
          <rPr>
            <b/>
            <sz val="9"/>
            <rFont val="宋体"/>
            <charset val="134"/>
          </rPr>
          <t>Administrator:</t>
        </r>
        <r>
          <rPr>
            <sz val="9"/>
            <rFont val="宋体"/>
            <charset val="134"/>
          </rPr>
          <t xml:space="preserve">
2021.8.24收29871.3</t>
        </r>
      </text>
    </comment>
    <comment ref="P1066" authorId="0">
      <text>
        <r>
          <rPr>
            <b/>
            <sz val="9"/>
            <rFont val="宋体"/>
            <charset val="134"/>
          </rPr>
          <t>Administrator:</t>
        </r>
        <r>
          <rPr>
            <sz val="9"/>
            <rFont val="宋体"/>
            <charset val="134"/>
          </rPr>
          <t xml:space="preserve">
与印尼客户发票值33896.8
与中冶
实际发货32349.7
含甩货是33557.2</t>
        </r>
      </text>
    </comment>
    <comment ref="Q1066" authorId="0">
      <text>
        <r>
          <rPr>
            <b/>
            <sz val="9"/>
            <rFont val="宋体"/>
            <charset val="134"/>
          </rPr>
          <t>Administrator:</t>
        </r>
        <r>
          <rPr>
            <sz val="9"/>
            <rFont val="宋体"/>
            <charset val="134"/>
          </rPr>
          <t xml:space="preserve">
2021.8.5收RMB5万</t>
        </r>
      </text>
    </comment>
    <comment ref="T1066" authorId="0">
      <text>
        <r>
          <rPr>
            <b/>
            <sz val="9"/>
            <rFont val="宋体"/>
            <charset val="134"/>
          </rPr>
          <t>Administrator:</t>
        </r>
        <r>
          <rPr>
            <sz val="9"/>
            <rFont val="宋体"/>
            <charset val="134"/>
          </rPr>
          <t xml:space="preserve">
2021.8.23收15081.5</t>
        </r>
      </text>
    </comment>
    <comment ref="U1066" authorId="0">
      <text>
        <r>
          <rPr>
            <b/>
            <sz val="9"/>
            <rFont val="宋体"/>
            <charset val="134"/>
          </rPr>
          <t>Administrator:</t>
        </r>
        <r>
          <rPr>
            <sz val="9"/>
            <rFont val="宋体"/>
            <charset val="134"/>
          </rPr>
          <t xml:space="preserve">
2021.9.2收35108</t>
        </r>
      </text>
    </comment>
    <comment ref="Q1067" authorId="0">
      <text>
        <r>
          <rPr>
            <b/>
            <sz val="9"/>
            <rFont val="宋体"/>
            <charset val="134"/>
          </rPr>
          <t>Administrator:</t>
        </r>
        <r>
          <rPr>
            <sz val="9"/>
            <rFont val="宋体"/>
            <charset val="134"/>
          </rPr>
          <t xml:space="preserve">
2021.8.16收6965</t>
        </r>
      </text>
    </comment>
    <comment ref="T1067" authorId="0">
      <text>
        <r>
          <rPr>
            <b/>
            <sz val="9"/>
            <rFont val="宋体"/>
            <charset val="134"/>
          </rPr>
          <t>Administrator:</t>
        </r>
        <r>
          <rPr>
            <sz val="9"/>
            <rFont val="宋体"/>
            <charset val="134"/>
          </rPr>
          <t xml:space="preserve">
2021.9.27收27475</t>
        </r>
      </text>
    </comment>
    <comment ref="U1067" authorId="0">
      <text>
        <r>
          <rPr>
            <b/>
            <sz val="9"/>
            <rFont val="宋体"/>
            <charset val="134"/>
          </rPr>
          <t>Administrator:</t>
        </r>
        <r>
          <rPr>
            <sz val="9"/>
            <rFont val="宋体"/>
            <charset val="134"/>
          </rPr>
          <t xml:space="preserve">
2021.11.15收11784.9</t>
        </r>
      </text>
    </comment>
    <comment ref="T1068" authorId="0">
      <text>
        <r>
          <rPr>
            <b/>
            <sz val="9"/>
            <rFont val="宋体"/>
            <charset val="134"/>
          </rPr>
          <t>Administrator:</t>
        </r>
        <r>
          <rPr>
            <sz val="9"/>
            <rFont val="宋体"/>
            <charset val="134"/>
          </rPr>
          <t xml:space="preserve">
2021.8.18收9611.25</t>
        </r>
      </text>
    </comment>
    <comment ref="T1069" authorId="0">
      <text>
        <r>
          <rPr>
            <b/>
            <sz val="9"/>
            <rFont val="宋体"/>
            <charset val="134"/>
          </rPr>
          <t>Administrator:</t>
        </r>
        <r>
          <rPr>
            <sz val="9"/>
            <rFont val="宋体"/>
            <charset val="134"/>
          </rPr>
          <t xml:space="preserve">
2021.9.17收29133.64</t>
        </r>
      </text>
    </comment>
    <comment ref="Q1070" authorId="0">
      <text>
        <r>
          <rPr>
            <b/>
            <sz val="9"/>
            <rFont val="宋体"/>
            <charset val="134"/>
          </rPr>
          <t>Administrator:</t>
        </r>
        <r>
          <rPr>
            <sz val="9"/>
            <rFont val="宋体"/>
            <charset val="134"/>
          </rPr>
          <t xml:space="preserve">
2021.8.25收4万
2万来自J4043-2
共6万人民币 于2021.11.2退回</t>
        </r>
      </text>
    </comment>
    <comment ref="T1070" authorId="0">
      <text>
        <r>
          <rPr>
            <b/>
            <sz val="9"/>
            <rFont val="宋体"/>
            <charset val="134"/>
          </rPr>
          <t>Administrator:</t>
        </r>
        <r>
          <rPr>
            <sz val="9"/>
            <rFont val="宋体"/>
            <charset val="134"/>
          </rPr>
          <t xml:space="preserve">
2021.10.11收57973.14</t>
        </r>
      </text>
    </comment>
    <comment ref="U1072" authorId="0">
      <text>
        <r>
          <rPr>
            <b/>
            <sz val="9"/>
            <rFont val="宋体"/>
            <charset val="134"/>
          </rPr>
          <t>Administrator:</t>
        </r>
        <r>
          <rPr>
            <sz val="9"/>
            <rFont val="宋体"/>
            <charset val="134"/>
          </rPr>
          <t xml:space="preserve">
2021.9.30收</t>
        </r>
      </text>
    </comment>
    <comment ref="T1073" authorId="0">
      <text>
        <r>
          <rPr>
            <b/>
            <sz val="9"/>
            <rFont val="宋体"/>
            <charset val="134"/>
          </rPr>
          <t>Administrator:</t>
        </r>
        <r>
          <rPr>
            <sz val="9"/>
            <rFont val="宋体"/>
            <charset val="134"/>
          </rPr>
          <t xml:space="preserve">
2021.9.22收7218含运费</t>
        </r>
      </text>
    </comment>
    <comment ref="Q1074" authorId="0">
      <text>
        <r>
          <rPr>
            <b/>
            <sz val="9"/>
            <rFont val="宋体"/>
            <charset val="134"/>
          </rPr>
          <t>Administrator:</t>
        </r>
        <r>
          <rPr>
            <sz val="9"/>
            <rFont val="宋体"/>
            <charset val="134"/>
          </rPr>
          <t xml:space="preserve">
见J4097收款备注
多付24095.12  4095返给客户了 两万美金作为J4120和J4123定金</t>
        </r>
      </text>
    </comment>
    <comment ref="T1074" authorId="0">
      <text>
        <r>
          <rPr>
            <b/>
            <sz val="9"/>
            <rFont val="宋体"/>
            <charset val="134"/>
          </rPr>
          <t>Administrator:</t>
        </r>
        <r>
          <rPr>
            <sz val="9"/>
            <rFont val="宋体"/>
            <charset val="134"/>
          </rPr>
          <t xml:space="preserve">
2021.10.13收34526.5</t>
        </r>
      </text>
    </comment>
    <comment ref="Q1075" authorId="0">
      <text>
        <r>
          <rPr>
            <b/>
            <sz val="9"/>
            <rFont val="宋体"/>
            <charset val="134"/>
          </rPr>
          <t>Administrator:</t>
        </r>
        <r>
          <rPr>
            <sz val="9"/>
            <rFont val="宋体"/>
            <charset val="134"/>
          </rPr>
          <t xml:space="preserve">
见J4097和J4120收款备注</t>
        </r>
      </text>
    </comment>
    <comment ref="T1075" authorId="0">
      <text>
        <r>
          <rPr>
            <b/>
            <sz val="9"/>
            <rFont val="宋体"/>
            <charset val="134"/>
          </rPr>
          <t>Administrator:</t>
        </r>
        <r>
          <rPr>
            <sz val="9"/>
            <rFont val="宋体"/>
            <charset val="134"/>
          </rPr>
          <t xml:space="preserve">
2021.11.12收35033</t>
        </r>
      </text>
    </comment>
    <comment ref="P1076" authorId="0">
      <text>
        <r>
          <rPr>
            <b/>
            <sz val="9"/>
            <rFont val="宋体"/>
            <charset val="134"/>
          </rPr>
          <t>Administrator:</t>
        </r>
        <r>
          <rPr>
            <sz val="9"/>
            <rFont val="宋体"/>
            <charset val="134"/>
          </rPr>
          <t xml:space="preserve">
含5120运费</t>
        </r>
      </text>
    </comment>
    <comment ref="Q1076" authorId="0">
      <text>
        <r>
          <rPr>
            <b/>
            <sz val="9"/>
            <rFont val="宋体"/>
            <charset val="134"/>
          </rPr>
          <t>Administrator:</t>
        </r>
        <r>
          <rPr>
            <sz val="9"/>
            <rFont val="宋体"/>
            <charset val="134"/>
          </rPr>
          <t xml:space="preserve">
2021.9.7收</t>
        </r>
      </text>
    </comment>
    <comment ref="T1076" authorId="0">
      <text>
        <r>
          <rPr>
            <b/>
            <sz val="9"/>
            <rFont val="宋体"/>
            <charset val="134"/>
          </rPr>
          <t>Administrator:</t>
        </r>
        <r>
          <rPr>
            <sz val="9"/>
            <rFont val="宋体"/>
            <charset val="134"/>
          </rPr>
          <t xml:space="preserve">
2021.10.13收</t>
        </r>
      </text>
    </comment>
    <comment ref="P1077" authorId="0">
      <text>
        <r>
          <rPr>
            <b/>
            <sz val="9"/>
            <rFont val="宋体"/>
            <charset val="134"/>
          </rPr>
          <t>Administrator:</t>
        </r>
        <r>
          <rPr>
            <sz val="9"/>
            <rFont val="宋体"/>
            <charset val="134"/>
          </rPr>
          <t xml:space="preserve">
减掉清关赔偿270美金</t>
        </r>
      </text>
    </comment>
    <comment ref="T1077" authorId="0">
      <text>
        <r>
          <rPr>
            <b/>
            <sz val="9"/>
            <rFont val="宋体"/>
            <charset val="134"/>
          </rPr>
          <t>Administrator:</t>
        </r>
        <r>
          <rPr>
            <sz val="9"/>
            <rFont val="宋体"/>
            <charset val="134"/>
          </rPr>
          <t xml:space="preserve">
2021.10.28收26841.63</t>
        </r>
      </text>
    </comment>
    <comment ref="P1078" authorId="0">
      <text>
        <r>
          <rPr>
            <b/>
            <sz val="9"/>
            <rFont val="宋体"/>
            <charset val="134"/>
          </rPr>
          <t>Administrator:</t>
        </r>
        <r>
          <rPr>
            <sz val="9"/>
            <rFont val="宋体"/>
            <charset val="134"/>
          </rPr>
          <t xml:space="preserve">
清关赔偿减掉了最后的388美金</t>
        </r>
      </text>
    </comment>
    <comment ref="T1078" authorId="0">
      <text>
        <r>
          <rPr>
            <b/>
            <sz val="9"/>
            <rFont val="宋体"/>
            <charset val="134"/>
          </rPr>
          <t>Administrator:</t>
        </r>
        <r>
          <rPr>
            <sz val="9"/>
            <rFont val="宋体"/>
            <charset val="134"/>
          </rPr>
          <t xml:space="preserve">
2021.11.12收56770</t>
        </r>
      </text>
    </comment>
    <comment ref="Q1079" authorId="0">
      <text>
        <r>
          <rPr>
            <b/>
            <sz val="9"/>
            <rFont val="宋体"/>
            <charset val="134"/>
          </rPr>
          <t>Administrator:</t>
        </r>
        <r>
          <rPr>
            <sz val="9"/>
            <rFont val="宋体"/>
            <charset val="134"/>
          </rPr>
          <t xml:space="preserve">
2021.10.14收990.09
2021.10.20收16475</t>
        </r>
      </text>
    </comment>
    <comment ref="T1079" authorId="0">
      <text>
        <r>
          <rPr>
            <b/>
            <sz val="9"/>
            <rFont val="宋体"/>
            <charset val="134"/>
          </rPr>
          <t>Administrator:</t>
        </r>
        <r>
          <rPr>
            <sz val="9"/>
            <rFont val="宋体"/>
            <charset val="134"/>
          </rPr>
          <t xml:space="preserve">
2022.1.14收25540.63
2022.1.20收25540.63
2022.1.20收25540.63</t>
        </r>
      </text>
    </comment>
    <comment ref="Q1080" authorId="0">
      <text>
        <r>
          <rPr>
            <b/>
            <sz val="9"/>
            <rFont val="宋体"/>
            <charset val="134"/>
          </rPr>
          <t>Administrator:</t>
        </r>
        <r>
          <rPr>
            <sz val="9"/>
            <rFont val="宋体"/>
            <charset val="134"/>
          </rPr>
          <t xml:space="preserve">
来源于J4120备注</t>
        </r>
      </text>
    </comment>
    <comment ref="T1080" authorId="0">
      <text>
        <r>
          <rPr>
            <b/>
            <sz val="9"/>
            <rFont val="宋体"/>
            <charset val="134"/>
          </rPr>
          <t>Administrator:</t>
        </r>
        <r>
          <rPr>
            <sz val="9"/>
            <rFont val="宋体"/>
            <charset val="134"/>
          </rPr>
          <t xml:space="preserve">
2021.12.10收36406.5</t>
        </r>
      </text>
    </comment>
    <comment ref="Q1081" authorId="0">
      <text>
        <r>
          <rPr>
            <b/>
            <sz val="9"/>
            <rFont val="宋体"/>
            <charset val="134"/>
          </rPr>
          <t>Administrator:</t>
        </r>
        <r>
          <rPr>
            <sz val="9"/>
            <rFont val="宋体"/>
            <charset val="134"/>
          </rPr>
          <t xml:space="preserve">
2021.10.20收9599.58</t>
        </r>
      </text>
    </comment>
    <comment ref="T1081" authorId="0">
      <text>
        <r>
          <rPr>
            <b/>
            <sz val="9"/>
            <rFont val="宋体"/>
            <charset val="134"/>
          </rPr>
          <t>Administrator:</t>
        </r>
        <r>
          <rPr>
            <sz val="9"/>
            <rFont val="宋体"/>
            <charset val="134"/>
          </rPr>
          <t xml:space="preserve">
2021.12.30
水单50836.02 实收50836.02</t>
        </r>
      </text>
    </comment>
    <comment ref="T1082" authorId="0">
      <text>
        <r>
          <rPr>
            <b/>
            <sz val="9"/>
            <rFont val="宋体"/>
            <charset val="134"/>
          </rPr>
          <t>Administrator:</t>
        </r>
        <r>
          <rPr>
            <sz val="9"/>
            <rFont val="宋体"/>
            <charset val="134"/>
          </rPr>
          <t xml:space="preserve">
2021.12.19水单$37611实收37584</t>
        </r>
      </text>
    </comment>
    <comment ref="Q1083" authorId="0">
      <text>
        <r>
          <rPr>
            <b/>
            <sz val="9"/>
            <rFont val="宋体"/>
            <charset val="134"/>
          </rPr>
          <t>Administrator:</t>
        </r>
        <r>
          <rPr>
            <sz val="9"/>
            <rFont val="宋体"/>
            <charset val="134"/>
          </rPr>
          <t xml:space="preserve">
2021.10.27收</t>
        </r>
      </text>
    </comment>
    <comment ref="T1083" authorId="0">
      <text>
        <r>
          <rPr>
            <b/>
            <sz val="9"/>
            <rFont val="宋体"/>
            <charset val="134"/>
          </rPr>
          <t>Administrator:</t>
        </r>
        <r>
          <rPr>
            <sz val="9"/>
            <rFont val="宋体"/>
            <charset val="134"/>
          </rPr>
          <t xml:space="preserve">
2021.12.2收20175.12</t>
        </r>
      </text>
    </comment>
    <comment ref="U1083" authorId="0">
      <text>
        <r>
          <rPr>
            <b/>
            <sz val="9"/>
            <rFont val="宋体"/>
            <charset val="134"/>
          </rPr>
          <t>Administrator:</t>
        </r>
        <r>
          <rPr>
            <sz val="9"/>
            <rFont val="宋体"/>
            <charset val="134"/>
          </rPr>
          <t xml:space="preserve">
2021.12.22收1238.1</t>
        </r>
      </text>
    </comment>
    <comment ref="T1084" authorId="0">
      <text>
        <r>
          <rPr>
            <b/>
            <sz val="9"/>
            <rFont val="宋体"/>
            <charset val="134"/>
          </rPr>
          <t>Administrator:</t>
        </r>
        <r>
          <rPr>
            <sz val="9"/>
            <rFont val="宋体"/>
            <charset val="134"/>
          </rPr>
          <t xml:space="preserve">
2021.12.16收56167</t>
        </r>
      </text>
    </comment>
    <comment ref="Q1085" authorId="0">
      <text>
        <r>
          <rPr>
            <b/>
            <sz val="9"/>
            <rFont val="宋体"/>
            <charset val="134"/>
          </rPr>
          <t>Administrator:</t>
        </r>
        <r>
          <rPr>
            <sz val="9"/>
            <rFont val="宋体"/>
            <charset val="134"/>
          </rPr>
          <t xml:space="preserve">
2021.9.10收16652
来自J4129定金  转移到这单</t>
        </r>
      </text>
    </comment>
    <comment ref="T1085" authorId="0">
      <text>
        <r>
          <rPr>
            <b/>
            <sz val="9"/>
            <rFont val="宋体"/>
            <charset val="134"/>
          </rPr>
          <t>Administrator:</t>
        </r>
        <r>
          <rPr>
            <sz val="9"/>
            <rFont val="宋体"/>
            <charset val="134"/>
          </rPr>
          <t xml:space="preserve">
2022.1.10收7371
925美金来自J4129-2
42美金来自J4163-1</t>
        </r>
      </text>
    </comment>
    <comment ref="U1085" authorId="0">
      <text>
        <r>
          <rPr>
            <b/>
            <sz val="9"/>
            <rFont val="宋体"/>
            <charset val="134"/>
          </rPr>
          <t>Administrator:</t>
        </r>
        <r>
          <rPr>
            <sz val="9"/>
            <rFont val="宋体"/>
            <charset val="134"/>
          </rPr>
          <t xml:space="preserve">
2022.1.26收
来自J4217</t>
        </r>
      </text>
    </comment>
    <comment ref="Q1086" authorId="0">
      <text>
        <r>
          <rPr>
            <b/>
            <sz val="9"/>
            <rFont val="宋体"/>
            <charset val="134"/>
          </rPr>
          <t>Administrator:</t>
        </r>
        <r>
          <rPr>
            <sz val="9"/>
            <rFont val="宋体"/>
            <charset val="134"/>
          </rPr>
          <t xml:space="preserve">
2021.11.25收19000人民币</t>
        </r>
      </text>
    </comment>
    <comment ref="T1086" authorId="0">
      <text>
        <r>
          <rPr>
            <b/>
            <sz val="9"/>
            <rFont val="宋体"/>
            <charset val="134"/>
          </rPr>
          <t>Administrator:</t>
        </r>
        <r>
          <rPr>
            <sz val="9"/>
            <rFont val="宋体"/>
            <charset val="134"/>
          </rPr>
          <t xml:space="preserve">
2022.1.6收45481</t>
        </r>
      </text>
    </comment>
    <comment ref="P1087" authorId="0">
      <text>
        <r>
          <rPr>
            <b/>
            <sz val="9"/>
            <rFont val="宋体"/>
            <charset val="134"/>
          </rPr>
          <t>Administrator:</t>
        </r>
        <r>
          <rPr>
            <sz val="9"/>
            <rFont val="宋体"/>
            <charset val="134"/>
          </rPr>
          <t xml:space="preserve">
含客户承担的海运费153美金</t>
        </r>
      </text>
    </comment>
    <comment ref="T1087" authorId="0">
      <text>
        <r>
          <rPr>
            <b/>
            <sz val="9"/>
            <rFont val="宋体"/>
            <charset val="134"/>
          </rPr>
          <t>Administrator:</t>
        </r>
        <r>
          <rPr>
            <sz val="9"/>
            <rFont val="宋体"/>
            <charset val="134"/>
          </rPr>
          <t xml:space="preserve">
2022.1.20收150000人民币 汇率6.32</t>
        </r>
      </text>
    </comment>
    <comment ref="U1087" authorId="0">
      <text>
        <r>
          <rPr>
            <b/>
            <sz val="9"/>
            <rFont val="宋体"/>
            <charset val="134"/>
          </rPr>
          <t>Administrator:</t>
        </r>
        <r>
          <rPr>
            <sz val="9"/>
            <rFont val="宋体"/>
            <charset val="134"/>
          </rPr>
          <t xml:space="preserve">
2022.2.7收13137</t>
        </r>
      </text>
    </comment>
    <comment ref="T1088" authorId="0">
      <text>
        <r>
          <rPr>
            <b/>
            <sz val="9"/>
            <rFont val="宋体"/>
            <charset val="134"/>
          </rPr>
          <t>Administrator:</t>
        </r>
        <r>
          <rPr>
            <sz val="9"/>
            <rFont val="宋体"/>
            <charset val="134"/>
          </rPr>
          <t xml:space="preserve">
2022.1.28收24213</t>
        </r>
      </text>
    </comment>
    <comment ref="Q1089" authorId="0">
      <text>
        <r>
          <rPr>
            <b/>
            <sz val="9"/>
            <rFont val="宋体"/>
            <charset val="134"/>
          </rPr>
          <t>Administrator:</t>
        </r>
        <r>
          <rPr>
            <sz val="9"/>
            <rFont val="宋体"/>
            <charset val="134"/>
          </rPr>
          <t xml:space="preserve">
2021.12.1收</t>
        </r>
      </text>
    </comment>
    <comment ref="T1089" authorId="0">
      <text>
        <r>
          <rPr>
            <b/>
            <sz val="9"/>
            <rFont val="宋体"/>
            <charset val="134"/>
          </rPr>
          <t>Administrator:</t>
        </r>
        <r>
          <rPr>
            <sz val="9"/>
            <rFont val="宋体"/>
            <charset val="134"/>
          </rPr>
          <t xml:space="preserve">
2021.12.29收</t>
        </r>
      </text>
    </comment>
    <comment ref="U1089" authorId="0">
      <text>
        <r>
          <rPr>
            <b/>
            <sz val="9"/>
            <rFont val="宋体"/>
            <charset val="134"/>
          </rPr>
          <t>Administrator:</t>
        </r>
        <r>
          <rPr>
            <sz val="9"/>
            <rFont val="宋体"/>
            <charset val="134"/>
          </rPr>
          <t xml:space="preserve">
2022.1.17收</t>
        </r>
      </text>
    </comment>
    <comment ref="Q1090" authorId="0">
      <text>
        <r>
          <rPr>
            <b/>
            <sz val="9"/>
            <rFont val="宋体"/>
            <charset val="134"/>
          </rPr>
          <t>Administrator:</t>
        </r>
        <r>
          <rPr>
            <sz val="9"/>
            <rFont val="宋体"/>
            <charset val="134"/>
          </rPr>
          <t xml:space="preserve">
2021.12.1收25189</t>
        </r>
      </text>
    </comment>
    <comment ref="T1090" authorId="0">
      <text>
        <r>
          <rPr>
            <b/>
            <sz val="9"/>
            <rFont val="宋体"/>
            <charset val="134"/>
          </rPr>
          <t>Administrator:</t>
        </r>
        <r>
          <rPr>
            <sz val="9"/>
            <rFont val="宋体"/>
            <charset val="134"/>
          </rPr>
          <t xml:space="preserve">
2022.3.4收72305</t>
        </r>
      </text>
    </comment>
    <comment ref="Q1091" authorId="0">
      <text>
        <r>
          <rPr>
            <b/>
            <sz val="9"/>
            <rFont val="宋体"/>
            <charset val="134"/>
          </rPr>
          <t>Administrator:</t>
        </r>
        <r>
          <rPr>
            <sz val="9"/>
            <rFont val="宋体"/>
            <charset val="134"/>
          </rPr>
          <t xml:space="preserve">
2021.12.3收7435.03</t>
        </r>
      </text>
    </comment>
    <comment ref="T1091" authorId="0">
      <text>
        <r>
          <rPr>
            <b/>
            <sz val="9"/>
            <rFont val="宋体"/>
            <charset val="134"/>
          </rPr>
          <t>Administrator:</t>
        </r>
        <r>
          <rPr>
            <sz val="9"/>
            <rFont val="宋体"/>
            <charset val="134"/>
          </rPr>
          <t xml:space="preserve">
2022.1.19收17376.72</t>
        </r>
      </text>
    </comment>
    <comment ref="Q1092" authorId="0">
      <text>
        <r>
          <rPr>
            <b/>
            <sz val="9"/>
            <rFont val="宋体"/>
            <charset val="134"/>
          </rPr>
          <t>Administrator:</t>
        </r>
        <r>
          <rPr>
            <sz val="9"/>
            <rFont val="宋体"/>
            <charset val="134"/>
          </rPr>
          <t xml:space="preserve">
2021.12.3收8575.58</t>
        </r>
      </text>
    </comment>
    <comment ref="T1092" authorId="0">
      <text>
        <r>
          <rPr>
            <b/>
            <sz val="9"/>
            <rFont val="宋体"/>
            <charset val="134"/>
          </rPr>
          <t>Administrator:</t>
        </r>
        <r>
          <rPr>
            <sz val="9"/>
            <rFont val="宋体"/>
            <charset val="134"/>
          </rPr>
          <t xml:space="preserve">
2022.1.12收20009.67</t>
        </r>
      </text>
    </comment>
    <comment ref="Q1093" authorId="0">
      <text>
        <r>
          <rPr>
            <b/>
            <sz val="9"/>
            <rFont val="宋体"/>
            <charset val="134"/>
          </rPr>
          <t>Administrator:</t>
        </r>
        <r>
          <rPr>
            <sz val="9"/>
            <rFont val="宋体"/>
            <charset val="134"/>
          </rPr>
          <t xml:space="preserve">
2021.12.9收25206</t>
        </r>
      </text>
    </comment>
    <comment ref="T1093" authorId="0">
      <text>
        <r>
          <rPr>
            <b/>
            <sz val="9"/>
            <rFont val="宋体"/>
            <charset val="134"/>
          </rPr>
          <t>Administrator:</t>
        </r>
        <r>
          <rPr>
            <sz val="9"/>
            <rFont val="宋体"/>
            <charset val="134"/>
          </rPr>
          <t xml:space="preserve">
2022.3.1收84447</t>
        </r>
      </text>
    </comment>
    <comment ref="Q1095" authorId="0">
      <text>
        <r>
          <rPr>
            <b/>
            <sz val="9"/>
            <rFont val="宋体"/>
            <charset val="134"/>
          </rPr>
          <t>Administrator:</t>
        </r>
        <r>
          <rPr>
            <sz val="9"/>
            <rFont val="宋体"/>
            <charset val="134"/>
          </rPr>
          <t xml:space="preserve">
2021.12.14收9898</t>
        </r>
      </text>
    </comment>
    <comment ref="T1095" authorId="0">
      <text>
        <r>
          <rPr>
            <b/>
            <sz val="9"/>
            <rFont val="宋体"/>
            <charset val="134"/>
          </rPr>
          <t>Administrator:</t>
        </r>
        <r>
          <rPr>
            <sz val="9"/>
            <rFont val="宋体"/>
            <charset val="134"/>
          </rPr>
          <t xml:space="preserve">
2021.12.30收36390.8</t>
        </r>
      </text>
    </comment>
    <comment ref="Q1096" authorId="0">
      <text>
        <r>
          <rPr>
            <b/>
            <sz val="9"/>
            <rFont val="宋体"/>
            <charset val="134"/>
          </rPr>
          <t>Administrator:</t>
        </r>
        <r>
          <rPr>
            <sz val="9"/>
            <rFont val="宋体"/>
            <charset val="134"/>
          </rPr>
          <t xml:space="preserve">
2021.12.22收</t>
        </r>
      </text>
    </comment>
    <comment ref="T1096" authorId="0">
      <text>
        <r>
          <rPr>
            <b/>
            <sz val="9"/>
            <rFont val="宋体"/>
            <charset val="134"/>
          </rPr>
          <t>Administrator:</t>
        </r>
        <r>
          <rPr>
            <sz val="9"/>
            <rFont val="宋体"/>
            <charset val="134"/>
          </rPr>
          <t xml:space="preserve">
2021.12.29收1910 含250运费</t>
        </r>
      </text>
    </comment>
    <comment ref="Q1097" authorId="0">
      <text>
        <r>
          <rPr>
            <b/>
            <sz val="9"/>
            <rFont val="宋体"/>
            <charset val="134"/>
          </rPr>
          <t>Administrator:</t>
        </r>
        <r>
          <rPr>
            <sz val="9"/>
            <rFont val="宋体"/>
            <charset val="134"/>
          </rPr>
          <t xml:space="preserve">
2022.3.10收34333.74
12214.34美金 之前剩的定金</t>
        </r>
      </text>
    </comment>
    <comment ref="T1097" authorId="0">
      <text>
        <r>
          <rPr>
            <b/>
            <sz val="9"/>
            <rFont val="宋体"/>
            <charset val="134"/>
          </rPr>
          <t>Administrator:</t>
        </r>
        <r>
          <rPr>
            <sz val="9"/>
            <rFont val="宋体"/>
            <charset val="134"/>
          </rPr>
          <t xml:space="preserve">
2022.4.21收14968</t>
        </r>
      </text>
    </comment>
    <comment ref="Q1098" authorId="0">
      <text>
        <r>
          <rPr>
            <b/>
            <sz val="9"/>
            <rFont val="宋体"/>
            <charset val="134"/>
          </rPr>
          <t>Administrator:</t>
        </r>
        <r>
          <rPr>
            <sz val="9"/>
            <rFont val="宋体"/>
            <charset val="134"/>
          </rPr>
          <t xml:space="preserve">
2021.12.29</t>
        </r>
      </text>
    </comment>
    <comment ref="T1098" authorId="0">
      <text>
        <r>
          <rPr>
            <b/>
            <sz val="9"/>
            <rFont val="宋体"/>
            <charset val="134"/>
          </rPr>
          <t>Administrator:</t>
        </r>
        <r>
          <rPr>
            <sz val="9"/>
            <rFont val="宋体"/>
            <charset val="134"/>
          </rPr>
          <t xml:space="preserve">
2022.1.15收</t>
        </r>
      </text>
    </comment>
    <comment ref="Q1099" authorId="0">
      <text>
        <r>
          <rPr>
            <b/>
            <sz val="9"/>
            <rFont val="宋体"/>
            <charset val="134"/>
          </rPr>
          <t>Administrator:</t>
        </r>
        <r>
          <rPr>
            <sz val="9"/>
            <rFont val="宋体"/>
            <charset val="134"/>
          </rPr>
          <t xml:space="preserve">
2022.1.26收12120.20
水单12135.2
1836用于J4163-2尾款</t>
        </r>
      </text>
    </comment>
    <comment ref="T1099" authorId="0">
      <text>
        <r>
          <rPr>
            <b/>
            <sz val="9"/>
            <rFont val="宋体"/>
            <charset val="134"/>
          </rPr>
          <t>Administrator:</t>
        </r>
        <r>
          <rPr>
            <sz val="9"/>
            <rFont val="宋体"/>
            <charset val="134"/>
          </rPr>
          <t xml:space="preserve">
2022.4.19收16669.8水单16695.8  134美金来自J4217-1</t>
        </r>
      </text>
    </comment>
    <comment ref="Q1100" authorId="0">
      <text>
        <r>
          <rPr>
            <b/>
            <sz val="9"/>
            <rFont val="宋体"/>
            <charset val="134"/>
          </rPr>
          <t>Administrator:</t>
        </r>
        <r>
          <rPr>
            <sz val="9"/>
            <rFont val="宋体"/>
            <charset val="134"/>
          </rPr>
          <t xml:space="preserve">
2022.3.15收39974
J4217-1定金24367
剩下用于J4239</t>
        </r>
      </text>
    </comment>
    <comment ref="P1101" authorId="0">
      <text>
        <r>
          <rPr>
            <b/>
            <sz val="9"/>
            <rFont val="宋体"/>
            <charset val="134"/>
          </rPr>
          <t>Administrator:</t>
        </r>
        <r>
          <rPr>
            <sz val="9"/>
            <rFont val="宋体"/>
            <charset val="134"/>
          </rPr>
          <t xml:space="preserve">
甩货已付 按163053付款的</t>
        </r>
      </text>
    </comment>
    <comment ref="Q1101" authorId="0">
      <text>
        <r>
          <rPr>
            <b/>
            <sz val="9"/>
            <rFont val="宋体"/>
            <charset val="134"/>
          </rPr>
          <t>Administrator:</t>
        </r>
        <r>
          <rPr>
            <sz val="9"/>
            <rFont val="宋体"/>
            <charset val="134"/>
          </rPr>
          <t xml:space="preserve">
2022.1.26收
2022.1.28收38915.9</t>
        </r>
      </text>
    </comment>
    <comment ref="T1101" authorId="0">
      <text>
        <r>
          <rPr>
            <b/>
            <sz val="9"/>
            <rFont val="宋体"/>
            <charset val="134"/>
          </rPr>
          <t>Administrator:</t>
        </r>
        <r>
          <rPr>
            <sz val="9"/>
            <rFont val="宋体"/>
            <charset val="134"/>
          </rPr>
          <t xml:space="preserve">
2022.4.20收</t>
        </r>
      </text>
    </comment>
    <comment ref="U1101" authorId="0">
      <text>
        <r>
          <rPr>
            <b/>
            <sz val="9"/>
            <rFont val="宋体"/>
            <charset val="134"/>
          </rPr>
          <t>Administrator:</t>
        </r>
        <r>
          <rPr>
            <sz val="9"/>
            <rFont val="宋体"/>
            <charset val="134"/>
          </rPr>
          <t xml:space="preserve">
2022.4.28收J4218 尾款 54137.1
J4275 补定金 43966.4</t>
        </r>
      </text>
    </comment>
    <comment ref="Q1102" authorId="0">
      <text>
        <r>
          <rPr>
            <b/>
            <sz val="9"/>
            <rFont val="宋体"/>
            <charset val="134"/>
          </rPr>
          <t>Administrator:</t>
        </r>
        <r>
          <rPr>
            <sz val="9"/>
            <rFont val="宋体"/>
            <charset val="134"/>
          </rPr>
          <t xml:space="preserve">
2022.2.25收</t>
        </r>
      </text>
    </comment>
    <comment ref="T1102" authorId="0">
      <text>
        <r>
          <rPr>
            <b/>
            <sz val="9"/>
            <rFont val="宋体"/>
            <charset val="134"/>
          </rPr>
          <t>Administrator:</t>
        </r>
        <r>
          <rPr>
            <sz val="9"/>
            <rFont val="宋体"/>
            <charset val="134"/>
          </rPr>
          <t xml:space="preserve">
2022.4.2收4541.5 含海运费</t>
        </r>
      </text>
    </comment>
    <comment ref="Q1103" authorId="0">
      <text>
        <r>
          <rPr>
            <b/>
            <sz val="9"/>
            <rFont val="宋体"/>
            <charset val="134"/>
          </rPr>
          <t>Administrator:</t>
        </r>
        <r>
          <rPr>
            <sz val="9"/>
            <rFont val="宋体"/>
            <charset val="134"/>
          </rPr>
          <t xml:space="preserve">
2022.2.23收9993.42</t>
        </r>
      </text>
    </comment>
    <comment ref="T1103" authorId="0">
      <text>
        <r>
          <rPr>
            <b/>
            <sz val="9"/>
            <rFont val="宋体"/>
            <charset val="134"/>
          </rPr>
          <t>Administrator:</t>
        </r>
        <r>
          <rPr>
            <sz val="9"/>
            <rFont val="宋体"/>
            <charset val="134"/>
          </rPr>
          <t xml:space="preserve">
2022.6.1收23981.8
付了J4235 600美金退仓费</t>
        </r>
      </text>
    </comment>
    <comment ref="Q1104" authorId="0">
      <text>
        <r>
          <rPr>
            <b/>
            <sz val="9"/>
            <rFont val="宋体"/>
            <charset val="134"/>
          </rPr>
          <t>Administrator:</t>
        </r>
        <r>
          <rPr>
            <sz val="9"/>
            <rFont val="宋体"/>
            <charset val="134"/>
          </rPr>
          <t xml:space="preserve">
2022.3.3收9974</t>
        </r>
      </text>
    </comment>
    <comment ref="T1105" authorId="0">
      <text>
        <r>
          <rPr>
            <b/>
            <sz val="9"/>
            <rFont val="宋体"/>
            <charset val="134"/>
          </rPr>
          <t>Administrator:</t>
        </r>
        <r>
          <rPr>
            <sz val="9"/>
            <rFont val="宋体"/>
            <charset val="134"/>
          </rPr>
          <t xml:space="preserve">
2022.5.16收39532.5  20001是J4233-1的
19557.5是J4285-2尾款</t>
        </r>
      </text>
    </comment>
    <comment ref="Q1106" authorId="0">
      <text>
        <r>
          <rPr>
            <b/>
            <sz val="9"/>
            <rFont val="宋体"/>
            <charset val="134"/>
          </rPr>
          <t>Administrator:</t>
        </r>
        <r>
          <rPr>
            <sz val="9"/>
            <rFont val="宋体"/>
            <charset val="134"/>
          </rPr>
          <t xml:space="preserve">
2022.3.1收</t>
        </r>
      </text>
    </comment>
    <comment ref="Q1107" authorId="0">
      <text>
        <r>
          <rPr>
            <b/>
            <sz val="9"/>
            <rFont val="宋体"/>
            <charset val="134"/>
          </rPr>
          <t>Administrator:</t>
        </r>
        <r>
          <rPr>
            <sz val="9"/>
            <rFont val="宋体"/>
            <charset val="134"/>
          </rPr>
          <t xml:space="preserve">
2022.3.3收10368.46</t>
        </r>
      </text>
    </comment>
    <comment ref="Q1108" authorId="0">
      <text>
        <r>
          <rPr>
            <b/>
            <sz val="9"/>
            <rFont val="宋体"/>
            <charset val="134"/>
          </rPr>
          <t>Administrator:</t>
        </r>
        <r>
          <rPr>
            <sz val="9"/>
            <rFont val="宋体"/>
            <charset val="134"/>
          </rPr>
          <t xml:space="preserve">
2022.3.8收11360
2022.3.10收6219.85</t>
        </r>
      </text>
    </comment>
    <comment ref="Q1109" authorId="0">
      <text>
        <r>
          <rPr>
            <b/>
            <sz val="9"/>
            <rFont val="宋体"/>
            <charset val="134"/>
          </rPr>
          <t>Administrator:</t>
        </r>
        <r>
          <rPr>
            <sz val="9"/>
            <rFont val="宋体"/>
            <charset val="134"/>
          </rPr>
          <t xml:space="preserve">
2022.3.11收16320.45</t>
        </r>
      </text>
    </comment>
    <comment ref="Q1110" authorId="0">
      <text>
        <r>
          <rPr>
            <b/>
            <sz val="9"/>
            <rFont val="宋体"/>
            <charset val="134"/>
          </rPr>
          <t>Administrator:见J4205备注
2022.4.28收21166</t>
        </r>
      </text>
    </comment>
    <comment ref="T1110" authorId="0">
      <text>
        <r>
          <rPr>
            <b/>
            <sz val="9"/>
            <rFont val="宋体"/>
            <charset val="134"/>
          </rPr>
          <t>Administrator:</t>
        </r>
        <r>
          <rPr>
            <sz val="9"/>
            <rFont val="宋体"/>
            <charset val="134"/>
          </rPr>
          <t xml:space="preserve">
2022.5.28收33099.58</t>
        </r>
      </text>
    </comment>
    <comment ref="Q1112" authorId="0">
      <text>
        <r>
          <rPr>
            <b/>
            <sz val="9"/>
            <rFont val="宋体"/>
            <charset val="134"/>
          </rPr>
          <t>Administrator:</t>
        </r>
        <r>
          <rPr>
            <sz val="9"/>
            <rFont val="宋体"/>
            <charset val="134"/>
          </rPr>
          <t xml:space="preserve">
2022.3.9</t>
        </r>
      </text>
    </comment>
    <comment ref="Q1113" authorId="0">
      <text>
        <r>
          <rPr>
            <b/>
            <sz val="9"/>
            <rFont val="宋体"/>
            <charset val="134"/>
          </rPr>
          <t>Administrator:</t>
        </r>
        <r>
          <rPr>
            <sz val="9"/>
            <rFont val="宋体"/>
            <charset val="134"/>
          </rPr>
          <t xml:space="preserve">
2022.3.15收39974
J4239定金15633
剩下用于J4217-1</t>
        </r>
      </text>
    </comment>
    <comment ref="T1114" authorId="0">
      <text>
        <r>
          <rPr>
            <b/>
            <sz val="9"/>
            <rFont val="宋体"/>
            <charset val="134"/>
          </rPr>
          <t>Administrator:</t>
        </r>
        <r>
          <rPr>
            <sz val="9"/>
            <rFont val="宋体"/>
            <charset val="134"/>
          </rPr>
          <t xml:space="preserve">
2022.5.26收22866</t>
        </r>
      </text>
    </comment>
    <comment ref="Q1115" authorId="0">
      <text>
        <r>
          <rPr>
            <b/>
            <sz val="9"/>
            <rFont val="宋体"/>
            <charset val="134"/>
          </rPr>
          <t>Administrator:</t>
        </r>
        <r>
          <rPr>
            <sz val="9"/>
            <rFont val="宋体"/>
            <charset val="134"/>
          </rPr>
          <t xml:space="preserve">
2022.4.6收7990</t>
        </r>
      </text>
    </comment>
    <comment ref="Q1116" authorId="0">
      <text>
        <r>
          <rPr>
            <b/>
            <sz val="9"/>
            <rFont val="宋体"/>
            <charset val="134"/>
          </rPr>
          <t>Administrator:</t>
        </r>
        <r>
          <rPr>
            <sz val="9"/>
            <rFont val="宋体"/>
            <charset val="134"/>
          </rPr>
          <t xml:space="preserve">
2022.4.12收11156.01</t>
        </r>
      </text>
    </comment>
    <comment ref="T1116" authorId="0">
      <text>
        <r>
          <rPr>
            <b/>
            <sz val="9"/>
            <rFont val="宋体"/>
            <charset val="134"/>
          </rPr>
          <t>Administrator:</t>
        </r>
        <r>
          <rPr>
            <sz val="9"/>
            <rFont val="宋体"/>
            <charset val="134"/>
          </rPr>
          <t xml:space="preserve">
2022.5.26收26050.69</t>
        </r>
      </text>
    </comment>
    <comment ref="Q1117" authorId="0">
      <text>
        <r>
          <rPr>
            <b/>
            <sz val="9"/>
            <rFont val="宋体"/>
            <charset val="134"/>
          </rPr>
          <t>Administrator:</t>
        </r>
        <r>
          <rPr>
            <sz val="9"/>
            <rFont val="宋体"/>
            <charset val="134"/>
          </rPr>
          <t xml:space="preserve">
2022.4.8收34225.68
水单34375.68  17000是J4268定金  17375.68美金是J4273定金</t>
        </r>
      </text>
    </comment>
    <comment ref="T1117" authorId="0">
      <text>
        <r>
          <rPr>
            <b/>
            <sz val="9"/>
            <rFont val="宋体"/>
            <charset val="134"/>
          </rPr>
          <t>Administrator:</t>
        </r>
        <r>
          <rPr>
            <sz val="9"/>
            <rFont val="宋体"/>
            <charset val="134"/>
          </rPr>
          <t xml:space="preserve">
2022.5.26收87112.12</t>
        </r>
      </text>
    </comment>
    <comment ref="Q1118" authorId="0">
      <text>
        <r>
          <rPr>
            <b/>
            <sz val="9"/>
            <rFont val="宋体"/>
            <charset val="134"/>
          </rPr>
          <t>Administrator:</t>
        </r>
        <r>
          <rPr>
            <sz val="9"/>
            <rFont val="宋体"/>
            <charset val="134"/>
          </rPr>
          <t xml:space="preserve">
2022.4.15收</t>
        </r>
      </text>
    </comment>
    <comment ref="Q1119" authorId="0">
      <text>
        <r>
          <rPr>
            <b/>
            <sz val="9"/>
            <rFont val="宋体"/>
            <charset val="134"/>
          </rPr>
          <t>Administrator:</t>
        </r>
        <r>
          <rPr>
            <sz val="9"/>
            <rFont val="宋体"/>
            <charset val="134"/>
          </rPr>
          <t xml:space="preserve">
2022.4.19收
2022.4.28收J4275 补定金 43966.4</t>
        </r>
      </text>
    </comment>
    <comment ref="Q1120" authorId="0">
      <text>
        <r>
          <rPr>
            <b/>
            <sz val="9"/>
            <rFont val="宋体"/>
            <charset val="134"/>
          </rPr>
          <t>Administrator:</t>
        </r>
        <r>
          <rPr>
            <sz val="9"/>
            <rFont val="宋体"/>
            <charset val="134"/>
          </rPr>
          <t xml:space="preserve">
2022.4.8收</t>
        </r>
      </text>
    </comment>
    <comment ref="Q1121" authorId="0">
      <text>
        <r>
          <rPr>
            <b/>
            <sz val="9"/>
            <rFont val="宋体"/>
            <charset val="134"/>
          </rPr>
          <t>Administrator:</t>
        </r>
        <r>
          <rPr>
            <sz val="9"/>
            <rFont val="宋体"/>
            <charset val="134"/>
          </rPr>
          <t xml:space="preserve">
2022.4.29收16974</t>
        </r>
      </text>
    </comment>
    <comment ref="T1121" authorId="0">
      <text>
        <r>
          <rPr>
            <b/>
            <sz val="9"/>
            <rFont val="宋体"/>
            <charset val="134"/>
          </rPr>
          <t>Administrator:</t>
        </r>
        <r>
          <rPr>
            <sz val="9"/>
            <rFont val="宋体"/>
            <charset val="134"/>
          </rPr>
          <t xml:space="preserve">
2022.5.9收19853</t>
        </r>
      </text>
    </comment>
    <comment ref="T1122" authorId="0">
      <text>
        <r>
          <rPr>
            <b/>
            <sz val="9"/>
            <rFont val="宋体"/>
            <charset val="134"/>
          </rPr>
          <t>Administrator:</t>
        </r>
        <r>
          <rPr>
            <sz val="9"/>
            <rFont val="宋体"/>
            <charset val="134"/>
          </rPr>
          <t xml:space="preserve">
2022.5.16收39532.5  20001是J4233-1的
19557.5是J4285-2尾款
</t>
        </r>
      </text>
    </comment>
    <comment ref="Q1123" authorId="0">
      <text>
        <r>
          <rPr>
            <b/>
            <sz val="9"/>
            <rFont val="宋体"/>
            <charset val="134"/>
          </rPr>
          <t>Administrator:</t>
        </r>
        <r>
          <rPr>
            <sz val="9"/>
            <rFont val="宋体"/>
            <charset val="134"/>
          </rPr>
          <t xml:space="preserve">
2022.5.10收9462.96</t>
        </r>
      </text>
    </comment>
    <comment ref="Q1124" authorId="0">
      <text>
        <r>
          <rPr>
            <b/>
            <sz val="9"/>
            <rFont val="宋体"/>
            <charset val="134"/>
          </rPr>
          <t>Administrator:</t>
        </r>
        <r>
          <rPr>
            <sz val="9"/>
            <rFont val="宋体"/>
            <charset val="134"/>
          </rPr>
          <t xml:space="preserve">
2022.5.17收</t>
        </r>
      </text>
    </comment>
    <comment ref="Q1127" authorId="0">
      <text>
        <r>
          <rPr>
            <b/>
            <sz val="9"/>
            <rFont val="宋体"/>
            <charset val="134"/>
          </rPr>
          <t>Administrator:</t>
        </r>
        <r>
          <rPr>
            <sz val="9"/>
            <rFont val="宋体"/>
            <charset val="134"/>
          </rPr>
          <t xml:space="preserve">
2020.共收到1万美金定金 平分到-1 -2</t>
        </r>
      </text>
    </comment>
    <comment ref="T1127" authorId="0">
      <text>
        <r>
          <rPr>
            <b/>
            <sz val="9"/>
            <rFont val="宋体"/>
            <charset val="134"/>
          </rPr>
          <t>Administrator:</t>
        </r>
        <r>
          <rPr>
            <sz val="9"/>
            <rFont val="宋体"/>
            <charset val="134"/>
          </rPr>
          <t xml:space="preserve">
2020.7.10收</t>
        </r>
      </text>
    </comment>
    <comment ref="T1128" authorId="0">
      <text>
        <r>
          <rPr>
            <b/>
            <sz val="9"/>
            <rFont val="宋体"/>
            <charset val="134"/>
          </rPr>
          <t>Administrator:</t>
        </r>
        <r>
          <rPr>
            <sz val="9"/>
            <rFont val="宋体"/>
            <charset val="134"/>
          </rPr>
          <t xml:space="preserve">
2020.4.22收</t>
        </r>
      </text>
    </comment>
    <comment ref="T1129" authorId="0">
      <text>
        <r>
          <rPr>
            <b/>
            <sz val="9"/>
            <rFont val="宋体"/>
            <charset val="134"/>
          </rPr>
          <t>Administrator:</t>
        </r>
        <r>
          <rPr>
            <sz val="9"/>
            <rFont val="宋体"/>
            <charset val="134"/>
          </rPr>
          <t xml:space="preserve">
2020.7.7</t>
        </r>
      </text>
    </comment>
    <comment ref="T1130" authorId="0">
      <text>
        <r>
          <rPr>
            <b/>
            <sz val="9"/>
            <rFont val="宋体"/>
            <charset val="134"/>
          </rPr>
          <t>Administrator:</t>
        </r>
        <r>
          <rPr>
            <sz val="9"/>
            <rFont val="宋体"/>
            <charset val="134"/>
          </rPr>
          <t xml:space="preserve">
2020.10.26收12058.8</t>
        </r>
      </text>
    </comment>
    <comment ref="Q1131" authorId="0">
      <text>
        <r>
          <rPr>
            <b/>
            <sz val="9"/>
            <rFont val="宋体"/>
            <charset val="134"/>
          </rPr>
          <t>Administrator:</t>
        </r>
        <r>
          <rPr>
            <sz val="9"/>
            <rFont val="宋体"/>
            <charset val="134"/>
          </rPr>
          <t xml:space="preserve">
X3748多打的</t>
        </r>
      </text>
    </comment>
    <comment ref="T1131" authorId="0">
      <text>
        <r>
          <rPr>
            <b/>
            <sz val="9"/>
            <rFont val="宋体"/>
            <charset val="134"/>
          </rPr>
          <t>Administrator:</t>
        </r>
        <r>
          <rPr>
            <sz val="9"/>
            <rFont val="宋体"/>
            <charset val="134"/>
          </rPr>
          <t xml:space="preserve">
2020.10.16收</t>
        </r>
      </text>
    </comment>
    <comment ref="Q1132" authorId="0">
      <text>
        <r>
          <rPr>
            <b/>
            <sz val="9"/>
            <rFont val="宋体"/>
            <charset val="134"/>
          </rPr>
          <t>Administrator:</t>
        </r>
        <r>
          <rPr>
            <sz val="9"/>
            <rFont val="宋体"/>
            <charset val="134"/>
          </rPr>
          <t xml:space="preserve">
2020.10.16收</t>
        </r>
      </text>
    </comment>
    <comment ref="T1132" authorId="0">
      <text>
        <r>
          <rPr>
            <b/>
            <sz val="9"/>
            <rFont val="宋体"/>
            <charset val="134"/>
          </rPr>
          <t>Administrator:</t>
        </r>
        <r>
          <rPr>
            <sz val="9"/>
            <rFont val="宋体"/>
            <charset val="134"/>
          </rPr>
          <t xml:space="preserve">
2021.9.17收27739.64</t>
        </r>
      </text>
    </comment>
    <comment ref="Q1133" authorId="0">
      <text>
        <r>
          <rPr>
            <b/>
            <sz val="9"/>
            <rFont val="宋体"/>
            <charset val="134"/>
          </rPr>
          <t>Administrator:</t>
        </r>
        <r>
          <rPr>
            <sz val="9"/>
            <rFont val="宋体"/>
            <charset val="134"/>
          </rPr>
          <t xml:space="preserve">
2021.1.26收6216.88</t>
        </r>
      </text>
    </comment>
    <comment ref="T1133" authorId="0">
      <text>
        <r>
          <rPr>
            <b/>
            <sz val="9"/>
            <rFont val="宋体"/>
            <charset val="134"/>
          </rPr>
          <t>Administrator:</t>
        </r>
        <r>
          <rPr>
            <sz val="9"/>
            <rFont val="宋体"/>
            <charset val="134"/>
          </rPr>
          <t xml:space="preserve">
2021.3.29收11944.76</t>
        </r>
      </text>
    </comment>
    <comment ref="Q1134" authorId="0">
      <text>
        <r>
          <rPr>
            <b/>
            <sz val="9"/>
            <rFont val="宋体"/>
            <charset val="134"/>
          </rPr>
          <t>Administrator:</t>
        </r>
        <r>
          <rPr>
            <sz val="9"/>
            <rFont val="宋体"/>
            <charset val="134"/>
          </rPr>
          <t xml:space="preserve">
2021.12.16收6321.9</t>
        </r>
      </text>
    </comment>
    <comment ref="T1134" authorId="0">
      <text>
        <r>
          <rPr>
            <b/>
            <sz val="9"/>
            <rFont val="宋体"/>
            <charset val="134"/>
          </rPr>
          <t>Administrator:</t>
        </r>
        <r>
          <rPr>
            <sz val="9"/>
            <rFont val="宋体"/>
            <charset val="134"/>
          </rPr>
          <t xml:space="preserve">
来自M4151</t>
        </r>
      </text>
    </comment>
    <comment ref="T1139" authorId="0">
      <text>
        <r>
          <rPr>
            <b/>
            <sz val="9"/>
            <rFont val="宋体"/>
            <charset val="134"/>
          </rPr>
          <t>Administrator:</t>
        </r>
        <r>
          <rPr>
            <sz val="9"/>
            <rFont val="宋体"/>
            <charset val="134"/>
          </rPr>
          <t xml:space="preserve">
2020.3.31收</t>
        </r>
      </text>
    </comment>
    <comment ref="T1140" authorId="0">
      <text>
        <r>
          <rPr>
            <b/>
            <sz val="9"/>
            <rFont val="宋体"/>
            <charset val="134"/>
          </rPr>
          <t>Administrator:</t>
        </r>
        <r>
          <rPr>
            <sz val="9"/>
            <rFont val="宋体"/>
            <charset val="134"/>
          </rPr>
          <t xml:space="preserve">
2020.4.15收</t>
        </r>
      </text>
    </comment>
    <comment ref="T1141" authorId="0">
      <text>
        <r>
          <rPr>
            <b/>
            <sz val="9"/>
            <rFont val="宋体"/>
            <charset val="134"/>
          </rPr>
          <t>Administrator:</t>
        </r>
        <r>
          <rPr>
            <sz val="9"/>
            <rFont val="宋体"/>
            <charset val="134"/>
          </rPr>
          <t xml:space="preserve">
水单18779 2020.6.30收</t>
        </r>
      </text>
    </comment>
    <comment ref="T1142" authorId="0">
      <text>
        <r>
          <rPr>
            <b/>
            <sz val="9"/>
            <rFont val="宋体"/>
            <charset val="134"/>
          </rPr>
          <t>Administrator:</t>
        </r>
        <r>
          <rPr>
            <sz val="9"/>
            <rFont val="宋体"/>
            <charset val="134"/>
          </rPr>
          <t xml:space="preserve">
2020.7.1收</t>
        </r>
      </text>
    </comment>
    <comment ref="U1142" authorId="0">
      <text>
        <r>
          <rPr>
            <b/>
            <sz val="9"/>
            <rFont val="宋体"/>
            <charset val="134"/>
          </rPr>
          <t>Administrator:</t>
        </r>
        <r>
          <rPr>
            <sz val="9"/>
            <rFont val="宋体"/>
            <charset val="134"/>
          </rPr>
          <t xml:space="preserve">
2020.9.30收5365.05</t>
        </r>
      </text>
    </comment>
    <comment ref="R1150" authorId="0">
      <text>
        <r>
          <rPr>
            <b/>
            <sz val="9"/>
            <rFont val="宋体"/>
            <charset val="134"/>
          </rPr>
          <t>Administrator:</t>
        </r>
        <r>
          <rPr>
            <sz val="9"/>
            <rFont val="宋体"/>
            <charset val="134"/>
          </rPr>
          <t xml:space="preserve">
9.12</t>
        </r>
      </text>
    </comment>
    <comment ref="U1150" authorId="0">
      <text>
        <r>
          <rPr>
            <b/>
            <sz val="9"/>
            <rFont val="宋体"/>
            <charset val="134"/>
          </rPr>
          <t>Administrator:</t>
        </r>
        <r>
          <rPr>
            <sz val="9"/>
            <rFont val="宋体"/>
            <charset val="134"/>
          </rPr>
          <t xml:space="preserve">
9.12</t>
        </r>
      </text>
    </comment>
    <comment ref="T1157" authorId="0">
      <text>
        <r>
          <rPr>
            <b/>
            <sz val="9"/>
            <rFont val="宋体"/>
            <charset val="134"/>
          </rPr>
          <t>Administrator:</t>
        </r>
        <r>
          <rPr>
            <sz val="9"/>
            <rFont val="宋体"/>
            <charset val="134"/>
          </rPr>
          <t xml:space="preserve">
1.10</t>
        </r>
      </text>
    </comment>
    <comment ref="Q1163" authorId="0">
      <text>
        <r>
          <rPr>
            <b/>
            <sz val="9"/>
            <rFont val="宋体"/>
            <charset val="134"/>
          </rPr>
          <t>Administrator:</t>
        </r>
        <r>
          <rPr>
            <sz val="9"/>
            <rFont val="宋体"/>
            <charset val="134"/>
          </rPr>
          <t xml:space="preserve">
7872.5  1/3</t>
        </r>
      </text>
    </comment>
    <comment ref="R1163" authorId="0">
      <text>
        <r>
          <rPr>
            <b/>
            <sz val="9"/>
            <rFont val="宋体"/>
            <charset val="134"/>
          </rPr>
          <t>Administrator:</t>
        </r>
        <r>
          <rPr>
            <sz val="9"/>
            <rFont val="宋体"/>
            <charset val="134"/>
          </rPr>
          <t xml:space="preserve">
这个款下单安排</t>
        </r>
      </text>
    </comment>
    <comment ref="Q1164" authorId="0">
      <text>
        <r>
          <rPr>
            <b/>
            <sz val="9"/>
            <rFont val="宋体"/>
            <charset val="134"/>
          </rPr>
          <t>Administrator:</t>
        </r>
        <r>
          <rPr>
            <sz val="9"/>
            <rFont val="宋体"/>
            <charset val="134"/>
          </rPr>
          <t xml:space="preserve">
45094  1.7  6.85</t>
        </r>
      </text>
    </comment>
    <comment ref="Q1167" authorId="0">
      <text>
        <r>
          <rPr>
            <b/>
            <sz val="9"/>
            <rFont val="宋体"/>
            <charset val="134"/>
          </rPr>
          <t>Administrator:</t>
        </r>
        <r>
          <rPr>
            <sz val="9"/>
            <rFont val="宋体"/>
            <charset val="134"/>
          </rPr>
          <t xml:space="preserve">
19963  2.15
4个柜的定金2万美金
-1用掉4千 -3用掉5千</t>
        </r>
      </text>
    </comment>
    <comment ref="Q1169" authorId="0">
      <text>
        <r>
          <rPr>
            <b/>
            <sz val="9"/>
            <rFont val="宋体"/>
            <charset val="134"/>
          </rPr>
          <t>Administrator:</t>
        </r>
        <r>
          <rPr>
            <sz val="9"/>
            <rFont val="宋体"/>
            <charset val="134"/>
          </rPr>
          <t xml:space="preserve">
7593 2.14</t>
        </r>
      </text>
    </comment>
    <comment ref="Q1170" authorId="0">
      <text>
        <r>
          <rPr>
            <b/>
            <sz val="9"/>
            <rFont val="宋体"/>
            <charset val="134"/>
          </rPr>
          <t>Administrator:</t>
        </r>
        <r>
          <rPr>
            <sz val="9"/>
            <rFont val="宋体"/>
            <charset val="134"/>
          </rPr>
          <t xml:space="preserve">
6450  3.5</t>
        </r>
      </text>
    </comment>
    <comment ref="P1175"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76" authorId="0">
      <text>
        <r>
          <rPr>
            <b/>
            <sz val="9"/>
            <rFont val="宋体"/>
            <charset val="134"/>
          </rPr>
          <t>Administrator:</t>
        </r>
        <r>
          <rPr>
            <sz val="9"/>
            <rFont val="宋体"/>
            <charset val="134"/>
          </rPr>
          <t xml:space="preserve">
2020.1.16收25067.48美金
多装的货是3510美金 从定金扣除</t>
        </r>
      </text>
    </comment>
    <comment ref="U1193" authorId="0">
      <text>
        <r>
          <rPr>
            <sz val="9"/>
            <rFont val="宋体"/>
            <charset val="134"/>
          </rPr>
          <t>Administrator:
5.13 收到 比实际少了300</t>
        </r>
      </text>
    </comment>
    <comment ref="U1194" authorId="0">
      <text>
        <r>
          <rPr>
            <sz val="9"/>
            <rFont val="宋体"/>
            <charset val="134"/>
          </rPr>
          <t>Administrator:
2016.5.13 比实际少140</t>
        </r>
      </text>
    </comment>
    <comment ref="Q1196" authorId="0">
      <text>
        <r>
          <rPr>
            <b/>
            <sz val="9"/>
            <rFont val="宋体"/>
            <charset val="134"/>
          </rPr>
          <t>Administrator:</t>
        </r>
        <r>
          <rPr>
            <sz val="9"/>
            <rFont val="宋体"/>
            <charset val="134"/>
          </rPr>
          <t xml:space="preserve">
20163.12.30  4803</t>
        </r>
      </text>
    </comment>
    <comment ref="T1197" authorId="0">
      <text>
        <r>
          <rPr>
            <b/>
            <sz val="9"/>
            <rFont val="宋体"/>
            <charset val="134"/>
          </rPr>
          <t>Administrator:</t>
        </r>
        <r>
          <rPr>
            <sz val="9"/>
            <rFont val="宋体"/>
            <charset val="134"/>
          </rPr>
          <t xml:space="preserve">
7940  10.9</t>
        </r>
      </text>
    </comment>
    <comment ref="U1197" authorId="0">
      <text>
        <r>
          <rPr>
            <b/>
            <sz val="9"/>
            <rFont val="宋体"/>
            <charset val="134"/>
          </rPr>
          <t>Administrator:</t>
        </r>
        <r>
          <rPr>
            <sz val="9"/>
            <rFont val="宋体"/>
            <charset val="134"/>
          </rPr>
          <t xml:space="preserve">
7940  10.9</t>
        </r>
      </text>
    </comment>
    <comment ref="U1198" authorId="0">
      <text>
        <r>
          <rPr>
            <b/>
            <sz val="9"/>
            <rFont val="宋体"/>
            <charset val="134"/>
          </rPr>
          <t>Administrator:</t>
        </r>
        <r>
          <rPr>
            <sz val="9"/>
            <rFont val="宋体"/>
            <charset val="134"/>
          </rPr>
          <t xml:space="preserve">
3000 4-8 收到
</t>
        </r>
      </text>
    </comment>
    <comment ref="T1200" authorId="0">
      <text>
        <r>
          <rPr>
            <b/>
            <sz val="9"/>
            <rFont val="宋体"/>
            <charset val="134"/>
          </rPr>
          <t>Administrator:</t>
        </r>
        <r>
          <rPr>
            <sz val="9"/>
            <rFont val="宋体"/>
            <charset val="134"/>
          </rPr>
          <t xml:space="preserve">
4-12</t>
        </r>
      </text>
    </comment>
    <comment ref="U1200" authorId="0">
      <text>
        <r>
          <rPr>
            <b/>
            <sz val="9"/>
            <rFont val="宋体"/>
            <charset val="134"/>
          </rPr>
          <t>Administrator:</t>
        </r>
        <r>
          <rPr>
            <sz val="9"/>
            <rFont val="宋体"/>
            <charset val="134"/>
          </rPr>
          <t xml:space="preserve">
4-12</t>
        </r>
      </text>
    </comment>
    <comment ref="T1206"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<sst xmlns="http://schemas.openxmlformats.org/spreadsheetml/2006/main" count="4720">
  <si>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</si>
  <si>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</si>
  <si>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</si>
  <si>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</si>
  <si>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</si>
  <si>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</si>
  <si>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</si>
  <si>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</si>
  <si>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</si>
  <si>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</si>
  <si>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</si>
  <si>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</si>
  <si>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</si>
  <si>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</si>
  <si>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</si>
  <si>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</si>
  <si>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</si>
  <si>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</si>
  <si>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</si>
  <si>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</si>
  <si>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</si>
  <si>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</si>
  <si>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</si>
  <si>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</si>
  <si>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</si>
  <si>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</si>
  <si>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</si>
  <si>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</si>
  <si>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</si>
  <si>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</si>
  <si>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</si>
  <si>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</si>
  <si>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</si>
  <si>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</si>
  <si>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</si>
  <si>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</si>
  <si>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</si>
  <si>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</si>
  <si>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</si>
  <si>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</si>
  <si>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</si>
  <si>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</si>
  <si>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</si>
  <si>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</si>
  <si>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</si>
  <si>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</si>
  <si>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</si>
  <si>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</si>
  <si>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</si>
  <si>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</si>
  <si>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</si>
  <si>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</si>
  <si>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</si>
  <si>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</si>
  <si>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</si>
  <si>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</si>
  <si>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</si>
  <si>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</si>
  <si>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</si>
  <si>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</si>
  <si>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</si>
  <si>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</si>
  <si>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</si>
  <si>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</si>
  <si>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</si>
  <si>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</si>
  <si>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</si>
  <si>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</si>
  <si>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</si>
  <si>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</si>
  <si>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</si>
  <si>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</si>
  <si>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</si>
  <si>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</si>
  <si>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</si>
  <si>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</si>
  <si>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</si>
  <si>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</si>
  <si>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</si>
  <si>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</si>
  <si>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</si>
  <si>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</si>
  <si>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</si>
  <si>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</si>
  <si>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</si>
  <si>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</si>
  <si>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</si>
  <si>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</si>
  <si>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</si>
  <si>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</si>
  <si>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</si>
  <si>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</si>
  <si>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</si>
  <si>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</si>
  <si>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</si>
  <si>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</si>
  <si>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</si>
  <si>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</si>
  <si>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</si>
  <si>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</si>
  <si>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</si>
  <si>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</si>
  <si>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</si>
  <si>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</si>
  <si>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</si>
  <si>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</si>
  <si>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</si>
  <si>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</si>
  <si>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</si>
  <si>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</si>
  <si>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</si>
  <si>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</si>
  <si>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</si>
  <si>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</si>
  <si>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</si>
  <si>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</si>
  <si>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</si>
  <si>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</si>
  <si>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</si>
  <si>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</si>
  <si>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</si>
  <si>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</si>
  <si>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</si>
  <si>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</si>
  <si>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</si>
  <si>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</si>
  <si>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</si>
  <si>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</si>
  <si>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</si>
  <si>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</si>
  <si>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</si>
  <si>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</si>
  <si>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</si>
  <si>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</si>
  <si>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</si>
  <si>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</si>
  <si>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</si>
  <si>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</si>
  <si>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</si>
  <si>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</si>
  <si>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</si>
  <si>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</si>
  <si>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</si>
  <si>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</si>
  <si>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</si>
  <si>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</si>
  <si>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</si>
  <si>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</si>
  <si>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</si>
  <si>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</si>
  <si>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</si>
  <si>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</si>
  <si>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</si>
  <si>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</si>
  <si>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</si>
  <si>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</si>
  <si>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</si>
  <si>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</si>
  <si>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</si>
  <si>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</si>
  <si>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</si>
  <si>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</si>
  <si>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</si>
  <si>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</si>
  <si>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</si>
  <si>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</si>
  <si>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</si>
  <si>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</si>
  <si>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</si>
  <si>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</si>
  <si>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</si>
  <si>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</si>
  <si>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</si>
  <si>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</si>
  <si>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</si>
  <si>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</si>
  <si>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</si>
  <si>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</si>
  <si>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</si>
  <si>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</si>
  <si>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</si>
  <si>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</si>
  <si>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</si>
  <si>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</si>
  <si>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</si>
  <si>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</si>
  <si>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</si>
  <si>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</si>
  <si>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</si>
  <si>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</si>
  <si>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</si>
  <si>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</si>
  <si>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</si>
  <si>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</si>
  <si>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</si>
  <si>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</si>
  <si>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</si>
  <si>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</si>
  <si>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</si>
  <si>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</si>
  <si>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</si>
  <si>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</si>
  <si>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</si>
  <si>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</si>
  <si>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</si>
  <si>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</si>
  <si>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</si>
  <si>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</si>
  <si>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</si>
  <si>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</si>
  <si>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</si>
  <si>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</si>
  <si>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</si>
  <si>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</si>
  <si>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</si>
  <si>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</si>
  <si>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</si>
  <si>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</si>
  <si>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</si>
  <si>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</si>
  <si>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</si>
  <si>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</si>
  <si>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</si>
  <si>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</si>
  <si>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</si>
  <si>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</si>
  <si>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</si>
  <si>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</si>
  <si>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</si>
  <si>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</si>
  <si>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</si>
  <si>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</si>
  <si>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</si>
  <si>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</si>
  <si>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</si>
  <si>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</si>
  <si>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</si>
  <si>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</si>
  <si>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</si>
  <si>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</si>
  <si>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</si>
  <si>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</si>
  <si>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</si>
  <si>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</si>
  <si>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</si>
  <si>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</si>
  <si>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</si>
  <si>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</si>
  <si>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</si>
  <si>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</si>
  <si>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</si>
  <si>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</si>
  <si>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</si>
  <si>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</si>
  <si>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</si>
  <si>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</si>
  <si>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</si>
  <si>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</si>
  <si>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</si>
  <si>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</si>
  <si>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</si>
  <si>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</si>
  <si>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</si>
  <si>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</si>
  <si>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</si>
  <si>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</si>
  <si>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</si>
  <si>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</si>
  <si>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</si>
  <si>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</si>
  <si>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</si>
  <si>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</si>
  <si>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</si>
  <si>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</si>
  <si>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</si>
  <si>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</si>
  <si>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</si>
  <si>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</si>
  <si>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</si>
  <si>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</si>
  <si>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</si>
  <si>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</si>
  <si>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</si>
  <si>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</si>
  <si>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</si>
  <si>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</si>
  <si>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</si>
  <si>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</si>
  <si>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</si>
  <si>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</si>
  <si>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</si>
  <si>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</si>
  <si>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</si>
  <si>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</si>
  <si>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</si>
  <si>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</si>
  <si>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</si>
  <si>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</si>
  <si>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</si>
  <si>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</si>
  <si>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</si>
  <si>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</si>
  <si>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</si>
  <si>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</si>
  <si>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</si>
  <si>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</si>
  <si>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</si>
  <si>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</si>
  <si>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</si>
  <si>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</si>
  <si>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</si>
  <si>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</si>
  <si>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</si>
  <si>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</si>
  <si>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</si>
  <si>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</si>
  <si>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</si>
  <si>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</si>
  <si>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</si>
  <si>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</si>
  <si>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</si>
  <si>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</si>
  <si>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</si>
  <si>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</si>
  <si>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</si>
  <si>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</si>
  <si>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</si>
  <si>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</si>
  <si>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</si>
  <si>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</si>
  <si>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</si>
  <si>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</si>
  <si>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</si>
  <si>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</si>
  <si>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</si>
  <si>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</si>
  <si>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</si>
  <si>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</si>
  <si>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</si>
  <si>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</si>
  <si>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</si>
  <si>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</si>
  <si>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</si>
  <si>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</si>
  <si>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</si>
  <si>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</si>
  <si>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</si>
  <si>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</si>
  <si>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</si>
  <si>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</si>
  <si>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</si>
  <si>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</si>
  <si>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</si>
  <si>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</si>
  <si>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</si>
  <si>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</si>
  <si>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</si>
  <si>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</si>
  <si>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</si>
  <si>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</si>
  <si>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</si>
  <si>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</si>
  <si>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</si>
  <si>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</si>
  <si>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</si>
  <si>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</si>
  <si>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</si>
  <si>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</si>
  <si>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</si>
  <si>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</si>
  <si>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</si>
  <si>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</si>
  <si>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</si>
  <si>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</si>
  <si>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</si>
  <si>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</si>
  <si>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</si>
  <si>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</si>
  <si>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</si>
  <si>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</si>
  <si>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</si>
  <si>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</si>
  <si>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</si>
  <si>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</si>
  <si>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</si>
  <si>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</si>
  <si>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</si>
  <si>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</si>
  <si>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</si>
  <si>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</si>
  <si>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</si>
  <si>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</si>
  <si>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</si>
  <si>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</si>
  <si>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</si>
  <si>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</si>
  <si>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</si>
  <si>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</si>
  <si>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</si>
  <si>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</si>
  <si>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</si>
  <si>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</si>
  <si>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</si>
  <si>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</si>
  <si>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</si>
  <si>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</si>
  <si>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</si>
  <si>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</si>
  <si>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</si>
  <si>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</si>
  <si>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</si>
  <si>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</si>
  <si>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</si>
  <si>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</si>
  <si>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</si>
  <si>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</si>
  <si>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</si>
  <si>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</si>
  <si>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</si>
  <si>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</si>
  <si>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</si>
  <si>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</si>
  <si>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</si>
  <si>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</si>
  <si>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</si>
  <si>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</si>
  <si>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</si>
  <si>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</si>
  <si>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</si>
  <si>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</si>
  <si>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</si>
  <si>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</si>
  <si>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</si>
  <si>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</si>
  <si>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</si>
  <si>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</si>
  <si>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</si>
  <si>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</si>
  <si>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</si>
  <si>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</si>
  <si>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</si>
  <si>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</si>
  <si>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</si>
  <si>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</si>
  <si>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</si>
  <si>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</si>
  <si>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</si>
  <si>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</si>
  <si>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</si>
  <si>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</si>
  <si>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</si>
  <si>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</si>
  <si>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</si>
  <si>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</si>
  <si>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</si>
  <si>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</si>
  <si>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</si>
  <si>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</si>
  <si>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</si>
  <si>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</si>
  <si>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</si>
  <si>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</si>
  <si>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</si>
  <si>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</si>
  <si>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</si>
  <si>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</si>
  <si>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</si>
  <si>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</si>
  <si>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</si>
  <si>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</si>
  <si>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</si>
  <si>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</si>
  <si>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</si>
  <si>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</si>
  <si>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</si>
  <si>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</si>
  <si>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</si>
  <si>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</si>
  <si>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</si>
  <si>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</si>
  <si>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</si>
  <si>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</si>
  <si>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</si>
  <si>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</si>
  <si>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</si>
  <si>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</si>
  <si>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</si>
  <si>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</si>
  <si>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</si>
  <si>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</si>
  <si>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</si>
  <si>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</si>
  <si>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</si>
  <si>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</si>
  <si>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</si>
  <si>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</si>
  <si>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</si>
  <si>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</si>
  <si>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</si>
  <si>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</si>
  <si>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</si>
  <si>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</si>
  <si>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</si>
  <si>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</si>
  <si>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</si>
  <si>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</si>
  <si>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</si>
  <si>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</si>
  <si>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</si>
  <si>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</si>
  <si>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</si>
  <si>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</si>
  <si>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</si>
  <si>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</si>
  <si>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</si>
  <si>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</si>
  <si>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</si>
  <si>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</si>
  <si>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</si>
  <si>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</si>
  <si>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</si>
  <si>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</si>
  <si>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</si>
  <si>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</si>
  <si>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</si>
  <si>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</si>
  <si>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</si>
  <si>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</si>
  <si>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</si>
  <si>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</si>
  <si>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</si>
  <si>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</si>
  <si>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</si>
  <si>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</si>
  <si>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</si>
  <si>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</si>
  <si>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</si>
  <si>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</si>
  <si>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</si>
  <si>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</si>
  <si>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</si>
  <si>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</si>
  <si>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</si>
  <si>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</si>
  <si>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</si>
  <si>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</si>
  <si>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</si>
  <si>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</si>
  <si>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</si>
  <si>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</si>
  <si>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</si>
  <si>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</si>
  <si>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</si>
  <si>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</si>
  <si>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</si>
  <si>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</si>
  <si>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</si>
  <si>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</si>
  <si>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</si>
  <si>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</si>
  <si>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</si>
  <si>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</si>
  <si>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</si>
  <si>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</si>
  <si>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</si>
  <si>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</si>
  <si>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</si>
  <si>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</si>
  <si>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</si>
  <si>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</si>
  <si>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</si>
  <si>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</si>
  <si>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</si>
  <si>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</si>
  <si>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</si>
  <si>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</si>
  <si>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</si>
  <si>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</si>
  <si>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</si>
  <si>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</si>
  <si>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</si>
  <si>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</si>
  <si>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</si>
  <si>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</si>
  <si>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</si>
  <si>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</si>
  <si>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</si>
  <si>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</si>
  <si>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</si>
  <si>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</si>
  <si>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</si>
  <si>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</si>
  <si>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</si>
  <si>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</si>
  <si>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</si>
  <si>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</si>
  <si>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</si>
  <si>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</si>
  <si>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</si>
  <si>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</si>
  <si>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</si>
  <si>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</si>
  <si>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</si>
  <si>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</si>
  <si>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</si>
  <si>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</si>
  <si>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</si>
  <si>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</si>
  <si>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</si>
  <si>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</si>
  <si>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</si>
  <si>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</si>
  <si>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</si>
  <si>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</si>
  <si>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</si>
  <si>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</si>
  <si>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</si>
  <si>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</si>
  <si>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</si>
  <si>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</si>
  <si>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</si>
  <si>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</si>
  <si>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</si>
  <si>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</si>
  <si>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</si>
  <si>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</si>
  <si>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</si>
  <si>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</si>
  <si>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</si>
  <si>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</si>
  <si>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</si>
  <si>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</si>
  <si>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</si>
  <si>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</si>
  <si>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</si>
  <si>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</si>
  <si>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</si>
  <si>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</si>
  <si>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</si>
  <si>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</si>
  <si>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</si>
  <si>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</si>
  <si>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</si>
  <si>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</si>
  <si>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</si>
  <si>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</si>
  <si>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</si>
  <si>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</si>
  <si>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</si>
  <si>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</si>
  <si>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</si>
  <si>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</si>
  <si>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</si>
  <si>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</si>
  <si>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</si>
  <si>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</si>
  <si>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</si>
  <si>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</si>
  <si>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</si>
  <si>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</si>
  <si>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</si>
  <si>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</si>
  <si>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</si>
  <si>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</si>
  <si>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</si>
  <si>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</si>
  <si>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</si>
  <si>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</si>
  <si>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</si>
  <si>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</si>
  <si>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</si>
  <si>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</si>
  <si>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</si>
  <si>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</si>
  <si>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</si>
  <si>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</si>
  <si>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</si>
  <si>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</si>
  <si>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</si>
  <si>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</si>
  <si>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</si>
  <si>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</si>
  <si>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</si>
  <si>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</si>
  <si>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</si>
  <si>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</si>
  <si>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</si>
  <si>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</si>
  <si>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</si>
  <si>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</si>
  <si>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</si>
  <si>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</si>
  <si>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</si>
  <si>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</si>
  <si>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</si>
  <si>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</si>
  <si>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</si>
  <si>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</si>
  <si>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</si>
  <si>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</si>
  <si>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</si>
  <si>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</si>
  <si>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</si>
  <si>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</si>
  <si>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</si>
  <si>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</si>
  <si>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</si>
  <si>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</si>
  <si>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</si>
  <si>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</si>
  <si>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</si>
  <si>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</si>
  <si>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</si>
  <si>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</si>
  <si>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</si>
  <si>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</si>
  <si>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</si>
  <si>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</si>
  <si>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</si>
  <si>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</si>
  <si>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</si>
  <si>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</si>
  <si>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</si>
  <si>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</si>
  <si>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</si>
  <si>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</si>
  <si>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</si>
  <si>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</si>
  <si>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</si>
  <si>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</si>
  <si>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</si>
  <si>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</si>
  <si>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</si>
  <si>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</si>
  <si>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</si>
  <si>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</si>
  <si>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</si>
  <si>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</si>
  <si>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</si>
  <si>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</si>
  <si>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</si>
  <si>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</si>
  <si>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</si>
  <si>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</si>
  <si>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</si>
  <si>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</si>
  <si>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</si>
  <si>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</si>
  <si>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</si>
  <si>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</si>
  <si>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</si>
  <si>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</si>
  <si>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</si>
  <si>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</si>
  <si>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</si>
  <si>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</si>
  <si>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</si>
  <si>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</si>
  <si>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</si>
  <si>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</si>
  <si>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</si>
  <si>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</si>
  <si>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</si>
  <si>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</si>
  <si>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</si>
  <si>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</si>
  <si>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</si>
  <si>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</si>
  <si>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</si>
  <si>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</si>
  <si>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</si>
  <si>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</si>
  <si>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</si>
  <si>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</si>
  <si>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</si>
  <si>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</si>
  <si>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</si>
  <si>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</si>
  <si>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</si>
  <si>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</si>
  <si>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</si>
  <si>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</si>
  <si>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</si>
  <si>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</si>
  <si>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</si>
  <si>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</si>
  <si>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</si>
  <si>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</si>
  <si>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</si>
  <si>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</si>
  <si>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</si>
  <si>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</si>
  <si>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</si>
  <si>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</si>
  <si>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</si>
  <si>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</si>
  <si>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</si>
  <si>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</si>
  <si>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</si>
  <si>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</si>
  <si>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</si>
  <si>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</si>
  <si>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</si>
  <si>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</si>
  <si>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</si>
  <si>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</si>
  <si>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</si>
  <si>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</si>
  <si>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</si>
  <si>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</si>
  <si>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</si>
  <si>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</si>
  <si>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</si>
  <si>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</si>
  <si>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</si>
  <si>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</si>
  <si>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</si>
  <si>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</si>
  <si>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</si>
  <si>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</si>
  <si>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</si>
  <si>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</si>
  <si>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</si>
  <si>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</si>
  <si>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</si>
  <si>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</si>
  <si>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</si>
  <si>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</si>
  <si>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</si>
  <si>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</si>
  <si>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</si>
  <si>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</si>
  <si>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</si>
  <si>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</si>
  <si>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</si>
  <si>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</si>
  <si>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</si>
  <si>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</si>
  <si>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</si>
  <si>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</si>
  <si>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</si>
  <si>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</si>
  <si>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</si>
  <si>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</si>
  <si>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</si>
  <si>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</si>
  <si>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</si>
  <si>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</si>
  <si>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</si>
  <si>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</si>
  <si>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</si>
  <si>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</si>
  <si>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</si>
  <si>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</si>
  <si>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</si>
  <si>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</si>
  <si>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</si>
  <si>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</si>
  <si>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</si>
  <si>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</si>
  <si>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</si>
  <si>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</si>
  <si>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</si>
  <si>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</si>
  <si>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</si>
  <si>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</si>
  <si>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</si>
  <si>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</si>
  <si>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</si>
  <si>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</si>
  <si>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</si>
  <si>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</si>
  <si>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</si>
  <si>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</si>
  <si>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</si>
  <si>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</si>
  <si>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</si>
  <si>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</si>
  <si>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</si>
  <si>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</si>
  <si>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</si>
  <si>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</si>
  <si>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</si>
  <si>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</si>
  <si>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</si>
  <si>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</si>
  <si>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</si>
  <si>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</si>
  <si>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</si>
  <si>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</si>
  <si>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</si>
  <si>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</si>
  <si>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</si>
  <si>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</si>
  <si>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</si>
  <si>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</si>
  <si>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</si>
  <si>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</si>
  <si>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</si>
  <si>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</si>
  <si>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</si>
  <si>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</si>
  <si>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</si>
  <si>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</si>
  <si>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</si>
  <si>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</si>
  <si>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</si>
  <si>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</si>
  <si>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</si>
  <si>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</si>
  <si>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</si>
  <si>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</si>
  <si>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</si>
  <si>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</si>
  <si>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</si>
  <si>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</si>
  <si>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</si>
  <si>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</si>
  <si>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</si>
  <si>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</si>
  <si>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</si>
  <si>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</si>
  <si>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</si>
  <si>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</si>
  <si>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</si>
  <si>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</si>
  <si>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</si>
  <si>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</si>
  <si>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</si>
  <si>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</si>
  <si>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</si>
  <si>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</si>
  <si>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</si>
  <si>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</si>
  <si>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</si>
  <si>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</si>
  <si>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</si>
  <si>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</si>
  <si>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</si>
  <si>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</si>
  <si>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</si>
  <si>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</si>
  <si>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</si>
  <si>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</si>
  <si>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</si>
  <si>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</si>
  <si>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</si>
  <si>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</si>
  <si>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</si>
  <si>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</si>
  <si>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</si>
  <si>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</si>
  <si>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</si>
  <si>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</si>
  <si>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</si>
  <si>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</si>
  <si>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</si>
  <si>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</si>
  <si>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</si>
  <si>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</si>
  <si>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</si>
  <si>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</si>
  <si>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</si>
  <si>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</si>
  <si>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</si>
  <si>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</si>
  <si>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</si>
  <si>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</si>
  <si>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</si>
  <si>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</si>
  <si>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</si>
  <si>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</si>
  <si>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</si>
  <si>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</si>
  <si>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</si>
  <si>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</si>
  <si>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</si>
  <si>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</si>
  <si>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</si>
  <si>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</si>
  <si>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</si>
  <si>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</si>
  <si>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</si>
  <si>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</si>
  <si>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</si>
  <si>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</si>
  <si>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</si>
  <si>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</si>
  <si>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</si>
  <si>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</si>
  <si>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</si>
  <si>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</si>
  <si>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</si>
  <si>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</si>
  <si>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</si>
  <si>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</si>
  <si>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</si>
  <si>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</si>
  <si>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</si>
  <si>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</si>
  <si>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</si>
  <si>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</si>
  <si>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</si>
  <si>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</si>
  <si>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</si>
  <si>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</si>
  <si>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</si>
  <si>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</si>
  <si>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</si>
  <si>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</si>
  <si>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</si>
  <si>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</si>
  <si>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</si>
  <si>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</si>
  <si>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</si>
  <si>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</si>
  <si>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</si>
  <si>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</si>
  <si>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</si>
  <si>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</si>
  <si>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</si>
  <si>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</si>
  <si>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</si>
  <si>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</si>
  <si>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</si>
  <si>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</si>
  <si>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</si>
  <si>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</si>
  <si>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</si>
  <si>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</si>
  <si>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</si>
  <si>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</si>
  <si>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</si>
  <si>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</si>
  <si>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</si>
  <si>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</si>
  <si>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</si>
  <si>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</si>
  <si>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</si>
  <si>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</si>
  <si>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</si>
  <si>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</si>
  <si>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</si>
  <si>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</si>
  <si>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</si>
  <si>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</si>
  <si>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</si>
  <si>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</si>
  <si>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</si>
  <si>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</si>
  <si>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</si>
  <si>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</si>
  <si>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</si>
  <si>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</si>
  <si>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</si>
  <si>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</si>
  <si>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</si>
  <si>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</si>
  <si>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</si>
  <si>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</si>
  <si>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</si>
  <si>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</si>
  <si>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</si>
  <si>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</si>
  <si>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</si>
  <si>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</si>
  <si>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</si>
  <si>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</si>
  <si>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</si>
  <si>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</si>
  <si>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</si>
  <si>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</si>
  <si>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</si>
  <si>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</si>
  <si>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</si>
  <si>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</si>
  <si>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</si>
  <si>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</si>
  <si>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</si>
  <si>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</si>
  <si>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</si>
  <si>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</si>
  <si>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</si>
  <si>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</si>
  <si>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</si>
  <si>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</si>
  <si>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</si>
  <si>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</si>
  <si>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</si>
  <si>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</si>
  <si>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</si>
  <si>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</si>
  <si>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</si>
  <si>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</si>
  <si>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</si>
  <si>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</si>
  <si>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</si>
  <si>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</si>
  <si>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</si>
  <si>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</si>
  <si>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</si>
  <si>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</si>
  <si>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</si>
  <si>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</si>
  <si>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</si>
  <si>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</si>
  <si>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</si>
  <si>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</si>
  <si>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</si>
  <si>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</si>
  <si>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</si>
  <si>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</si>
  <si>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</si>
  <si>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</si>
  <si>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</si>
  <si>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</si>
  <si>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</si>
  <si>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</si>
  <si>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</si>
  <si>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</si>
  <si>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</si>
  <si>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</si>
  <si>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</si>
  <si>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</si>
  <si>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</si>
  <si>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</si>
  <si>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</si>
  <si>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</si>
  <si>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</si>
  <si>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</si>
  <si>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</si>
  <si>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</si>
  <si>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</si>
  <si>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</si>
  <si>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</si>
  <si>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</si>
  <si>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</si>
  <si>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</si>
  <si>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</si>
  <si>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</si>
  <si>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</si>
  <si>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</si>
  <si>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</si>
  <si>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</si>
  <si>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</si>
  <si>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</si>
  <si>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</si>
  <si>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</si>
  <si>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</si>
  <si>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</si>
  <si>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</si>
  <si>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</si>
  <si>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</si>
  <si>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</si>
  <si>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</si>
  <si>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</si>
  <si>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</si>
  <si>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</si>
  <si>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</si>
  <si>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</si>
  <si>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</si>
  <si>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</si>
  <si>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</si>
  <si>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</si>
  <si>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</si>
  <si>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</si>
  <si>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</si>
  <si>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</si>
  <si>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</si>
  <si>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</si>
  <si>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</si>
  <si>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</si>
  <si>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</si>
  <si>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</si>
  <si>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</si>
  <si>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</si>
  <si>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</si>
  <si>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</si>
  <si>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</si>
  <si>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</si>
  <si>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</si>
  <si>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</si>
  <si>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</si>
  <si>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</si>
  <si>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</si>
  <si>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</si>
  <si>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</si>
  <si>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</si>
  <si>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</si>
  <si>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</si>
  <si>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</si>
  <si>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</si>
  <si>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</si>
  <si>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</si>
  <si>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</si>
  <si>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</si>
  <si>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</si>
  <si>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</si>
  <si>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</si>
  <si>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</si>
  <si>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</si>
  <si>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</si>
  <si>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</si>
  <si>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</si>
  <si>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</si>
  <si>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</si>
  <si>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</si>
  <si>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</si>
  <si>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</si>
  <si>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</si>
  <si>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</si>
  <si>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</si>
  <si>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</si>
  <si>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</si>
  <si>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</si>
  <si>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</si>
  <si>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</si>
  <si>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</si>
  <si>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</si>
  <si>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</si>
  <si>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</si>
  <si>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</si>
  <si>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</si>
  <si>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</si>
  <si>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</si>
  <si>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</si>
  <si>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</si>
  <si>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</si>
  <si>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</si>
  <si>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</si>
  <si>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</si>
  <si>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</si>
  <si>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</si>
  <si>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</si>
  <si>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</si>
  <si>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</si>
  <si>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</si>
  <si>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</si>
  <si>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</si>
  <si>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</si>
  <si>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</si>
  <si>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</si>
  <si>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</si>
  <si>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</si>
  <si>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</si>
  <si>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</si>
  <si>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</si>
  <si>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</si>
  <si>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</si>
  <si>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</si>
  <si>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</si>
  <si>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</si>
  <si>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</si>
  <si>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</si>
  <si>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</si>
  <si>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</si>
  <si>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</si>
  <si>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</si>
  <si>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</si>
  <si>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</si>
  <si>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</si>
  <si>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</si>
  <si>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</si>
  <si>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</si>
  <si>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</si>
  <si>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</si>
  <si>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</si>
  <si>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</si>
  <si>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</si>
  <si>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</si>
  <si>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</si>
  <si>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</si>
  <si>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</si>
  <si>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</si>
  <si>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</si>
  <si>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</si>
  <si>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</si>
  <si>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</si>
  <si>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</si>
  <si>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</si>
  <si>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</si>
  <si>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</si>
  <si>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</si>
  <si>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</si>
  <si>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</si>
  <si>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</si>
  <si>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</si>
  <si>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</si>
  <si>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</si>
  <si>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</si>
  <si>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</si>
  <si>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</si>
  <si>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</si>
  <si>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</si>
  <si>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</si>
  <si>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</si>
  <si>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</si>
  <si>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</si>
  <si>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</si>
  <si>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</si>
  <si>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</si>
  <si>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</si>
  <si>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</si>
  <si>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</si>
  <si>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</si>
  <si>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</si>
  <si>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</si>
  <si>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</si>
  <si>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</si>
  <si>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</si>
  <si>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</si>
  <si>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</si>
  <si>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</si>
  <si>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</si>
  <si>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</si>
  <si>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</si>
  <si>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</si>
  <si>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</si>
  <si>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</si>
  <si>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</si>
  <si>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</si>
  <si>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</si>
  <si>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</si>
  <si>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</si>
  <si>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</si>
  <si>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</si>
  <si>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</si>
  <si>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</si>
  <si>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</si>
  <si>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</si>
  <si>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</si>
  <si>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</si>
  <si>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</si>
  <si>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</si>
  <si>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</si>
  <si>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</si>
  <si>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</si>
  <si>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</si>
  <si>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</si>
  <si>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</si>
  <si>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</si>
  <si>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</si>
  <si>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</si>
  <si>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</si>
  <si>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</si>
  <si>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</si>
  <si>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</si>
  <si>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</si>
  <si>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</si>
  <si>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</si>
  <si>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</si>
  <si>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</si>
  <si>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</si>
  <si>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</si>
  <si>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</si>
  <si>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</si>
  <si>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</si>
  <si>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</si>
  <si>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</si>
  <si>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</si>
  <si>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</si>
  <si>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</si>
  <si>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</si>
  <si>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</si>
  <si>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</si>
  <si>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</si>
  <si>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</si>
  <si>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</si>
  <si>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</si>
  <si>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</si>
  <si>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</si>
  <si>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</si>
  <si>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</si>
  <si>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</si>
  <si>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</si>
  <si>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</si>
  <si>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</si>
  <si>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</si>
  <si>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</si>
  <si>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</si>
  <si>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</si>
  <si>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</si>
  <si>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</si>
  <si>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</si>
  <si>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</si>
  <si>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</si>
  <si>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</si>
  <si>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</si>
  <si>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</si>
  <si>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</si>
  <si>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</si>
  <si>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</si>
  <si>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</si>
  <si>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</si>
  <si>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</si>
  <si>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</si>
  <si>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</si>
  <si>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</si>
  <si>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</si>
  <si>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</si>
  <si>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</si>
  <si>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</si>
  <si>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</si>
  <si>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</si>
  <si>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</si>
  <si>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</si>
  <si>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</si>
  <si>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</si>
  <si>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</si>
  <si>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</si>
  <si>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</si>
  <si>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</si>
  <si>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</si>
  <si>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</si>
  <si>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</si>
  <si>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</si>
  <si>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</si>
  <si>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</si>
  <si>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</si>
  <si>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</si>
  <si>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</si>
  <si>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</si>
  <si>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</si>
  <si>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</si>
  <si>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</si>
  <si>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</si>
  <si>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</si>
  <si>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</si>
  <si>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</si>
  <si>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</si>
  <si>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</si>
  <si>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</si>
  <si>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</si>
  <si>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</si>
  <si>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</si>
  <si>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</si>
  <si>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</si>
  <si>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</si>
  <si>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</si>
  <si>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</si>
  <si>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</si>
  <si>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</si>
  <si>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</si>
  <si>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</si>
  <si>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</si>
  <si>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</si>
  <si>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</si>
  <si>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</si>
  <si>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</si>
  <si>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</si>
  <si>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</si>
  <si>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</si>
  <si>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</si>
  <si>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</si>
  <si>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</si>
  <si>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</si>
  <si>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</si>
  <si>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</si>
  <si>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</si>
  <si>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</si>
  <si>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</si>
  <si>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</si>
  <si>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</si>
  <si>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</si>
  <si>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</si>
  <si>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</si>
  <si>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</si>
  <si>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</si>
  <si>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</si>
  <si>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</si>
  <si>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</si>
  <si>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</si>
  <si>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</si>
  <si>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</si>
  <si>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</si>
  <si>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</si>
  <si>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</si>
  <si>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</si>
  <si>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</si>
  <si>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</si>
  <si>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</si>
  <si>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</si>
  <si>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</si>
  <si>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</si>
  <si>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</si>
  <si>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</si>
  <si>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</si>
  <si>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</si>
  <si>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</si>
  <si>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</si>
  <si>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</si>
  <si>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</si>
  <si>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</si>
  <si>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</si>
  <si>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</si>
  <si>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</si>
  <si>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</si>
  <si>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</si>
  <si>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</si>
  <si>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</si>
  <si>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</si>
  <si>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</si>
  <si>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</si>
  <si>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</si>
  <si>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</si>
  <si>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</si>
  <si>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</si>
  <si>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</si>
  <si>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</si>
  <si>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</si>
  <si>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</si>
  <si>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</si>
  <si>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</si>
  <si>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</si>
  <si>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</si>
  <si>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</si>
  <si>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</si>
  <si>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</si>
  <si>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</si>
  <si>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</si>
  <si>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</si>
  <si>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</si>
  <si>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</si>
  <si>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</si>
  <si>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</si>
  <si>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</si>
  <si>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</si>
  <si>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</si>
  <si>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</si>
  <si>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</si>
  <si>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</si>
  <si>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</si>
  <si>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</si>
  <si>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</si>
  <si>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</si>
  <si>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</si>
  <si>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</si>
  <si>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</si>
  <si>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</si>
  <si>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</si>
  <si>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</si>
  <si>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</si>
  <si>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</si>
  <si>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</si>
  <si>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</si>
  <si>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</si>
  <si>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</si>
  <si>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</si>
  <si>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</si>
  <si>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</si>
  <si>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</si>
  <si>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</si>
  <si>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</si>
  <si>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</si>
  <si>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</si>
  <si>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</si>
  <si>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</si>
  <si>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</si>
  <si>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</si>
  <si>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</si>
  <si>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</si>
  <si>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</si>
  <si>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</si>
  <si>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</si>
  <si>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</si>
  <si>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</si>
  <si>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</si>
  <si>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</si>
  <si>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</si>
  <si>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</si>
  <si>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</si>
  <si>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</si>
  <si>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</si>
  <si>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</si>
  <si>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</si>
  <si>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</si>
  <si>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</si>
  <si>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</si>
  <si>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</si>
  <si>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</si>
  <si>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</si>
  <si>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</si>
  <si>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</si>
  <si>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</si>
  <si>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</si>
  <si>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</si>
  <si>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</si>
  <si>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</si>
  <si>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</si>
  <si>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</si>
  <si>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</si>
  <si>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</si>
  <si>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</si>
  <si>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</si>
  <si>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</si>
  <si>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</si>
  <si>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</si>
  <si>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</si>
  <si>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</si>
  <si>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</si>
  <si>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</si>
  <si>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</si>
  <si>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</si>
  <si>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</si>
  <si>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</si>
  <si>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</si>
  <si>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</si>
  <si>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</si>
  <si>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</si>
  <si>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</si>
  <si>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</si>
  <si>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</si>
  <si>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</si>
  <si>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</si>
  <si>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</si>
  <si>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</si>
  <si>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</si>
  <si>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</si>
  <si>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</si>
  <si>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</si>
  <si>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</si>
  <si>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</si>
  <si>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</si>
  <si>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</si>
  <si>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</si>
  <si>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</si>
  <si>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</si>
  <si>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</si>
  <si>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</si>
  <si>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</si>
  <si>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</si>
  <si>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</si>
  <si>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</si>
  <si>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</si>
  <si>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</si>
  <si>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</si>
  <si>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</si>
  <si>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</si>
  <si>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</si>
  <si>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</si>
  <si>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</si>
  <si>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</si>
  <si>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</si>
  <si>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</si>
  <si>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</si>
  <si>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</si>
  <si>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</si>
  <si>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</si>
  <si>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</si>
  <si>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</si>
  <si>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</si>
  <si>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</si>
  <si>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</si>
  <si>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</si>
  <si>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</si>
  <si>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</si>
  <si>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</si>
  <si>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</si>
  <si>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</si>
  <si>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</si>
  <si>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</si>
  <si>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</si>
  <si>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</si>
  <si>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</si>
  <si>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</si>
  <si>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</si>
  <si>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</si>
  <si>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</si>
  <si>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</si>
  <si>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</si>
  <si>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</si>
  <si>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</si>
  <si>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</si>
  <si>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</si>
  <si>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</si>
  <si>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</si>
  <si>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</si>
  <si>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</si>
  <si>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</si>
  <si>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</si>
  <si>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</si>
  <si>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</si>
  <si>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</si>
  <si>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</si>
  <si>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</si>
  <si>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</si>
  <si>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</si>
  <si>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</si>
  <si>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</si>
  <si>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</si>
  <si>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</si>
  <si>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</si>
  <si>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</si>
  <si>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</si>
  <si>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</si>
  <si>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</si>
  <si>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</si>
  <si>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</si>
  <si>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</si>
  <si>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</si>
  <si>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</si>
  <si>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</si>
  <si>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</si>
  <si>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</si>
  <si>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</si>
  <si>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</si>
  <si>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</si>
  <si>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</si>
  <si>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</si>
  <si>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</si>
  <si>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</si>
  <si>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</si>
  <si>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</si>
  <si>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</si>
  <si>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</si>
  <si>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</si>
  <si>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</si>
  <si>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</si>
  <si>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</si>
  <si>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</si>
  <si>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</si>
  <si>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</si>
  <si>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</si>
  <si>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</si>
  <si>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</si>
  <si>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</si>
  <si>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</si>
  <si>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</si>
  <si>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</si>
  <si>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</si>
  <si>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</si>
  <si>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</si>
  <si>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</si>
  <si>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</si>
  <si>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</si>
  <si>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</si>
  <si>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</si>
  <si>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</si>
  <si>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</si>
  <si>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</si>
  <si>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</si>
  <si>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</si>
  <si>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</si>
  <si>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</si>
  <si>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</si>
  <si>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</si>
  <si>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</si>
  <si>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</si>
  <si>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</si>
  <si>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</si>
  <si>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</si>
  <si>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</si>
  <si>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</si>
  <si>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</si>
  <si>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</si>
  <si>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</si>
  <si>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</si>
  <si>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</si>
  <si>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</si>
  <si>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</si>
  <si>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</si>
  <si>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</si>
  <si>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</si>
  <si>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</si>
  <si>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</si>
  <si>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</si>
  <si>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</si>
  <si>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</si>
  <si>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</si>
  <si>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</si>
  <si>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</si>
  <si>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</si>
  <si>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</si>
  <si>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</si>
  <si>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</si>
  <si>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</si>
  <si>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</si>
  <si>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</si>
  <si>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</si>
  <si>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</si>
  <si>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</si>
  <si>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</si>
  <si>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</si>
  <si>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</si>
  <si>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</si>
  <si>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</si>
  <si>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t>
  </si>
  <si>
    <t>划线器装到迪拜 CO 保险单 箱子底部检查好 严防生锈问题，挑选合格的集装箱 申请14天免用箱 同J4143</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</si>
  <si>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</si>
  <si>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</si>
  <si>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</si>
  <si>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</si>
  <si>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</si>
  <si>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</si>
  <si>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</si>
  <si>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</si>
  <si>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</si>
  <si>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</si>
  <si>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</si>
  <si>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</si>
  <si>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</si>
  <si>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</si>
  <si>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</si>
  <si>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</si>
  <si>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</si>
  <si>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</si>
  <si>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</si>
  <si>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</si>
  <si>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</si>
  <si>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</si>
  <si>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</si>
  <si>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</si>
  <si>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</si>
  <si>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</si>
  <si>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</si>
  <si>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</si>
  <si>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</si>
  <si>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</si>
  <si>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</si>
  <si>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</si>
  <si>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</si>
  <si>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</si>
  <si>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</si>
  <si>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</si>
  <si>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</si>
  <si>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</si>
  <si>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</si>
  <si>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</si>
  <si>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</si>
  <si>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</si>
  <si>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</si>
  <si>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</si>
  <si>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</si>
  <si>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</si>
  <si>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</si>
  <si>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</si>
  <si>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</si>
  <si>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r>
      <rPr>
        <sz val="8"/>
        <color rgb="FFFF0000"/>
        <rFont val="宋体"/>
        <charset val="134"/>
      </rPr>
      <t>8号装箱</t>
    </r>
    <r>
      <rPr>
        <sz val="8"/>
        <rFont val="宋体"/>
        <charset val="134"/>
      </rPr>
      <t xml:space="preserve"> 新厂装箱 货好 以放舱报数据时间待更新预计10号 预计3/4号货好 目的港Hazira？做金凯抬头FB 低报发票按客户给的做 同J4101</t>
    </r>
  </si>
  <si>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</si>
  <si>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</si>
  <si>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</si>
  <si>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</si>
  <si>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</si>
  <si>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</si>
  <si>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</si>
  <si>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t>form E 提单显示26.66吨 申请21天免用箱 柜子少可以申请14天免用箱  同J4146 4200</t>
  </si>
  <si>
    <t>J4221-1</t>
  </si>
  <si>
    <t>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</si>
  <si>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</si>
  <si>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</si>
  <si>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</si>
  <si>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</si>
  <si>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</si>
  <si>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</si>
  <si>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</si>
  <si>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</si>
  <si>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</si>
  <si>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</si>
  <si>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</si>
  <si>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</si>
  <si>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</si>
  <si>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</si>
  <si>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</si>
  <si>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</si>
  <si>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</si>
  <si>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</si>
  <si>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</si>
  <si>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</si>
  <si>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</si>
  <si>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</si>
  <si>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</si>
  <si>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</si>
  <si>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</si>
  <si>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</si>
  <si>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</si>
  <si>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</si>
  <si>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</si>
  <si>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</si>
  <si>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</si>
  <si>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货好</t>
  </si>
  <si>
    <t>J4231-3</t>
  </si>
  <si>
    <r>
      <rPr>
        <sz val="8"/>
        <rFont val="Arial"/>
        <charset val="134"/>
      </rPr>
      <t xml:space="preserve">1x40H </t>
    </r>
    <r>
      <rPr>
        <sz val="8"/>
        <rFont val="宋体"/>
        <charset val="134"/>
      </rPr>
      <t>小付骨</t>
    </r>
  </si>
  <si>
    <t>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</si>
  <si>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</si>
  <si>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</si>
  <si>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</si>
  <si>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</si>
  <si>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</si>
  <si>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</si>
  <si>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</si>
  <si>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</si>
  <si>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</si>
  <si>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</si>
  <si>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</si>
  <si>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</si>
  <si>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</si>
  <si>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</si>
  <si>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</si>
  <si>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</si>
  <si>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</si>
  <si>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</si>
  <si>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</si>
  <si>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</si>
  <si>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</si>
  <si>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</si>
  <si>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</si>
  <si>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同J4190 J4203</t>
  </si>
  <si>
    <t>J4254</t>
  </si>
  <si>
    <t>新厂装箱 要在靠近柜门的所有箱子上贴小标贴和A4纸 箱单发票签字盖章扫描 电放低报CCPIT CO，低报做CIF不显示运费 客户要求显示HScode 同J4161 4228</t>
  </si>
  <si>
    <r>
      <rPr>
        <sz val="8"/>
        <color theme="1"/>
        <rFont val="宋体"/>
        <charset val="134"/>
      </rPr>
      <t>迪斯泰订舱</t>
    </r>
    <r>
      <rPr>
        <sz val="8"/>
        <color theme="1"/>
        <rFont val="Arial"/>
        <charset val="134"/>
      </rPr>
      <t>MSC4982/4985</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</si>
  <si>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</si>
  <si>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</si>
  <si>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</si>
  <si>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</si>
  <si>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</si>
  <si>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</si>
  <si>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</si>
  <si>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</si>
  <si>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</si>
  <si>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</si>
  <si>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</si>
  <si>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深圳华海订舱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</si>
  <si>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</si>
  <si>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</si>
  <si>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</si>
  <si>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</si>
  <si>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</si>
  <si>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</si>
  <si>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</si>
  <si>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</si>
  <si>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</si>
  <si>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</si>
  <si>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</si>
  <si>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</si>
  <si>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</si>
  <si>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</si>
  <si>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</si>
  <si>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</si>
  <si>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</si>
  <si>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</si>
  <si>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</si>
  <si>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</si>
  <si>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</si>
  <si>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</si>
  <si>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</si>
  <si>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</si>
  <si>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</si>
  <si>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</si>
  <si>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</si>
  <si>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</si>
  <si>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</si>
  <si>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</si>
  <si>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</si>
  <si>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</si>
  <si>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</si>
  <si>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</si>
  <si>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</si>
  <si>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</si>
  <si>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</si>
  <si>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</si>
  <si>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</si>
  <si>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5号装箱8号上午报数据</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</si>
  <si>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</si>
  <si>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</si>
  <si>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</si>
  <si>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</si>
  <si>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</si>
  <si>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</si>
  <si>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</si>
  <si>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</si>
  <si>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</si>
  <si>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</si>
  <si>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</si>
  <si>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</si>
  <si>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</si>
  <si>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</si>
  <si>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</si>
  <si>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</si>
  <si>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</si>
  <si>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</si>
  <si>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</si>
  <si>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</si>
  <si>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</si>
  <si>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</si>
  <si>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</si>
  <si>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</si>
  <si>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</si>
  <si>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</si>
  <si>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</si>
  <si>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</si>
  <si>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</si>
  <si>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</si>
  <si>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</si>
  <si>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</si>
  <si>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</si>
  <si>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</si>
  <si>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</si>
  <si>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</si>
  <si>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</si>
  <si>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</si>
  <si>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</si>
  <si>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</si>
  <si>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</si>
  <si>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</si>
  <si>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</si>
  <si>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</si>
  <si>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</si>
  <si>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</si>
  <si>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</si>
  <si>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</si>
  <si>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</si>
  <si>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</si>
  <si>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</si>
  <si>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</si>
  <si>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</si>
  <si>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</si>
  <si>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</si>
  <si>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</si>
  <si>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</si>
  <si>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</si>
  <si>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</si>
  <si>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</si>
  <si>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</si>
  <si>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</si>
  <si>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</si>
  <si>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</si>
  <si>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</si>
  <si>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</si>
  <si>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</si>
  <si>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</si>
  <si>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</si>
  <si>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</si>
  <si>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</si>
  <si>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</si>
  <si>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</si>
  <si>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</si>
  <si>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</si>
  <si>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</si>
  <si>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</si>
  <si>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</si>
  <si>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</si>
  <si>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</si>
  <si>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</si>
  <si>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</si>
  <si>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</si>
  <si>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</si>
  <si>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</si>
  <si>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</si>
  <si>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</si>
  <si>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</si>
  <si>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</si>
  <si>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</si>
  <si>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</si>
  <si>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</si>
  <si>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</si>
  <si>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</si>
  <si>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</si>
  <si>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</si>
  <si>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</si>
  <si>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</si>
  <si>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</si>
  <si>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</si>
  <si>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</si>
  <si>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</si>
  <si>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</si>
  <si>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</si>
  <si>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</si>
  <si>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</si>
  <si>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</si>
  <si>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</si>
  <si>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</si>
  <si>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</si>
  <si>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</si>
  <si>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</si>
  <si>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</si>
  <si>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</si>
  <si>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</si>
  <si>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</si>
  <si>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</si>
  <si>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</si>
  <si>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</si>
  <si>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</si>
  <si>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</si>
  <si>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</si>
  <si>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</si>
  <si>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</si>
  <si>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</si>
  <si>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</si>
  <si>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</si>
  <si>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</si>
  <si>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</si>
  <si>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</si>
  <si>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</si>
  <si>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</si>
  <si>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</si>
  <si>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</si>
  <si>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</si>
  <si>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</si>
  <si>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</si>
  <si>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</si>
  <si>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</si>
  <si>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</si>
  <si>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</si>
  <si>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</si>
  <si>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</si>
  <si>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</si>
  <si>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</si>
  <si>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</si>
  <si>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</si>
  <si>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</si>
  <si>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</si>
  <si>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</si>
  <si>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</si>
  <si>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</si>
  <si>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</si>
  <si>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</si>
  <si>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</si>
  <si>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</si>
  <si>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</si>
  <si>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</si>
  <si>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</si>
  <si>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</si>
  <si>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</si>
  <si>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</si>
  <si>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</si>
  <si>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</si>
  <si>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</si>
  <si>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</si>
  <si>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</si>
  <si>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</si>
  <si>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</si>
  <si>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</si>
  <si>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</si>
  <si>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</si>
  <si>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</si>
  <si>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</si>
  <si>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</si>
  <si>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</si>
  <si>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</si>
  <si>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</si>
  <si>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</si>
  <si>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</si>
  <si>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</si>
  <si>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</si>
  <si>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</si>
  <si>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</si>
  <si>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</si>
  <si>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</si>
  <si>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</si>
  <si>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</si>
  <si>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</si>
  <si>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</si>
  <si>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</si>
  <si>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</si>
  <si>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</si>
  <si>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</si>
  <si>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</si>
  <si>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</si>
  <si>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</si>
  <si>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</si>
  <si>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</si>
  <si>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</si>
  <si>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</si>
  <si>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</si>
  <si>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</si>
  <si>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</si>
  <si>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</si>
  <si>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</si>
  <si>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</si>
  <si>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</si>
  <si>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</si>
  <si>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</si>
  <si>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</si>
  <si>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</si>
  <si>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</si>
  <si>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</si>
  <si>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</si>
  <si>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</si>
  <si>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</si>
  <si>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</si>
  <si>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</si>
  <si>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</si>
  <si>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</si>
  <si>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</si>
  <si>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</si>
  <si>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</si>
  <si>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</si>
  <si>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</si>
  <si>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</si>
  <si>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</si>
  <si>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</si>
  <si>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</si>
  <si>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</si>
  <si>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</si>
  <si>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</si>
  <si>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</si>
  <si>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</si>
  <si>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</si>
  <si>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</si>
  <si>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</si>
  <si>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</si>
  <si>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</si>
  <si>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</si>
  <si>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</si>
  <si>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</si>
  <si>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</si>
  <si>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</si>
  <si>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</si>
  <si>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</si>
  <si>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</si>
  <si>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</si>
  <si>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</si>
  <si>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</si>
  <si>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</si>
  <si>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</si>
  <si>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</si>
  <si>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</si>
  <si>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rFont val="宋体"/>
        <charset val="134"/>
      </rPr>
      <t xml:space="preserve">大概6.8货好 </t>
    </r>
    <r>
      <rPr>
        <sz val="8"/>
        <color rgb="FFFF0000"/>
        <rFont val="宋体"/>
        <charset val="134"/>
      </rPr>
      <t>走9710， 开票退税</t>
    </r>
    <r>
      <rPr>
        <sz val="8"/>
        <rFont val="宋体"/>
        <charset val="134"/>
      </rPr>
      <t xml:space="preserve">  CCPIT CO SC证书，等信电放提单 其他单据不邮寄 同X4025 X3782-1</t>
    </r>
  </si>
  <si>
    <t>指定代理cathy订舱</t>
  </si>
  <si>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</si>
  <si>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</si>
  <si>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</si>
  <si>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</si>
  <si>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</si>
  <si>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</si>
  <si>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</si>
  <si>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</si>
  <si>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</si>
  <si>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</si>
  <si>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</si>
  <si>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</si>
  <si>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</si>
  <si>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</si>
  <si>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</si>
  <si>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</si>
  <si>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</si>
  <si>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</si>
  <si>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</si>
  <si>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</si>
  <si>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</si>
  <si>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</si>
  <si>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</si>
  <si>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</si>
  <si>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</si>
  <si>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</si>
  <si>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</si>
  <si>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</si>
  <si>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</si>
  <si>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</si>
  <si>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</si>
  <si>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</si>
  <si>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</si>
  <si>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</si>
  <si>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</si>
  <si>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</si>
  <si>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</si>
  <si>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</si>
  <si>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</si>
  <si>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</si>
  <si>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</si>
  <si>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</si>
  <si>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</si>
  <si>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</si>
  <si>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</si>
  <si>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</si>
  <si>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</si>
  <si>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</si>
  <si>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</si>
  <si>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</si>
  <si>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</si>
  <si>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</si>
  <si>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</si>
  <si>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</si>
  <si>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</si>
  <si>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</si>
  <si>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</si>
  <si>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</si>
  <si>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</si>
  <si>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</si>
  <si>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</si>
  <si>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</si>
  <si>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</si>
  <si>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</si>
  <si>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</si>
  <si>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</si>
  <si>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</si>
  <si>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</si>
  <si>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</si>
  <si>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</si>
  <si>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</si>
  <si>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</si>
  <si>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</si>
  <si>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</si>
  <si>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</si>
  <si>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</si>
  <si>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</si>
  <si>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</si>
  <si>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</si>
  <si>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</si>
  <si>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</si>
  <si>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</si>
  <si>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</si>
  <si>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</si>
  <si>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</si>
  <si>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</si>
  <si>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</si>
  <si>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</si>
  <si>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</si>
  <si>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</si>
  <si>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</si>
  <si>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</si>
  <si>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</si>
  <si>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</si>
  <si>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</si>
  <si>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</si>
  <si>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</si>
  <si>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</si>
  <si>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</si>
  <si>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</si>
  <si>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</si>
  <si>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</si>
  <si>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</si>
  <si>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</si>
  <si>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</si>
  <si>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</si>
  <si>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</si>
  <si>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</si>
  <si>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</si>
  <si>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</si>
  <si>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</si>
  <si>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</si>
  <si>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</si>
  <si>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</si>
  <si>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</si>
  <si>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</si>
  <si>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</si>
  <si>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</si>
  <si>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</si>
  <si>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</si>
  <si>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</si>
  <si>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</si>
  <si>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</si>
  <si>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</si>
  <si>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</si>
  <si>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</si>
  <si>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</si>
  <si>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</si>
  <si>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</si>
  <si>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</si>
  <si>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</si>
  <si>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</si>
  <si>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</si>
  <si>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</si>
  <si>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</si>
  <si>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</si>
  <si>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</si>
  <si>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</si>
  <si>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</si>
  <si>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</si>
  <si>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</si>
  <si>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</si>
  <si>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</si>
  <si>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</si>
  <si>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</si>
  <si>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</si>
  <si>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</si>
  <si>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</si>
  <si>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</si>
  <si>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</si>
  <si>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</si>
  <si>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</si>
  <si>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</si>
  <si>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</si>
  <si>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</si>
  <si>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</si>
  <si>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</si>
  <si>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</si>
  <si>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</si>
  <si>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</si>
  <si>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</si>
  <si>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</si>
  <si>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</si>
  <si>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</si>
  <si>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</si>
  <si>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</si>
  <si>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</si>
  <si>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</si>
  <si>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</si>
  <si>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</si>
  <si>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</si>
  <si>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</si>
  <si>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</si>
  <si>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</si>
  <si>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</si>
  <si>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</si>
  <si>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</si>
  <si>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</si>
  <si>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</si>
  <si>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</si>
  <si>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</si>
  <si>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</si>
  <si>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</si>
  <si>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</si>
  <si>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</si>
  <si>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</si>
  <si>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</si>
  <si>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</si>
  <si>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</si>
  <si>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</si>
  <si>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</si>
  <si>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</si>
  <si>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</si>
  <si>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</si>
  <si>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</si>
  <si>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</si>
  <si>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</si>
  <si>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</si>
  <si>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</si>
  <si>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</si>
  <si>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</si>
  <si>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</si>
  <si>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</si>
  <si>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</si>
  <si>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</si>
  <si>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</si>
  <si>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</si>
  <si>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</si>
  <si>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</si>
  <si>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</si>
  <si>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</si>
  <si>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</si>
  <si>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</si>
  <si>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</si>
  <si>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</si>
  <si>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</si>
  <si>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</si>
  <si>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</si>
  <si>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</si>
  <si>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</si>
  <si>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</si>
  <si>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</si>
  <si>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</si>
  <si>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</si>
  <si>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</si>
  <si>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</si>
  <si>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</si>
  <si>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</si>
  <si>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</si>
  <si>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</si>
  <si>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</si>
  <si>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</si>
  <si>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</si>
  <si>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</si>
  <si>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</si>
  <si>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</si>
  <si>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</si>
  <si>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</si>
  <si>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</si>
  <si>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</si>
  <si>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</si>
  <si>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</si>
  <si>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</si>
  <si>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</si>
  <si>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</si>
  <si>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</si>
  <si>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</si>
  <si>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</si>
  <si>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</si>
  <si>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</si>
  <si>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</si>
  <si>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</si>
  <si>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</si>
  <si>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</si>
  <si>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</si>
  <si>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</si>
  <si>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</si>
  <si>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</si>
  <si>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</si>
  <si>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</si>
  <si>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</si>
  <si>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</si>
  <si>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</si>
  <si>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</si>
  <si>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</si>
  <si>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</si>
  <si>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</si>
  <si>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</si>
  <si>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</si>
  <si>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</si>
  <si>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</si>
  <si>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</si>
  <si>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</si>
  <si>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</si>
  <si>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</si>
  <si>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</si>
  <si>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</si>
  <si>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</si>
  <si>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</si>
  <si>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</si>
  <si>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</si>
  <si>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</si>
  <si>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</si>
  <si>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</si>
  <si>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</si>
  <si>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</si>
  <si>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</si>
  <si>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</si>
  <si>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</si>
  <si>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</si>
  <si>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</si>
  <si>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</si>
  <si>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</si>
  <si>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</si>
  <si>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</si>
  <si>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</si>
  <si>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</si>
  <si>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</si>
  <si>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</si>
  <si>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</si>
  <si>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</si>
  <si>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</si>
  <si>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</si>
  <si>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</si>
  <si>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</si>
  <si>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</si>
  <si>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</si>
  <si>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</si>
  <si>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</si>
  <si>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</si>
  <si>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</si>
  <si>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</si>
  <si>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</si>
  <si>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</si>
  <si>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</si>
  <si>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</si>
  <si>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</si>
  <si>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</si>
  <si>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</si>
  <si>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</si>
  <si>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</si>
  <si>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</si>
  <si>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</si>
  <si>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</si>
  <si>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</si>
  <si>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</si>
  <si>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</si>
  <si>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</si>
  <si>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</si>
  <si>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</si>
  <si>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</si>
  <si>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</si>
  <si>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</si>
  <si>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</si>
  <si>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</si>
  <si>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</si>
  <si>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</si>
  <si>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</si>
  <si>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</si>
  <si>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</si>
  <si>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</si>
  <si>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</si>
  <si>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</si>
  <si>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</si>
  <si>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</si>
  <si>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</si>
  <si>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</si>
  <si>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</si>
  <si>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</si>
  <si>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</si>
  <si>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</si>
  <si>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</si>
  <si>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</si>
  <si>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</si>
  <si>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</si>
  <si>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</si>
  <si>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</si>
  <si>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</si>
  <si>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</si>
  <si>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</si>
  <si>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</si>
  <si>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</si>
  <si>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</si>
  <si>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</si>
  <si>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</si>
  <si>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</si>
  <si>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</si>
  <si>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</si>
  <si>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</si>
  <si>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</si>
  <si>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</si>
  <si>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</si>
  <si>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</si>
  <si>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</si>
  <si>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</si>
  <si>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</si>
  <si>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</si>
  <si>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</si>
  <si>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</si>
  <si>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</si>
  <si>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</si>
  <si>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</si>
  <si>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</si>
  <si>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</si>
  <si>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</si>
  <si>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</si>
  <si>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</si>
  <si>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</si>
  <si>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</si>
  <si>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</si>
  <si>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</si>
  <si>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</si>
  <si>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</si>
  <si>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</si>
  <si>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</si>
  <si>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</si>
  <si>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</si>
  <si>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</si>
  <si>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</si>
  <si>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</si>
  <si>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</si>
  <si>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</si>
  <si>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</si>
  <si>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</si>
  <si>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</si>
  <si>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</si>
  <si>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</si>
  <si>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</si>
  <si>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</si>
  <si>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</si>
  <si>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</si>
  <si>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</si>
  <si>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</si>
  <si>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</si>
  <si>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</si>
  <si>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</si>
  <si>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</si>
  <si>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</si>
  <si>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</si>
  <si>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</si>
  <si>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</si>
  <si>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</si>
  <si>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</si>
  <si>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</si>
  <si>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</si>
  <si>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</si>
  <si>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</si>
  <si>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</si>
  <si>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</si>
  <si>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</si>
  <si>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</si>
  <si>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</si>
  <si>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</si>
  <si>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</si>
  <si>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</si>
  <si>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</si>
  <si>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</si>
  <si>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</si>
  <si>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</si>
  <si>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</si>
  <si>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</si>
  <si>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</si>
  <si>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</si>
  <si>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</si>
  <si>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</si>
  <si>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</si>
  <si>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</si>
  <si>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</si>
  <si>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</si>
  <si>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</si>
  <si>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</si>
  <si>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</si>
  <si>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</si>
  <si>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</si>
  <si>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</si>
  <si>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</si>
  <si>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</si>
  <si>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</si>
  <si>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</si>
  <si>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</si>
  <si>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</si>
  <si>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</si>
  <si>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</si>
  <si>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</si>
  <si>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</si>
  <si>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</si>
  <si>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</si>
  <si>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</si>
  <si>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</si>
  <si>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</si>
  <si>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</si>
  <si>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</si>
  <si>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</si>
  <si>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</si>
  <si>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</si>
  <si>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</si>
  <si>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</si>
  <si>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</si>
  <si>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</si>
  <si>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</si>
  <si>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</si>
  <si>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</si>
  <si>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</si>
  <si>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</si>
  <si>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</si>
  <si>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</si>
  <si>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</si>
  <si>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</si>
  <si>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</si>
  <si>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</si>
  <si>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</si>
  <si>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</si>
  <si>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</si>
  <si>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</si>
  <si>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</si>
  <si>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</si>
  <si>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</si>
  <si>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</si>
  <si>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</si>
  <si>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</si>
  <si>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</si>
  <si>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</si>
  <si>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</si>
  <si>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</si>
  <si>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</si>
  <si>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</si>
  <si>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</si>
  <si>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</si>
  <si>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</si>
  <si>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</si>
  <si>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</si>
  <si>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</si>
  <si>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</si>
  <si>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</si>
  <si>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</si>
  <si>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</si>
  <si>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</si>
  <si>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</si>
  <si>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</si>
  <si>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</si>
  <si>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</si>
  <si>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</si>
  <si>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</si>
  <si>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</si>
  <si>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</si>
  <si>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</si>
  <si>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</si>
  <si>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</si>
  <si>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</si>
  <si>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</si>
  <si>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</si>
  <si>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</si>
  <si>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</si>
  <si>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</si>
  <si>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</si>
  <si>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</si>
  <si>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</si>
  <si>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</si>
  <si>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</si>
  <si>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</si>
  <si>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</si>
  <si>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</si>
  <si>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</si>
  <si>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</si>
  <si>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</si>
  <si>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</si>
  <si>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</si>
  <si>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</si>
  <si>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</si>
  <si>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
  </si>
  <si>
    <r>
      <rPr>
        <sz val="8"/>
        <rFont val="华文宋体"/>
        <charset val="134"/>
      </rPr>
      <t>尼日利亚</t>
    </r>
    <r>
      <rPr>
        <sz val="8"/>
        <rFont val="Arial"/>
        <charset val="134"/>
      </rPr>
      <t xml:space="preserve"> Gbadetrade(Gbadebo)</t>
    </r>
  </si>
  <si>
    <t>X3321</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</si>
  <si>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</si>
  <si>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</si>
  <si>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</si>
  <si>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</si>
  <si>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</si>
  <si>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</si>
  <si>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</si>
  <si>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</si>
  <si>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</si>
  <si>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</si>
  <si>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</si>
  <si>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</si>
  <si>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</si>
  <si>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</si>
  <si>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</si>
  <si>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</si>
  <si>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</si>
  <si>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</si>
  <si>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</si>
  <si>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</si>
  <si>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</si>
  <si>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</si>
  <si>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</si>
  <si>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</si>
  <si>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</si>
  <si>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</si>
  <si>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</si>
  <si>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</si>
  <si>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</si>
  <si>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</si>
  <si>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</si>
  <si>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</si>
  <si>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</si>
  <si>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</si>
  <si>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</si>
  <si>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</si>
  <si>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</si>
  <si>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</si>
  <si>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</si>
  <si>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</si>
  <si>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</si>
  <si>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</si>
  <si>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</si>
  <si>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</si>
  <si>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</si>
  <si>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</si>
  <si>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</si>
  <si>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</si>
  <si>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</si>
  <si>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</si>
  <si>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</si>
  <si>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</si>
  <si>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</si>
  <si>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</si>
  <si>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</si>
  <si>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</si>
  <si>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</si>
  <si>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</si>
  <si>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</si>
  <si>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</si>
  <si>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</si>
  <si>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</si>
  <si>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</si>
  <si>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</si>
  <si>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</si>
  <si>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</si>
  <si>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</si>
  <si>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</si>
  <si>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</si>
  <si>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</si>
  <si>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</si>
  <si>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</si>
  <si>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</si>
  <si>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</si>
  <si>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</si>
  <si>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</si>
  <si>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</si>
  <si>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</si>
  <si>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</si>
  <si>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</si>
  <si>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</si>
  <si>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</si>
  <si>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</si>
  <si>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</si>
  <si>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</si>
  <si>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</si>
  <si>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</si>
  <si>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</si>
  <si>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</si>
  <si>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</si>
  <si>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</si>
  <si>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</si>
  <si>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</si>
  <si>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</si>
  <si>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</si>
  <si>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</si>
  <si>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</si>
  <si>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</si>
  <si>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</si>
  <si>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</si>
  <si>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</si>
  <si>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</si>
  <si>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</si>
  <si>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</si>
  <si>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</si>
  <si>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</si>
  <si>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</si>
  <si>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</si>
  <si>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</si>
  <si>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</si>
  <si>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</si>
  <si>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</si>
  <si>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</si>
  <si>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</si>
  <si>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</si>
  <si>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</si>
  <si>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</si>
  <si>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</si>
  <si>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</si>
  <si>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</si>
  <si>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</si>
  <si>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</si>
  <si>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</si>
  <si>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</si>
  <si>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</si>
  <si>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</si>
  <si>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</si>
  <si>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</si>
  <si>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</si>
  <si>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</si>
  <si>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</si>
  <si>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</si>
  <si>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</si>
  <si>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</si>
  <si>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</si>
  <si>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</si>
  <si>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</si>
  <si>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</si>
  <si>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</si>
  <si>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</si>
  <si>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</si>
  <si>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</si>
  <si>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</si>
  <si>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</si>
  <si>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</si>
  <si>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</si>
  <si>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</si>
  <si>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</si>
  <si>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</si>
  <si>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</si>
  <si>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</si>
  <si>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</si>
  <si>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</si>
  <si>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</si>
  <si>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</si>
  <si>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</si>
  <si>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</si>
  <si>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</si>
  <si>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</si>
  <si>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</si>
  <si>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</si>
  <si>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</si>
  <si>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</si>
  <si>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</si>
  <si>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</si>
  <si>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</si>
  <si>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</si>
  <si>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</si>
  <si>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</si>
  <si>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</si>
  <si>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</si>
  <si>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</si>
  <si>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</si>
  <si>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</si>
  <si>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</si>
  <si>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</si>
  <si>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</si>
  <si>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</si>
  <si>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</si>
  <si>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</si>
  <si>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</si>
  <si>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</si>
  <si>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</si>
  <si>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</si>
  <si>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</si>
  <si>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</si>
  <si>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</si>
  <si>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</si>
  <si>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</si>
  <si>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</si>
  <si>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</si>
  <si>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</si>
  <si>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</si>
  <si>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</si>
  <si>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</si>
  <si>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</si>
  <si>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</si>
  <si>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</si>
  <si>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</si>
  <si>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</si>
  <si>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</si>
  <si>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</si>
  <si>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</si>
  <si>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</si>
  <si>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</si>
  <si>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</si>
  <si>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</si>
  <si>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</si>
  <si>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</si>
  <si>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</si>
  <si>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</si>
  <si>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</si>
  <si>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</si>
  <si>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</si>
  <si>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</si>
  <si>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</si>
  <si>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</si>
  <si>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</si>
  <si>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</si>
  <si>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</si>
  <si>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</si>
  <si>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</si>
  <si>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</si>
  <si>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</si>
  <si>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</si>
  <si>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</si>
  <si>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</si>
  <si>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</si>
  <si>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</si>
  <si>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</si>
  <si>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</si>
  <si>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</si>
  <si>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</si>
  <si>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</si>
  <si>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</si>
  <si>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</si>
  <si>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</si>
  <si>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</si>
  <si>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</si>
  <si>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</si>
  <si>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</si>
  <si>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</si>
  <si>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</si>
  <si>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</si>
  <si>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</si>
  <si>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</si>
  <si>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</si>
  <si>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</si>
  <si>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</si>
  <si>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</si>
  <si>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</si>
  <si>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</si>
  <si>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</si>
  <si>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</si>
  <si>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</si>
  <si>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</si>
  <si>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</si>
  <si>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</si>
  <si>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</si>
  <si>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</si>
  <si>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</si>
  <si>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</si>
  <si>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</si>
  <si>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</si>
  <si>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</si>
  <si>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</si>
  <si>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</si>
  <si>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</si>
  <si>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</si>
  <si>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</si>
  <si>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</si>
  <si>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</si>
  <si>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</si>
  <si>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</si>
  <si>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</si>
  <si>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</si>
  <si>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</si>
  <si>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</si>
  <si>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</si>
  <si>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</si>
  <si>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</si>
  <si>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</si>
  <si>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</si>
  <si>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</si>
  <si>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</si>
  <si>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</si>
  <si>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</si>
  <si>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</si>
  <si>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</si>
  <si>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</si>
  <si>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</si>
  <si>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</si>
  <si>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</si>
  <si>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</si>
  <si>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</si>
  <si>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</si>
  <si>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</si>
  <si>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</si>
  <si>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</si>
  <si>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</si>
  <si>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</si>
  <si>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</si>
  <si>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</si>
  <si>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</si>
  <si>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</si>
  <si>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</si>
  <si>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</si>
  <si>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</si>
  <si>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</si>
  <si>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</si>
  <si>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</si>
  <si>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</si>
  <si>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</si>
  <si>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</si>
  <si>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</si>
  <si>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</si>
  <si>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</si>
  <si>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</si>
  <si>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</si>
  <si>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</si>
  <si>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</si>
  <si>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</si>
  <si>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</si>
  <si>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</si>
  <si>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</si>
  <si>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</si>
  <si>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</si>
  <si>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</si>
  <si>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</si>
  <si>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</si>
  <si>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</si>
  <si>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</si>
  <si>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</si>
  <si>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</si>
  <si>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</si>
  <si>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</si>
  <si>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</si>
  <si>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</si>
  <si>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</si>
  <si>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</si>
  <si>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</si>
  <si>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</si>
  <si>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</si>
  <si>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</si>
  <si>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</si>
  <si>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</si>
  <si>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</si>
  <si>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</si>
  <si>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</si>
  <si>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</si>
  <si>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</si>
  <si>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</si>
  <si>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</si>
  <si>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</si>
  <si>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</si>
  <si>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</si>
  <si>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</si>
  <si>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</si>
  <si>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</si>
  <si>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</si>
  <si>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</si>
  <si>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</si>
  <si>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</si>
  <si>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</si>
  <si>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</si>
  <si>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</si>
  <si>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</si>
  <si>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</si>
  <si>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</si>
  <si>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</si>
  <si>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</si>
  <si>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</si>
  <si>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</si>
  <si>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</si>
  <si>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</si>
  <si>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</si>
  <si>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</si>
  <si>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</si>
  <si>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</si>
  <si>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</si>
  <si>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</si>
  <si>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</si>
  <si>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</si>
  <si>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</si>
  <si>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</si>
  <si>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</si>
  <si>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</si>
  <si>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</si>
  <si>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</si>
  <si>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</si>
  <si>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</si>
  <si>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</si>
  <si>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</si>
  <si>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</si>
  <si>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</si>
  <si>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</si>
  <si>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</si>
  <si>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</si>
  <si>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</si>
  <si>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</si>
  <si>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</si>
  <si>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</si>
  <si>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</si>
  <si>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</si>
  <si>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</si>
  <si>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</si>
  <si>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</si>
  <si>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</si>
  <si>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</si>
  <si>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</si>
  <si>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</si>
  <si>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</si>
  <si>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</si>
  <si>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</si>
  <si>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</si>
  <si>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</si>
  <si>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</si>
  <si>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</si>
  <si>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</si>
  <si>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</si>
  <si>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</si>
  <si>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</si>
  <si>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</si>
  <si>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</si>
  <si>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</si>
  <si>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</si>
  <si>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</si>
  <si>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</si>
  <si>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</si>
  <si>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</si>
  <si>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</si>
  <si>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</si>
  <si>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</si>
  <si>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</si>
  <si>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</si>
  <si>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</si>
  <si>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</si>
  <si>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</si>
  <si>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</si>
  <si>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</si>
  <si>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</si>
  <si>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</si>
  <si>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</si>
  <si>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</si>
  <si>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</si>
  <si>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</si>
  <si>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</si>
  <si>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</si>
  <si>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</si>
  <si>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</si>
  <si>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</si>
  <si>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</si>
  <si>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</si>
  <si>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</si>
  <si>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</si>
  <si>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</si>
  <si>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</si>
  <si>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</si>
  <si>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</si>
  <si>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</si>
  <si>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</si>
  <si>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</si>
  <si>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</si>
  <si>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</si>
  <si>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</si>
  <si>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</si>
  <si>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</si>
  <si>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</si>
  <si>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</si>
  <si>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</si>
  <si>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</si>
  <si>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</si>
  <si>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</si>
  <si>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</si>
  <si>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</si>
  <si>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</si>
  <si>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</si>
  <si>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</si>
  <si>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</si>
  <si>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</si>
  <si>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</si>
  <si>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</si>
  <si>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</si>
  <si>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</si>
  <si>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</si>
  <si>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</si>
  <si>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</si>
  <si>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</si>
  <si>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</si>
  <si>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</si>
  <si>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</si>
  <si>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</si>
  <si>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</si>
  <si>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</si>
  <si>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</si>
  <si>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</si>
  <si>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</si>
  <si>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</si>
  <si>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</si>
  <si>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</si>
  <si>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</si>
  <si>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</si>
  <si>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</si>
  <si>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</si>
  <si>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</si>
  <si>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</si>
  <si>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</si>
  <si>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</si>
  <si>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</si>
  <si>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</si>
  <si>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</si>
  <si>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</si>
  <si>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</si>
  <si>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</si>
  <si>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</si>
  <si>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</si>
  <si>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</si>
  <si>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</si>
  <si>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</si>
  <si>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</si>
  <si>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</si>
  <si>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</si>
  <si>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</si>
  <si>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</si>
  <si>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</si>
  <si>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</si>
  <si>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</si>
  <si>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</si>
  <si>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</si>
  <si>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</si>
  <si>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</si>
  <si>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</si>
  <si>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</si>
  <si>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</si>
  <si>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</si>
  <si>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</si>
  <si>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</si>
  <si>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</si>
  <si>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</si>
  <si>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</si>
  <si>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</si>
  <si>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</si>
  <si>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</si>
  <si>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</si>
  <si>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</si>
  <si>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</si>
  <si>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</si>
  <si>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</si>
  <si>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</si>
  <si>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</si>
  <si>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</si>
  <si>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</si>
  <si>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</si>
  <si>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</si>
  <si>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</si>
  <si>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</si>
  <si>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</si>
  <si>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</si>
  <si>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</si>
  <si>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</si>
  <si>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</si>
  <si>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</si>
  <si>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</si>
  <si>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</si>
  <si>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</si>
  <si>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</si>
  <si>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</si>
  <si>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</si>
  <si>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</si>
  <si>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</si>
  <si>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</si>
  <si>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</si>
  <si>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</si>
  <si>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</si>
  <si>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</si>
  <si>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</si>
  <si>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</si>
  <si>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</si>
  <si>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</si>
  <si>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</si>
  <si>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</si>
  <si>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</si>
  <si>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</si>
  <si>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</si>
  <si>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</si>
  <si>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</si>
  <si>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</si>
  <si>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</si>
  <si>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</si>
  <si>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</si>
  <si>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</si>
  <si>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</si>
  <si>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</si>
  <si>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</si>
  <si>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</si>
  <si>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</si>
  <si>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</si>
  <si>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</si>
  <si>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</si>
  <si>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</si>
  <si>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</si>
  <si>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</si>
  <si>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</si>
  <si>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</si>
  <si>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</si>
  <si>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</si>
  <si>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</si>
  <si>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</si>
  <si>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</si>
  <si>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</si>
  <si>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</si>
  <si>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</si>
  <si>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</si>
  <si>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</si>
  <si>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</si>
  <si>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</si>
  <si>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</si>
  <si>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</si>
  <si>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</si>
  <si>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</si>
  <si>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</si>
  <si>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</si>
  <si>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</si>
  <si>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</si>
  <si>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</si>
  <si>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</si>
  <si>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</si>
  <si>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</si>
  <si>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</si>
  <si>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</si>
  <si>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</si>
  <si>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</si>
  <si>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</si>
  <si>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</si>
  <si>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</si>
  <si>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</si>
  <si>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</si>
  <si>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</si>
  <si>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</si>
  <si>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</si>
  <si>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</si>
  <si>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</si>
  <si>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</si>
  <si>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</si>
  <si>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</si>
  <si>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</si>
  <si>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</si>
  <si>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</si>
  <si>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</si>
  <si>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</si>
  <si>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</si>
  <si>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</si>
  <si>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</si>
  <si>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</si>
  <si>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</si>
  <si>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</si>
  <si>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</si>
  <si>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</si>
  <si>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</si>
  <si>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</si>
  <si>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</si>
  <si>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</si>
  <si>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</si>
  <si>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</si>
  <si>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</si>
  <si>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</si>
  <si>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</si>
  <si>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</si>
  <si>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</si>
  <si>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</si>
  <si>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</si>
  <si>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</si>
  <si>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</si>
  <si>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</si>
  <si>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</si>
  <si>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</si>
  <si>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</si>
  <si>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</si>
  <si>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</si>
  <si>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</si>
  <si>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</si>
  <si>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</si>
  <si>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</si>
  <si>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</si>
  <si>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</si>
  <si>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</si>
  <si>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</si>
  <si>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</si>
  <si>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</si>
  <si>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</si>
  <si>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</si>
  <si>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</si>
  <si>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</si>
  <si>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</si>
  <si>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</si>
  <si>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</si>
  <si>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</si>
  <si>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</si>
  <si>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</si>
  <si>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</si>
  <si>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</si>
  <si>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</si>
  <si>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</si>
  <si>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</si>
  <si>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</si>
  <si>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</si>
  <si>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</si>
  <si>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</si>
  <si>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</si>
  <si>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</si>
  <si>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</si>
  <si>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</si>
  <si>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</si>
  <si>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</si>
  <si>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</si>
  <si>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</si>
  <si>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</si>
  <si>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</si>
  <si>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</si>
  <si>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</si>
  <si>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</si>
  <si>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</si>
  <si>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</si>
  <si>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</si>
  <si>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</si>
  <si>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</si>
  <si>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</si>
  <si>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</si>
  <si>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</si>
  <si>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</si>
  <si>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</si>
  <si>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</si>
  <si>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</si>
  <si>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</si>
  <si>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</si>
  <si>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</si>
  <si>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</si>
  <si>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</si>
  <si>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r>
      <rPr>
        <sz val="8"/>
        <color rgb="FFFF0000"/>
        <rFont val="宋体"/>
        <charset val="134"/>
      </rPr>
      <t>9号装箱10号一早报数据</t>
    </r>
    <r>
      <rPr>
        <sz val="8"/>
        <rFont val="宋体"/>
        <charset val="134"/>
      </rPr>
      <t xml:space="preserve"> 货好</t>
    </r>
  </si>
  <si>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</si>
  <si>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</si>
  <si>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</si>
  <si>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</si>
  <si>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</si>
  <si>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</si>
  <si>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</si>
  <si>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</si>
  <si>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</si>
  <si>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</si>
  <si>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</si>
  <si>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</si>
  <si>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</si>
  <si>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</si>
  <si>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r>
      <rPr>
        <sz val="8"/>
        <color rgb="FFFF0000"/>
        <rFont val="宋体"/>
        <charset val="134"/>
      </rPr>
      <t>13号验货14号装箱15号上午报数据</t>
    </r>
    <r>
      <rPr>
        <sz val="8"/>
        <rFont val="宋体"/>
        <charset val="134"/>
      </rPr>
      <t xml:space="preserve"> 发箱单发票给验货老师TZA 2022 171373 要验货需要贴标签 160.1281 出CO 同J4160 4198</t>
    </r>
  </si>
  <si>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</si>
  <si>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</si>
  <si>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</si>
  <si>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</si>
  <si>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</si>
  <si>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</si>
  <si>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</si>
  <si>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</si>
  <si>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</si>
  <si>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</si>
  <si>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</si>
  <si>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</si>
  <si>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</si>
  <si>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1x20F 变高系统/打孔边角/38主吊内爆螺杆</t>
  </si>
  <si>
    <t>保单 CCPIT CO 海运费小柜3600核算 多的客户出  同J4130 4164</t>
  </si>
  <si>
    <t>J4276-1</t>
  </si>
  <si>
    <t>迪斯泰订舱5590</t>
  </si>
  <si>
    <t>J4281</t>
  </si>
  <si>
    <t>3x20FT轻钢</t>
  </si>
  <si>
    <r>
      <rPr>
        <sz val="8"/>
        <color rgb="FFFF0000"/>
        <rFont val="宋体"/>
        <charset val="134"/>
      </rPr>
      <t>10号装箱 周一一早报数据</t>
    </r>
    <r>
      <rPr>
        <sz val="8"/>
        <rFont val="宋体"/>
        <charset val="134"/>
      </rPr>
      <t xml:space="preserve"> 保单 CCPIT CO 海运估计3000 同J4174 4250</t>
    </r>
  </si>
  <si>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</si>
  <si>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</si>
  <si>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</si>
  <si>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</si>
  <si>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</si>
  <si>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</si>
  <si>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t>J4292</t>
  </si>
  <si>
    <t>马来西亚 Muhibah/Pui Yinh</t>
  </si>
  <si>
    <t>1x20 FCL 小付骨</t>
  </si>
  <si>
    <t>xingang-KLANG, MALAYSIA</t>
  </si>
  <si>
    <t>只有10吨</t>
  </si>
  <si>
    <t>J4294</t>
  </si>
  <si>
    <t>8x20FT+4x40HQ 轻钢+烤漆</t>
  </si>
  <si>
    <t>按FOB低报60%？CCPIT  CO 同J4136 4185</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</si>
  <si>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</si>
  <si>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</si>
  <si>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</si>
  <si>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</si>
  <si>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</si>
  <si>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</si>
  <si>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</si>
  <si>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</si>
  <si>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</si>
  <si>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</si>
  <si>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</si>
  <si>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</si>
  <si>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</si>
  <si>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</si>
  <si>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</si>
  <si>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</si>
  <si>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</si>
  <si>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</si>
  <si>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</si>
  <si>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</si>
  <si>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</si>
  <si>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</si>
  <si>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</si>
  <si>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</si>
  <si>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</si>
  <si>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</si>
  <si>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</si>
  <si>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</si>
  <si>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</si>
  <si>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</si>
  <si>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</si>
  <si>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</si>
  <si>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</si>
  <si>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</si>
  <si>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</si>
  <si>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</si>
  <si>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</si>
  <si>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</si>
  <si>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</si>
  <si>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</si>
  <si>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</si>
  <si>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</si>
  <si>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</si>
  <si>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</si>
  <si>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</si>
  <si>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</si>
  <si>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</si>
  <si>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</si>
  <si>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</si>
  <si>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</si>
  <si>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</si>
  <si>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</si>
  <si>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</si>
  <si>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</si>
  <si>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</si>
  <si>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</si>
  <si>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</si>
  <si>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</si>
  <si>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</si>
  <si>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</si>
  <si>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</si>
  <si>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</si>
  <si>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</si>
  <si>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</si>
  <si>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</si>
  <si>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</si>
  <si>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</si>
  <si>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</si>
  <si>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</si>
  <si>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</si>
  <si>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</si>
  <si>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</si>
  <si>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</si>
  <si>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</si>
  <si>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</si>
  <si>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</si>
  <si>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</si>
  <si>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</si>
  <si>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</si>
  <si>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</si>
  <si>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</si>
  <si>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</si>
  <si>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</si>
  <si>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</si>
  <si>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</si>
  <si>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</si>
  <si>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</si>
  <si>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</si>
  <si>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</si>
  <si>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</si>
  <si>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</si>
  <si>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</si>
  <si>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</si>
  <si>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</si>
  <si>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</si>
  <si>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</si>
  <si>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</si>
  <si>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</si>
  <si>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</si>
  <si>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</si>
  <si>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</si>
  <si>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</si>
  <si>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</si>
  <si>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</si>
  <si>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</si>
  <si>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</si>
  <si>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</si>
  <si>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</si>
  <si>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</si>
  <si>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</si>
  <si>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</si>
  <si>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</si>
  <si>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</si>
  <si>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</si>
  <si>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</si>
  <si>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</si>
  <si>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</si>
  <si>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</si>
  <si>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</si>
  <si>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</si>
  <si>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</si>
  <si>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</si>
  <si>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</si>
  <si>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</si>
  <si>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</si>
  <si>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</si>
  <si>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</si>
  <si>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</si>
  <si>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</si>
  <si>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</si>
  <si>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</si>
  <si>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</si>
  <si>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</si>
  <si>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</si>
  <si>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</si>
  <si>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</si>
  <si>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</si>
  <si>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</si>
  <si>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</si>
  <si>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</si>
  <si>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</si>
  <si>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</si>
  <si>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</si>
  <si>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</si>
  <si>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</si>
  <si>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</si>
  <si>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</si>
  <si>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</si>
  <si>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</si>
  <si>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</si>
  <si>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</si>
  <si>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</si>
  <si>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</si>
  <si>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</si>
  <si>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</si>
  <si>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</si>
  <si>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</si>
  <si>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</si>
  <si>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</si>
  <si>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</si>
  <si>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</si>
  <si>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</si>
  <si>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</si>
  <si>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</si>
  <si>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</si>
  <si>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</si>
  <si>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</si>
  <si>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</si>
  <si>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</si>
  <si>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</si>
  <si>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</si>
  <si>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</si>
  <si>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</si>
  <si>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</si>
  <si>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</si>
  <si>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</si>
  <si>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</si>
  <si>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</si>
  <si>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</si>
  <si>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</si>
  <si>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</si>
  <si>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</si>
  <si>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</si>
  <si>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</si>
  <si>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</si>
  <si>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</si>
  <si>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</si>
  <si>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</si>
  <si>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</si>
  <si>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</si>
  <si>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</si>
  <si>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</si>
  <si>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</si>
  <si>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</si>
  <si>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</si>
  <si>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</si>
  <si>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</si>
  <si>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</si>
  <si>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</si>
  <si>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</si>
  <si>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</si>
  <si>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</si>
  <si>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</si>
  <si>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</si>
  <si>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</si>
  <si>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</si>
  <si>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</si>
  <si>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</si>
  <si>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</si>
  <si>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</si>
  <si>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</si>
  <si>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</si>
  <si>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</si>
  <si>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</si>
  <si>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</si>
  <si>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</si>
  <si>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</si>
  <si>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</si>
  <si>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</si>
  <si>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</si>
  <si>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</si>
  <si>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</si>
  <si>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</si>
  <si>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</si>
  <si>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</si>
  <si>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</si>
  <si>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</si>
  <si>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</si>
  <si>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</si>
  <si>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</si>
  <si>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</si>
  <si>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</si>
  <si>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</si>
  <si>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</si>
  <si>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</si>
  <si>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</si>
  <si>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</si>
  <si>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</si>
  <si>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</si>
  <si>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</si>
  <si>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</si>
  <si>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</si>
  <si>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</si>
  <si>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</si>
  <si>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</si>
  <si>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</si>
  <si>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</si>
  <si>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</si>
  <si>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</si>
  <si>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</si>
  <si>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</si>
  <si>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</si>
  <si>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</si>
  <si>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</si>
  <si>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</si>
  <si>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</si>
  <si>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</si>
  <si>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</si>
  <si>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</si>
  <si>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</si>
  <si>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</si>
  <si>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</si>
  <si>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</si>
  <si>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</si>
  <si>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</si>
  <si>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</si>
  <si>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</si>
  <si>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</si>
  <si>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</si>
  <si>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</si>
  <si>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</si>
  <si>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</si>
  <si>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</si>
  <si>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</si>
  <si>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</si>
  <si>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</si>
  <si>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</si>
  <si>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</si>
  <si>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</si>
  <si>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</si>
  <si>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</si>
  <si>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</si>
  <si>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</si>
  <si>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</si>
  <si>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</si>
  <si>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</si>
  <si>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</si>
  <si>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</si>
  <si>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</si>
  <si>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</si>
  <si>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</si>
  <si>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</si>
  <si>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</si>
  <si>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</si>
  <si>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</si>
  <si>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</si>
  <si>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</si>
  <si>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</si>
  <si>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</si>
  <si>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</si>
  <si>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</si>
  <si>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</si>
  <si>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</si>
  <si>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</si>
  <si>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</si>
  <si>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</si>
  <si>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</si>
  <si>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</si>
  <si>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</si>
  <si>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</si>
  <si>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</si>
  <si>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</si>
  <si>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</si>
  <si>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</si>
  <si>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</si>
  <si>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</si>
  <si>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</si>
  <si>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</si>
  <si>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</si>
  <si>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</si>
  <si>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</si>
  <si>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</si>
  <si>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</si>
  <si>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</si>
  <si>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</si>
  <si>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</si>
  <si>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</si>
  <si>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</si>
  <si>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</si>
  <si>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</si>
  <si>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</si>
  <si>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</si>
  <si>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</si>
  <si>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</si>
  <si>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</si>
  <si>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</si>
  <si>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</si>
  <si>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</si>
  <si>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</si>
  <si>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</si>
  <si>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</si>
  <si>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</si>
  <si>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</si>
  <si>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</si>
  <si>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</si>
  <si>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</si>
  <si>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</si>
  <si>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</si>
  <si>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</si>
  <si>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</si>
  <si>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</si>
  <si>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</si>
  <si>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</si>
  <si>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</si>
  <si>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</si>
  <si>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</si>
  <si>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</si>
  <si>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</si>
  <si>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</si>
  <si>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</si>
  <si>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</si>
  <si>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</si>
  <si>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</si>
  <si>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</si>
  <si>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</si>
  <si>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</si>
  <si>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</si>
  <si>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</si>
  <si>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</si>
  <si>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</si>
  <si>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</si>
  <si>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</si>
  <si>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</si>
  <si>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</si>
  <si>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</si>
  <si>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</si>
  <si>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</si>
  <si>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</si>
  <si>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</si>
  <si>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</si>
  <si>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</si>
  <si>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</si>
  <si>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</si>
  <si>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</si>
  <si>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</si>
  <si>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</si>
  <si>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</si>
  <si>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</si>
  <si>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</si>
  <si>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</si>
  <si>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</si>
  <si>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</si>
  <si>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</si>
  <si>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</si>
  <si>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</si>
  <si>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</si>
  <si>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</si>
  <si>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</si>
  <si>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</si>
  <si>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</si>
  <si>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</si>
  <si>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</si>
  <si>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</si>
  <si>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</si>
  <si>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</si>
  <si>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</si>
  <si>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</si>
  <si>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</si>
  <si>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</si>
  <si>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</si>
  <si>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</si>
  <si>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</si>
  <si>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</si>
  <si>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</si>
  <si>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</si>
  <si>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</si>
  <si>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</si>
  <si>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</si>
  <si>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</si>
  <si>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</si>
  <si>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</si>
  <si>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</si>
  <si>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</si>
  <si>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</si>
  <si>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</si>
  <si>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</si>
  <si>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</si>
  <si>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</si>
  <si>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</si>
  <si>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</si>
  <si>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</si>
  <si>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</si>
  <si>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</si>
  <si>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</si>
  <si>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</si>
  <si>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</si>
  <si>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</si>
  <si>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</si>
  <si>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</si>
  <si>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</si>
  <si>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</si>
  <si>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</si>
  <si>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</si>
  <si>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</si>
  <si>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</si>
  <si>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</si>
  <si>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</si>
  <si>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</si>
  <si>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</si>
  <si>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</si>
  <si>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</si>
  <si>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</si>
  <si>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</si>
  <si>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</si>
  <si>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</si>
  <si>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</si>
  <si>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</si>
  <si>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</si>
  <si>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</si>
  <si>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</si>
  <si>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</si>
  <si>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</si>
  <si>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</si>
  <si>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</si>
  <si>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</si>
  <si>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</si>
  <si>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</si>
  <si>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</si>
  <si>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</si>
  <si>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</si>
  <si>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</si>
  <si>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</si>
  <si>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</si>
  <si>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</si>
  <si>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</si>
  <si>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</si>
  <si>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</si>
  <si>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</si>
  <si>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</si>
  <si>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</si>
  <si>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</si>
  <si>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</si>
  <si>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</si>
  <si>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</si>
  <si>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</si>
  <si>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</si>
  <si>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</si>
  <si>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</si>
  <si>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</si>
  <si>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</si>
  <si>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</si>
  <si>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</si>
  <si>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</si>
  <si>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</si>
  <si>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</si>
  <si>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</si>
  <si>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</si>
  <si>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</si>
  <si>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</si>
  <si>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</si>
  <si>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</si>
  <si>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</si>
  <si>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</si>
  <si>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</si>
  <si>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</si>
  <si>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</si>
  <si>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</si>
  <si>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</si>
  <si>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</si>
  <si>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</si>
  <si>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</si>
  <si>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</si>
  <si>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</si>
  <si>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</si>
  <si>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</si>
  <si>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</si>
  <si>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</si>
  <si>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</si>
  <si>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</si>
  <si>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</si>
  <si>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</si>
  <si>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</si>
  <si>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</si>
  <si>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</si>
  <si>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</si>
  <si>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</si>
  <si>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</si>
  <si>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</si>
  <si>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</si>
  <si>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</si>
  <si>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</si>
  <si>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</si>
  <si>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</si>
  <si>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</si>
  <si>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</si>
  <si>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</si>
  <si>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</si>
  <si>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</si>
  <si>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</si>
  <si>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</si>
  <si>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</si>
  <si>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</si>
  <si>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</si>
  <si>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</si>
  <si>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</si>
  <si>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</si>
  <si>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</si>
  <si>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</si>
  <si>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</si>
  <si>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</si>
  <si>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</si>
  <si>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</si>
  <si>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</si>
  <si>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</si>
  <si>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</si>
  <si>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</si>
  <si>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</si>
  <si>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</si>
  <si>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</si>
  <si>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</si>
  <si>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</si>
  <si>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</si>
  <si>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</si>
  <si>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</si>
  <si>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</si>
  <si>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</si>
  <si>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</si>
  <si>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</si>
  <si>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</si>
  <si>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</si>
  <si>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</si>
  <si>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</si>
  <si>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</si>
  <si>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</si>
  <si>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</si>
  <si>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</si>
  <si>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</si>
  <si>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</si>
  <si>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</si>
  <si>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</si>
  <si>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</si>
  <si>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</si>
  <si>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</si>
  <si>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</si>
  <si>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</si>
  <si>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</si>
  <si>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</si>
  <si>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</si>
  <si>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</si>
  <si>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</si>
  <si>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</si>
  <si>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</si>
  <si>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</si>
  <si>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</si>
  <si>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</si>
  <si>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</si>
  <si>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</si>
  <si>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</si>
  <si>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</si>
  <si>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</si>
  <si>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</si>
  <si>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</si>
  <si>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</si>
  <si>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</si>
  <si>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</si>
  <si>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</si>
  <si>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</si>
  <si>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</si>
  <si>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</si>
  <si>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</si>
  <si>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</si>
  <si>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</si>
  <si>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</si>
  <si>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</si>
  <si>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</si>
  <si>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</si>
  <si>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</si>
  <si>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</si>
  <si>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</si>
  <si>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</si>
  <si>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</si>
  <si>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</si>
  <si>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</si>
  <si>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</si>
  <si>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</si>
  <si>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</si>
  <si>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</si>
  <si>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</si>
  <si>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</si>
  <si>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</si>
  <si>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</si>
  <si>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</si>
  <si>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</si>
  <si>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</si>
  <si>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</si>
  <si>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</si>
  <si>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</si>
  <si>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</si>
  <si>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</si>
  <si>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</si>
  <si>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</si>
  <si>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</si>
  <si>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</si>
  <si>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</si>
  <si>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</si>
  <si>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</si>
  <si>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</si>
  <si>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</si>
  <si>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</si>
  <si>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</si>
  <si>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</si>
  <si>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</si>
  <si>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</si>
  <si>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</si>
  <si>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</si>
  <si>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</si>
  <si>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</si>
  <si>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</si>
  <si>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</si>
  <si>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</si>
  <si>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</si>
  <si>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</si>
  <si>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</si>
  <si>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</si>
  <si>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</si>
  <si>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</si>
  <si>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</si>
  <si>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</si>
  <si>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</si>
  <si>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</si>
  <si>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</si>
  <si>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</si>
  <si>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</si>
  <si>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</si>
  <si>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</si>
  <si>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</si>
  <si>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</si>
  <si>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</si>
  <si>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</si>
  <si>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</si>
  <si>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</si>
  <si>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</si>
  <si>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</si>
  <si>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</si>
  <si>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</si>
  <si>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</si>
  <si>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</si>
  <si>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</si>
  <si>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</si>
  <si>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</si>
  <si>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</si>
  <si>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</si>
  <si>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</si>
  <si>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</si>
  <si>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</si>
  <si>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</si>
  <si>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</si>
  <si>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</si>
  <si>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</si>
  <si>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</si>
  <si>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</si>
  <si>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</si>
  <si>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</si>
  <si>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</si>
  <si>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</si>
  <si>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</si>
  <si>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</si>
  <si>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</si>
  <si>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</si>
  <si>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</si>
  <si>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</si>
  <si>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</si>
  <si>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</si>
  <si>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</si>
  <si>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</si>
  <si>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</si>
  <si>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</si>
  <si>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</si>
  <si>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</si>
  <si>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</si>
  <si>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</si>
  <si>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</si>
  <si>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</si>
  <si>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</si>
  <si>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</si>
  <si>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</si>
  <si>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</si>
  <si>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</si>
  <si>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</si>
  <si>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</si>
  <si>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</si>
  <si>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</si>
  <si>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</si>
  <si>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</si>
  <si>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</si>
  <si>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</si>
  <si>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</si>
  <si>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</si>
  <si>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r>
      <rPr>
        <sz val="8"/>
        <color rgb="FF0000FF"/>
        <rFont val="宋体"/>
        <charset val="134"/>
      </rPr>
      <t>暂定20号报数据</t>
    </r>
    <r>
      <rPr>
        <sz val="8"/>
        <rFont val="宋体"/>
        <charset val="134"/>
      </rPr>
      <t xml:space="preserve"> 港杂报价高 岩棉 无单据 同M4149</t>
    </r>
  </si>
  <si>
    <t>深圳WiseCargo订舱</t>
  </si>
  <si>
    <t>J4241</t>
  </si>
  <si>
    <t>岩棉 无单据 同M4149</t>
  </si>
  <si>
    <t>J4248</t>
  </si>
  <si>
    <t>1x40HQ 小付骨</t>
  </si>
  <si>
    <t>预计10号货好 出form E VO金额和客户确定  寄件地址每次和客户确认 同J4171 4205</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</si>
  <si>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</si>
  <si>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</si>
  <si>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</si>
  <si>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</si>
  <si>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</si>
  <si>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</si>
  <si>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</si>
  <si>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</si>
  <si>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</si>
  <si>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</si>
  <si>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t>发散货 运费1千 本地费用1300+40舱单 卸货费240</t>
  </si>
  <si>
    <t>中和赵洪玲订舱</t>
  </si>
  <si>
    <t>J4267</t>
  </si>
  <si>
    <t>天津WING CHONG/Alieen</t>
  </si>
  <si>
    <t>1x20GP 打孔边角</t>
  </si>
  <si>
    <t>生产前三天通知，我司去验货</t>
  </si>
  <si>
    <t>客户安排订舱CMA，小杜拖车报关</t>
  </si>
  <si>
    <t>J4268</t>
  </si>
  <si>
    <t>1x40HQ &amp;1x20FCL 轻钢龙骨</t>
  </si>
  <si>
    <r>
      <rPr>
        <sz val="8"/>
        <color rgb="FF0000FF"/>
        <rFont val="宋体"/>
        <charset val="134"/>
      </rPr>
      <t>10号装箱 13号上午报齐数据</t>
    </r>
    <r>
      <rPr>
        <sz val="8"/>
        <rFont val="宋体"/>
        <charset val="134"/>
      </rPr>
      <t xml:space="preserve"> CO 保单 电放 单据扫描件即可 同M4151</t>
    </r>
  </si>
  <si>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</si>
  <si>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</si>
  <si>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</si>
  <si>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</si>
  <si>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</si>
  <si>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</si>
  <si>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</si>
  <si>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</si>
  <si>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</si>
  <si>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</si>
  <si>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</si>
  <si>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</si>
  <si>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</si>
  <si>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</si>
  <si>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</si>
  <si>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</si>
  <si>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J4293</t>
  </si>
  <si>
    <t>烤漆龙骨</t>
  </si>
  <si>
    <t>同J3826</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</si>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</sst>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176" formatCode="[$CAD]\ #,##0.00;[$CAD]\ \-#,##0.00"/>
    <numFmt numFmtId="177" formatCode="\$#,##0.0_);[Red]\(\$#,##0.0\)"/>
    <numFmt numFmtId="7" formatCode="&quot;￥&quot;#,##0.00;&quot;￥&quot;\-#,##0.00"/>
    <numFmt numFmtId="178" formatCode="&quot;￥&quot;#,##0.00"/>
    <numFmt numFmtId="179" formatCode="\$#,##0.00;[Red]\$#,##0.00"/>
    <numFmt numFmtId="180" formatCode="yyyy/m/d;@"/>
    <numFmt numFmtId="24" formatCode="\$#,##0_);[Red]\(\$#,##0\)"/>
    <numFmt numFmtId="181" formatCode="m/d;@"/>
    <numFmt numFmtId="41" formatCode="_ * #,##0_ ;_ * \-#,##0_ ;_ * &quot;-&quot;_ ;_ @_ "/>
    <numFmt numFmtId="26" formatCode="\$#,##0.00_);[Red]\(\$#,##0.00\)"/>
    <numFmt numFmtId="182" formatCode="\$#,##0.00;\-\$#,##0.00"/>
    <numFmt numFmtId="42" formatCode="_ &quot;￥&quot;* #,##0_ ;_ &quot;￥&quot;* \-#,##0_ ;_ &quot;￥&quot;* &quot;-&quot;_ ;_ @_ "/>
    <numFmt numFmtId="183" formatCode="&quot;￥&quot;#,##0.00_);[Red]\(&quot;￥&quot;#,##0.00\)"/>
    <numFmt numFmtId="184" formatCode="&quot;￥&quot;#,##0.00;[Red]&quot;￥&quot;#,##0.00"/>
    <numFmt numFmtId="44" formatCode="_ &quot;￥&quot;* #,##0.00_ ;_ &quot;￥&quot;* \-#,##0.00_ ;_ &quot;￥&quot;* &quot;-&quot;??_ ;_ @_ "/>
    <numFmt numFmtId="43" formatCode="_ * #,##0.00_ ;_ * \-#,##0.00_ ;_ * &quot;-&quot;??_ ;_ @_ "/>
  </numFmts>
  <fonts count="145">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b/>
      <sz val="6"/>
      <color theme="0" tint="-0.25"/>
      <name val="华文宋体"/>
      <charset val="134"/>
    </font>
    <font>
      <b/>
      <sz val="6"/>
      <color rgb="FF0000D4"/>
      <name val="华文宋体"/>
      <charset val="134"/>
    </font>
    <font>
      <b/>
      <sz val="6"/>
      <color theme="1"/>
      <name val="华文宋体"/>
      <charset val="134"/>
    </font>
    <font>
      <b/>
      <sz val="8"/>
      <color rgb="FF000000"/>
      <name val="Arial"/>
      <charset val="134"/>
    </font>
    <font>
      <sz val="8"/>
      <color rgb="FFC00000"/>
      <name val="Arial"/>
      <charset val="134"/>
    </font>
    <font>
      <b/>
      <sz val="8"/>
      <color theme="1"/>
      <name val="华文宋体"/>
      <charset val="134"/>
    </font>
    <font>
      <b/>
      <sz val="8"/>
      <color indexed="8"/>
      <name val="Arial"/>
      <charset val="134"/>
    </font>
    <font>
      <b/>
      <sz val="8"/>
      <color rgb="FF0000FF"/>
      <name val="Arial"/>
      <charset val="134"/>
    </font>
    <font>
      <b/>
      <sz val="8"/>
      <color theme="1" tint="0.0499893185216834"/>
      <name val="Arial"/>
      <charset val="134"/>
    </font>
    <font>
      <sz val="8"/>
      <color rgb="FF000000"/>
      <name val="Arial"/>
      <charset val="134"/>
    </font>
    <font>
      <b/>
      <sz val="8"/>
      <color rgb="FF000000"/>
      <name val="华文宋体"/>
      <charset val="134"/>
    </font>
    <font>
      <sz val="6"/>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rgb="FFFF0000"/>
      <name val="Arial"/>
      <charset val="134"/>
    </font>
    <font>
      <b/>
      <sz val="9"/>
      <color rgb="FF0000FF"/>
      <name val="Arial"/>
      <charset val="134"/>
    </font>
    <font>
      <b/>
      <sz val="9"/>
      <color theme="8"/>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sz val="8"/>
      <color indexed="10"/>
      <name val="Arial"/>
      <charset val="134"/>
    </font>
    <font>
      <b/>
      <u/>
      <sz val="8"/>
      <color indexed="8"/>
      <name val="Arial"/>
      <charset val="134"/>
    </font>
    <font>
      <b/>
      <u/>
      <sz val="8"/>
      <color theme="0" tint="-0.25"/>
      <name val="Arial"/>
      <charset val="134"/>
    </font>
    <font>
      <b/>
      <u/>
      <sz val="8"/>
      <color rgb="FF0000D4"/>
      <name val="Arial"/>
      <charset val="134"/>
    </font>
    <font>
      <b/>
      <u/>
      <sz val="8"/>
      <color theme="1"/>
      <name val="Arial"/>
      <charset val="134"/>
    </font>
    <font>
      <b/>
      <u/>
      <sz val="8"/>
      <name val="Arial"/>
      <charset val="134"/>
    </font>
    <font>
      <b/>
      <u/>
      <sz val="8"/>
      <color rgb="FF000000"/>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u/>
      <sz val="8"/>
      <color theme="1"/>
      <name val="Arial"/>
      <charset val="134"/>
    </font>
    <font>
      <b/>
      <u/>
      <sz val="8"/>
      <color rgb="FF0000FF"/>
      <name val="Arial"/>
      <charset val="134"/>
    </font>
    <font>
      <u/>
      <sz val="8"/>
      <color rgb="FF0000FF"/>
      <name val="Arial"/>
      <charset val="134"/>
    </font>
    <font>
      <b/>
      <sz val="8"/>
      <color rgb="FFFF0000"/>
      <name val="宋体"/>
      <charset val="134"/>
    </font>
    <font>
      <b/>
      <u/>
      <sz val="8"/>
      <color rgb="FFFF0000"/>
      <name val="Arial"/>
      <charset val="134"/>
    </font>
    <font>
      <sz val="11"/>
      <color theme="0"/>
      <name val="宋体"/>
      <charset val="0"/>
      <scheme val="minor"/>
    </font>
    <font>
      <sz val="11"/>
      <color indexed="8"/>
      <name val="宋体"/>
      <charset val="134"/>
    </font>
    <font>
      <sz val="11"/>
      <color theme="1"/>
      <name val="宋体"/>
      <charset val="0"/>
      <scheme val="minor"/>
    </font>
    <font>
      <b/>
      <sz val="11"/>
      <color rgb="FF3F3F3F"/>
      <name val="宋体"/>
      <charset val="0"/>
      <scheme val="minor"/>
    </font>
    <font>
      <b/>
      <sz val="11"/>
      <color theme="3"/>
      <name val="宋体"/>
      <charset val="134"/>
      <scheme val="minor"/>
    </font>
    <font>
      <b/>
      <sz val="15"/>
      <color theme="3"/>
      <name val="宋体"/>
      <charset val="134"/>
      <scheme val="minor"/>
    </font>
    <font>
      <b/>
      <sz val="13"/>
      <color theme="3"/>
      <name val="宋体"/>
      <charset val="134"/>
      <scheme val="minor"/>
    </font>
    <font>
      <sz val="12"/>
      <name val="宋体"/>
      <charset val="134"/>
      <scheme val="minor"/>
    </font>
    <font>
      <u/>
      <sz val="11"/>
      <color rgb="FF0000FF"/>
      <name val="宋体"/>
      <charset val="0"/>
      <scheme val="minor"/>
    </font>
    <font>
      <sz val="11"/>
      <color rgb="FF9C6500"/>
      <name val="宋体"/>
      <charset val="0"/>
      <scheme val="minor"/>
    </font>
    <font>
      <b/>
      <sz val="11"/>
      <color theme="1"/>
      <name val="宋体"/>
      <charset val="0"/>
      <scheme val="minor"/>
    </font>
    <font>
      <sz val="11"/>
      <color indexed="8"/>
      <name val="Calibri"/>
      <charset val="134"/>
    </font>
    <font>
      <b/>
      <sz val="11"/>
      <color rgb="FFFA7D00"/>
      <name val="宋体"/>
      <charset val="0"/>
      <scheme val="minor"/>
    </font>
    <font>
      <sz val="11"/>
      <color rgb="FFFA7D00"/>
      <name val="宋体"/>
      <charset val="0"/>
      <scheme val="minor"/>
    </font>
    <font>
      <sz val="11"/>
      <color theme="1"/>
      <name val="宋体"/>
      <charset val="134"/>
      <scheme val="minor"/>
    </font>
    <font>
      <sz val="11"/>
      <color rgb="FFFF0000"/>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sz val="11"/>
      <color rgb="FF006100"/>
      <name val="宋体"/>
      <charset val="0"/>
      <scheme val="minor"/>
    </font>
    <font>
      <sz val="11"/>
      <color rgb="FF9C0006"/>
      <name val="宋体"/>
      <charset val="0"/>
      <scheme val="minor"/>
    </font>
    <font>
      <i/>
      <sz val="12"/>
      <color indexed="23"/>
      <name val="宋体"/>
      <charset val="134"/>
    </font>
    <font>
      <i/>
      <sz val="11"/>
      <color indexed="23"/>
      <name val="Calibri"/>
      <charset val="134"/>
    </font>
    <font>
      <sz val="11"/>
      <color indexed="60"/>
      <name val="Calibri"/>
      <charset val="134"/>
    </font>
    <font>
      <i/>
      <sz val="11"/>
      <color rgb="FF7F7F7F"/>
      <name val="宋体"/>
      <charset val="0"/>
      <scheme val="minor"/>
    </font>
    <font>
      <sz val="12"/>
      <color indexed="60"/>
      <name val="宋体"/>
      <charset val="134"/>
    </font>
    <font>
      <sz val="11"/>
      <color rgb="FF3F3F76"/>
      <name val="宋体"/>
      <charset val="0"/>
      <scheme val="minor"/>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theme="4"/>
        <bgColor indexed="64"/>
      </patternFill>
    </fill>
    <fill>
      <patternFill patternType="solid">
        <fgColor indexed="47"/>
        <bgColor indexed="64"/>
      </patternFill>
    </fill>
    <fill>
      <patternFill patternType="solid">
        <fgColor theme="4" tint="0.799981688894314"/>
        <bgColor indexed="64"/>
      </patternFill>
    </fill>
    <fill>
      <patternFill patternType="solid">
        <fgColor indexed="29"/>
        <bgColor indexed="64"/>
      </patternFill>
    </fill>
    <fill>
      <patternFill patternType="solid">
        <fgColor theme="7"/>
        <bgColor indexed="64"/>
      </patternFill>
    </fill>
    <fill>
      <patternFill patternType="solid">
        <fgColor indexed="22"/>
        <bgColor indexed="64"/>
      </patternFill>
    </fill>
    <fill>
      <patternFill patternType="solid">
        <fgColor indexed="26"/>
        <bgColor indexed="64"/>
      </patternFill>
    </fill>
    <fill>
      <patternFill patternType="solid">
        <fgColor theme="6" tint="0.599993896298105"/>
        <bgColor indexed="64"/>
      </patternFill>
    </fill>
    <fill>
      <patternFill patternType="solid">
        <fgColor indexed="44"/>
        <bgColor indexed="64"/>
      </patternFill>
    </fill>
    <fill>
      <patternFill patternType="solid">
        <fgColor rgb="FFF2F2F2"/>
        <bgColor indexed="64"/>
      </patternFill>
    </fill>
    <fill>
      <patternFill patternType="solid">
        <fgColor indexed="27"/>
        <bgColor indexed="64"/>
      </patternFill>
    </fill>
    <fill>
      <patternFill patternType="solid">
        <fgColor theme="8"/>
        <bgColor indexed="64"/>
      </patternFill>
    </fill>
    <fill>
      <patternFill patternType="solid">
        <fgColor indexed="43"/>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rgb="FFC6EFCE"/>
        <bgColor indexed="64"/>
      </patternFill>
    </fill>
    <fill>
      <patternFill patternType="solid">
        <fgColor theme="6"/>
        <bgColor indexed="64"/>
      </patternFill>
    </fill>
    <fill>
      <patternFill patternType="solid">
        <fgColor theme="5"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27865">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1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14" fillId="15"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9" borderId="0" applyNumberFormat="0" applyBorder="0" applyAlignment="0" applyProtection="0">
      <alignment vertical="center"/>
    </xf>
    <xf numFmtId="0" fontId="11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1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26" fillId="19" borderId="0" applyNumberFormat="0" applyBorder="0" applyAlignment="0" applyProtection="0"/>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3" fillId="4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19" fillId="30" borderId="12" applyNumberFormat="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126" fillId="19"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4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42" fontId="117" fillId="0" borderId="0" applyFont="0" applyFill="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3" fillId="23"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3"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pplyNumberFormat="0" applyFill="0" applyBorder="0" applyAlignment="0" applyProtection="0"/>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7"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5" fillId="0" borderId="0" applyNumberFormat="0" applyFill="0" applyBorder="0" applyAlignment="0" applyProtection="0"/>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3"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1"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8" fillId="13" borderId="0" applyNumberFormat="0" applyBorder="0" applyAlignment="0" applyProtection="0"/>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0" applyNumberFormat="0" applyFill="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5" fillId="40"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3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17" fillId="0" borderId="0" applyFont="0" applyFill="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6"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7" fillId="38" borderId="13" applyNumberFormat="0" applyFont="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43" fontId="117"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41" fontId="117"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7"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xf numFmtId="0" fontId="0" fillId="0" borderId="0">
      <alignment vertical="center"/>
    </xf>
    <xf numFmtId="0" fontId="104" fillId="17"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6" fillId="0" borderId="11"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29" fillId="43" borderId="9"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17"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0" borderId="10"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16" borderId="9"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3" fillId="0" borderId="8" applyNumberFormat="0" applyFill="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105"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12"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3" fillId="2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1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9" fillId="0" borderId="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0" borderId="7" applyNumberFormat="0" applyFill="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7" fillId="0" borderId="0" applyNumberFormat="0" applyFill="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0" borderId="0" applyNumberFormat="0" applyFill="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6" fillId="16" borderId="6" applyNumberFormat="0" applyAlignment="0" applyProtection="0">
      <alignment vertical="center"/>
    </xf>
    <xf numFmtId="0" fontId="0" fillId="0" borderId="0">
      <alignment vertical="center"/>
    </xf>
    <xf numFmtId="0" fontId="0" fillId="0" borderId="0">
      <alignment vertical="center"/>
    </xf>
    <xf numFmtId="0" fontId="104" fillId="15"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12231"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5385" applyNumberFormat="1" applyFont="1" applyFill="1" applyBorder="1" applyAlignment="1">
      <alignment horizontal="left" vertical="center"/>
    </xf>
    <xf numFmtId="0" fontId="15" fillId="0" borderId="1" xfId="0" applyFont="1" applyFill="1" applyBorder="1" applyAlignment="1">
      <alignment horizontal="left" vertical="center"/>
    </xf>
    <xf numFmtId="0" fontId="14" fillId="0" borderId="1" xfId="0" applyFont="1" applyBorder="1">
      <alignment vertical="center"/>
    </xf>
    <xf numFmtId="0" fontId="14" fillId="0" borderId="1" xfId="0" applyFont="1" applyBorder="1" applyAlignment="1">
      <alignment vertical="center" wrapText="1"/>
    </xf>
    <xf numFmtId="0" fontId="0" fillId="0" borderId="1" xfId="0" applyBorder="1">
      <alignmen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80" fontId="18" fillId="0" borderId="0" xfId="0" applyNumberFormat="1" applyFont="1" applyFill="1" applyAlignment="1">
      <alignment horizontal="left" vertical="center" wrapText="1"/>
    </xf>
    <xf numFmtId="0" fontId="19" fillId="0" borderId="0" xfId="0" applyFont="1" applyFill="1" applyAlignment="1">
      <alignment vertical="center"/>
    </xf>
    <xf numFmtId="0" fontId="20" fillId="0" borderId="0" xfId="0" applyFont="1">
      <alignment vertical="center"/>
    </xf>
    <xf numFmtId="180"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80" fontId="22" fillId="0" borderId="0" xfId="0" applyNumberFormat="1" applyFont="1" applyFill="1" applyAlignment="1">
      <alignment horizontal="left" vertical="center"/>
    </xf>
    <xf numFmtId="180" fontId="32" fillId="0" borderId="0" xfId="0" applyNumberFormat="1" applyFont="1" applyFill="1" applyAlignment="1">
      <alignment horizontal="left" vertical="center"/>
    </xf>
    <xf numFmtId="0" fontId="33" fillId="0" borderId="0" xfId="0" applyFont="1" applyFill="1" applyAlignment="1">
      <alignment horizontal="left" vertical="center"/>
    </xf>
    <xf numFmtId="182"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83"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23" fillId="4" borderId="0" xfId="0" applyNumberFormat="1" applyFont="1" applyFill="1" applyBorder="1" applyAlignment="1">
      <alignment horizontal="left" vertical="center"/>
    </xf>
    <xf numFmtId="0" fontId="37" fillId="4" borderId="0" xfId="0" applyNumberFormat="1" applyFont="1" applyFill="1" applyBorder="1" applyAlignment="1">
      <alignment horizontal="left" vertical="center" wrapText="1"/>
    </xf>
    <xf numFmtId="0" fontId="38" fillId="4" borderId="0" xfId="0" applyNumberFormat="1" applyFont="1" applyFill="1" applyBorder="1" applyAlignment="1">
      <alignment horizontal="left" vertical="center" wrapText="1"/>
    </xf>
    <xf numFmtId="181" fontId="39" fillId="4" borderId="0" xfId="0" applyNumberFormat="1" applyFont="1" applyFill="1" applyBorder="1" applyAlignment="1">
      <alignment horizontal="left" vertical="center" wrapText="1"/>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17" fontId="40" fillId="2" borderId="2" xfId="0" applyNumberFormat="1" applyFont="1" applyFill="1" applyBorder="1" applyAlignment="1">
      <alignment horizontal="left" vertical="center"/>
    </xf>
    <xf numFmtId="0" fontId="31" fillId="2" borderId="0" xfId="0" applyFont="1" applyFill="1" applyAlignment="1">
      <alignment horizontal="center" vertical="center"/>
    </xf>
    <xf numFmtId="0" fontId="41"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42" fillId="4" borderId="0" xfId="0" applyNumberFormat="1" applyFont="1" applyFill="1" applyBorder="1" applyAlignment="1">
      <alignment horizontal="left" vertical="center" wrapText="1"/>
    </xf>
    <xf numFmtId="181" fontId="23" fillId="4" borderId="0" xfId="0" applyNumberFormat="1" applyFont="1" applyFill="1" applyBorder="1" applyAlignment="1">
      <alignment horizontal="left" vertical="center"/>
    </xf>
    <xf numFmtId="181" fontId="23" fillId="4" borderId="0" xfId="0" applyNumberFormat="1" applyFont="1" applyFill="1" applyBorder="1" applyAlignment="1">
      <alignment horizontal="center"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80" fontId="22" fillId="2" borderId="0" xfId="0" applyNumberFormat="1" applyFont="1" applyFill="1" applyAlignment="1">
      <alignment horizontal="left" vertical="center"/>
    </xf>
    <xf numFmtId="180" fontId="32" fillId="2" borderId="0" xfId="0" applyNumberFormat="1" applyFont="1" applyFill="1" applyAlignment="1">
      <alignment horizontal="left" vertical="center"/>
    </xf>
    <xf numFmtId="0" fontId="32" fillId="3" borderId="0" xfId="0" applyFont="1" applyFill="1" applyAlignment="1">
      <alignment horizontal="center" vertical="center"/>
    </xf>
    <xf numFmtId="181" fontId="23" fillId="4" borderId="0" xfId="0" applyNumberFormat="1" applyFont="1" applyFill="1" applyAlignment="1">
      <alignment horizontal="center" vertical="center"/>
    </xf>
    <xf numFmtId="0" fontId="43" fillId="4" borderId="0" xfId="25385" applyNumberFormat="1" applyFont="1" applyFill="1" applyBorder="1" applyAlignment="1">
      <alignment horizontal="left" vertical="center"/>
    </xf>
    <xf numFmtId="180" fontId="23" fillId="4" borderId="0" xfId="0" applyNumberFormat="1" applyFont="1" applyFill="1" applyBorder="1" applyAlignment="1">
      <alignment horizontal="left" vertical="center"/>
    </xf>
    <xf numFmtId="180" fontId="44" fillId="4" borderId="0" xfId="0" applyNumberFormat="1" applyFont="1" applyFill="1" applyBorder="1" applyAlignment="1">
      <alignment horizontal="left" vertical="center"/>
    </xf>
    <xf numFmtId="180" fontId="22" fillId="2" borderId="2" xfId="0" applyNumberFormat="1" applyFont="1" applyFill="1" applyBorder="1" applyAlignment="1">
      <alignment horizontal="left" vertical="center"/>
    </xf>
    <xf numFmtId="180" fontId="28" fillId="2" borderId="2" xfId="0" applyNumberFormat="1" applyFont="1" applyFill="1" applyBorder="1" applyAlignment="1">
      <alignment horizontal="left" vertical="center"/>
    </xf>
    <xf numFmtId="180" fontId="44" fillId="2" borderId="2" xfId="0" applyNumberFormat="1" applyFont="1" applyFill="1" applyBorder="1" applyAlignment="1">
      <alignment horizontal="left" vertical="center"/>
    </xf>
    <xf numFmtId="180" fontId="45" fillId="2" borderId="2" xfId="0" applyNumberFormat="1" applyFont="1" applyFill="1" applyBorder="1" applyAlignment="1">
      <alignment horizontal="left" vertical="center"/>
    </xf>
    <xf numFmtId="180" fontId="46" fillId="2" borderId="2" xfId="0" applyNumberFormat="1" applyFont="1" applyFill="1" applyBorder="1" applyAlignment="1">
      <alignment horizontal="left" vertical="center"/>
    </xf>
    <xf numFmtId="180" fontId="40" fillId="2" borderId="2" xfId="0" applyNumberFormat="1" applyFont="1" applyFill="1" applyBorder="1" applyAlignment="1">
      <alignment horizontal="left" vertical="center"/>
    </xf>
    <xf numFmtId="0" fontId="33" fillId="2" borderId="0" xfId="0" applyFont="1" applyFill="1" applyAlignment="1">
      <alignment horizontal="left" vertical="center"/>
    </xf>
    <xf numFmtId="182" fontId="22" fillId="2" borderId="0" xfId="0" applyNumberFormat="1" applyFont="1" applyFill="1" applyAlignment="1">
      <alignment horizontal="left" vertical="center"/>
    </xf>
    <xf numFmtId="0" fontId="33" fillId="3" borderId="0" xfId="0" applyFont="1" applyFill="1" applyAlignment="1">
      <alignment horizontal="left" vertical="center"/>
    </xf>
    <xf numFmtId="181" fontId="33" fillId="4" borderId="0" xfId="0" applyNumberFormat="1" applyFont="1" applyFill="1" applyBorder="1" applyAlignment="1">
      <alignment horizontal="left" vertical="center"/>
    </xf>
    <xf numFmtId="0" fontId="47" fillId="4" borderId="0" xfId="0" applyNumberFormat="1" applyFont="1" applyFill="1" applyBorder="1" applyAlignment="1">
      <alignment horizontal="left" vertical="center" wrapText="1"/>
    </xf>
    <xf numFmtId="0" fontId="47" fillId="4" borderId="0" xfId="0" applyNumberFormat="1" applyFont="1" applyFill="1" applyAlignment="1">
      <alignment horizontal="left" vertical="center" wrapText="1"/>
    </xf>
    <xf numFmtId="182" fontId="42" fillId="4" borderId="0" xfId="0" applyNumberFormat="1" applyFont="1" applyFill="1" applyAlignment="1">
      <alignment horizontal="center" vertical="center" wrapText="1"/>
    </xf>
    <xf numFmtId="14" fontId="33" fillId="2" borderId="2" xfId="0" applyNumberFormat="1" applyFont="1" applyFill="1" applyBorder="1" applyAlignment="1">
      <alignment horizontal="left" vertical="center"/>
    </xf>
    <xf numFmtId="182" fontId="22" fillId="2" borderId="2" xfId="0" applyNumberFormat="1" applyFont="1" applyFill="1" applyBorder="1" applyAlignment="1">
      <alignment horizontal="left" vertical="center"/>
    </xf>
    <xf numFmtId="180" fontId="33" fillId="2" borderId="2" xfId="12231" applyNumberFormat="1" applyFont="1" applyFill="1" applyBorder="1" applyAlignment="1">
      <alignment horizontal="left" vertical="center" wrapText="1"/>
    </xf>
    <xf numFmtId="182" fontId="48" fillId="2" borderId="2" xfId="0" applyNumberFormat="1" applyFont="1" applyFill="1" applyBorder="1" applyAlignment="1">
      <alignment horizontal="left" vertical="center"/>
    </xf>
    <xf numFmtId="180"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4" fontId="46" fillId="2" borderId="2" xfId="0" applyNumberFormat="1" applyFont="1" applyFill="1" applyBorder="1" applyAlignment="1">
      <alignment horizontal="left" vertical="center"/>
    </xf>
    <xf numFmtId="182" fontId="46" fillId="2" borderId="2" xfId="0" applyNumberFormat="1" applyFont="1" applyFill="1" applyBorder="1" applyAlignment="1">
      <alignment horizontal="left" vertical="center"/>
    </xf>
    <xf numFmtId="0" fontId="46" fillId="2" borderId="2" xfId="0" applyFont="1" applyFill="1" applyBorder="1" applyAlignment="1">
      <alignment horizontal="left" vertical="center"/>
    </xf>
    <xf numFmtId="180" fontId="46" fillId="2" borderId="2" xfId="0" applyNumberFormat="1" applyFont="1" applyFill="1" applyBorder="1" applyAlignment="1">
      <alignment horizontal="left" vertical="center" wrapText="1"/>
    </xf>
    <xf numFmtId="26" fontId="22" fillId="2" borderId="0" xfId="18886" applyNumberFormat="1" applyFont="1" applyFill="1" applyAlignment="1">
      <alignment horizontal="left" vertical="center"/>
    </xf>
    <xf numFmtId="183" fontId="22" fillId="2" borderId="0" xfId="0" applyNumberFormat="1" applyFont="1" applyFill="1" applyAlignment="1">
      <alignment horizontal="left" vertical="center"/>
    </xf>
    <xf numFmtId="182" fontId="41" fillId="3" borderId="0" xfId="0" applyNumberFormat="1" applyFont="1" applyFill="1" applyAlignment="1">
      <alignment horizontal="left" vertical="center"/>
    </xf>
    <xf numFmtId="182" fontId="42" fillId="4" borderId="0" xfId="0" applyNumberFormat="1" applyFont="1" applyFill="1" applyBorder="1" applyAlignment="1">
      <alignment horizontal="left" vertical="center" wrapText="1"/>
    </xf>
    <xf numFmtId="26" fontId="49" fillId="4" borderId="0" xfId="18886" applyNumberFormat="1" applyFont="1" applyFill="1" applyBorder="1" applyAlignment="1">
      <alignment horizontal="center" vertical="center" wrapText="1"/>
    </xf>
    <xf numFmtId="183" fontId="49" fillId="4" borderId="0" xfId="0" applyNumberFormat="1" applyFont="1" applyFill="1" applyBorder="1" applyAlignment="1">
      <alignment horizontal="center" vertical="center" wrapText="1"/>
    </xf>
    <xf numFmtId="182" fontId="49" fillId="4" borderId="0" xfId="0" applyNumberFormat="1" applyFont="1" applyFill="1" applyBorder="1" applyAlignment="1">
      <alignment horizontal="center" vertical="center"/>
    </xf>
    <xf numFmtId="26" fontId="50" fillId="5" borderId="2" xfId="0" applyNumberFormat="1" applyFont="1" applyFill="1" applyBorder="1" applyAlignment="1">
      <alignment horizontal="left" vertical="center"/>
    </xf>
    <xf numFmtId="183" fontId="51" fillId="4" borderId="2" xfId="0" applyNumberFormat="1" applyFont="1" applyFill="1" applyBorder="1" applyAlignment="1">
      <alignment horizontal="left" vertical="center"/>
    </xf>
    <xf numFmtId="182" fontId="28" fillId="2" borderId="2" xfId="0" applyNumberFormat="1" applyFont="1" applyFill="1" applyBorder="1" applyAlignment="1">
      <alignment horizontal="left" vertical="center"/>
    </xf>
    <xf numFmtId="182" fontId="26" fillId="2" borderId="2" xfId="0" applyNumberFormat="1" applyFont="1" applyFill="1" applyBorder="1" applyAlignment="1">
      <alignment horizontal="left" vertical="center"/>
    </xf>
    <xf numFmtId="182"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83"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83" fontId="53" fillId="4"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83" fontId="55" fillId="4" borderId="2" xfId="0" applyNumberFormat="1" applyFont="1" applyFill="1" applyBorder="1" applyAlignment="1">
      <alignment horizontal="left" vertical="center"/>
    </xf>
    <xf numFmtId="182" fontId="31" fillId="2" borderId="2" xfId="0" applyNumberFormat="1" applyFont="1" applyFill="1" applyBorder="1" applyAlignment="1">
      <alignment horizontal="left" vertical="center"/>
    </xf>
    <xf numFmtId="182" fontId="42" fillId="4" borderId="0" xfId="0" applyNumberFormat="1" applyFont="1" applyFill="1" applyAlignment="1">
      <alignment horizontal="center" vertical="center"/>
    </xf>
    <xf numFmtId="0" fontId="23" fillId="4" borderId="0" xfId="25385" applyNumberFormat="1" applyFont="1" applyFill="1" applyAlignment="1">
      <alignment horizontal="left" vertical="center"/>
    </xf>
    <xf numFmtId="182" fontId="53" fillId="2" borderId="2" xfId="0" applyNumberFormat="1" applyFont="1" applyFill="1" applyBorder="1" applyAlignment="1">
      <alignment horizontal="left" vertical="center"/>
    </xf>
    <xf numFmtId="182" fontId="45" fillId="2" borderId="2" xfId="0" applyNumberFormat="1" applyFont="1" applyFill="1" applyBorder="1" applyAlignment="1">
      <alignment horizontal="left" vertical="center"/>
    </xf>
    <xf numFmtId="182" fontId="40"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28" fillId="2" borderId="2" xfId="0" applyFont="1" applyFill="1" applyBorder="1" applyAlignment="1">
      <alignment horizontal="left" vertical="center"/>
    </xf>
    <xf numFmtId="0" fontId="40" fillId="2" borderId="2" xfId="0"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180" fontId="22" fillId="2" borderId="2" xfId="0" applyNumberFormat="1" applyFont="1" applyFill="1" applyBorder="1" applyAlignment="1">
      <alignment horizontal="left" vertical="center" wrapText="1"/>
    </xf>
    <xf numFmtId="178" fontId="46" fillId="2" borderId="2" xfId="0" applyNumberFormat="1" applyFont="1" applyFill="1" applyBorder="1" applyAlignment="1">
      <alignment horizontal="left" vertical="center"/>
    </xf>
    <xf numFmtId="180" fontId="40"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0" fontId="26" fillId="2" borderId="2" xfId="0" applyFont="1" applyFill="1" applyBorder="1" applyAlignment="1">
      <alignment horizontal="left" vertical="center" wrapText="1"/>
    </xf>
    <xf numFmtId="180" fontId="22" fillId="2" borderId="2" xfId="0" applyNumberFormat="1" applyFont="1" applyFill="1" applyBorder="1" applyAlignment="1">
      <alignment horizontal="left" vertical="top" wrapText="1"/>
    </xf>
    <xf numFmtId="180" fontId="57" fillId="2" borderId="2" xfId="0" applyNumberFormat="1" applyFont="1" applyFill="1" applyBorder="1" applyAlignment="1">
      <alignment horizontal="left" vertical="center" wrapText="1"/>
    </xf>
    <xf numFmtId="180" fontId="26" fillId="2" borderId="2" xfId="0" applyNumberFormat="1" applyFont="1" applyFill="1" applyBorder="1" applyAlignment="1">
      <alignment horizontal="left" vertical="center" wrapText="1"/>
    </xf>
    <xf numFmtId="180" fontId="58" fillId="2" borderId="2" xfId="0" applyNumberFormat="1" applyFont="1" applyFill="1" applyBorder="1" applyAlignment="1">
      <alignment horizontal="left" vertical="center" wrapText="1"/>
    </xf>
    <xf numFmtId="180" fontId="4" fillId="2" borderId="2" xfId="0" applyNumberFormat="1" applyFont="1" applyFill="1" applyBorder="1" applyAlignment="1">
      <alignment horizontal="left" vertical="center" wrapText="1"/>
    </xf>
    <xf numFmtId="182" fontId="57" fillId="2" borderId="2" xfId="0" applyNumberFormat="1" applyFont="1" applyFill="1" applyBorder="1" applyAlignment="1">
      <alignment horizontal="left" vertical="center"/>
    </xf>
    <xf numFmtId="182" fontId="21" fillId="2" borderId="2" xfId="0" applyNumberFormat="1" applyFont="1" applyFill="1" applyBorder="1" applyAlignment="1">
      <alignment horizontal="left" vertical="center"/>
    </xf>
    <xf numFmtId="182" fontId="33" fillId="2" borderId="2" xfId="0" applyNumberFormat="1" applyFont="1" applyFill="1" applyBorder="1" applyAlignment="1">
      <alignment horizontal="left" vertical="center"/>
    </xf>
    <xf numFmtId="26" fontId="59" fillId="5" borderId="2" xfId="0" applyNumberFormat="1" applyFont="1" applyFill="1" applyBorder="1" applyAlignment="1">
      <alignment horizontal="left" vertical="center"/>
    </xf>
    <xf numFmtId="183" fontId="60" fillId="4" borderId="2" xfId="0" applyNumberFormat="1" applyFont="1" applyFill="1" applyBorder="1" applyAlignment="1">
      <alignment horizontal="left" vertical="center"/>
    </xf>
    <xf numFmtId="58" fontId="61"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182"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4" fontId="56" fillId="2" borderId="2" xfId="0" applyNumberFormat="1" applyFont="1" applyFill="1" applyBorder="1" applyAlignment="1">
      <alignment horizontal="left" vertical="center" wrapText="1"/>
    </xf>
    <xf numFmtId="180" fontId="5" fillId="2" borderId="2" xfId="0" applyNumberFormat="1" applyFont="1" applyFill="1" applyBorder="1" applyAlignment="1">
      <alignment horizontal="left" vertical="center" wrapText="1"/>
    </xf>
    <xf numFmtId="180" fontId="32" fillId="2" borderId="2" xfId="0" applyNumberFormat="1" applyFont="1" applyFill="1" applyBorder="1" applyAlignment="1">
      <alignment horizontal="left" vertical="center" wrapText="1"/>
    </xf>
    <xf numFmtId="180" fontId="62" fillId="2" borderId="2" xfId="0" applyNumberFormat="1" applyFont="1" applyFill="1" applyBorder="1" applyAlignment="1">
      <alignment horizontal="left" vertical="center" wrapText="1"/>
    </xf>
    <xf numFmtId="180" fontId="28" fillId="2" borderId="2" xfId="0" applyNumberFormat="1" applyFont="1" applyFill="1" applyBorder="1" applyAlignment="1">
      <alignment horizontal="left" vertical="center" wrapText="1"/>
    </xf>
    <xf numFmtId="180" fontId="44" fillId="2" borderId="2" xfId="0" applyNumberFormat="1" applyFont="1" applyFill="1" applyBorder="1" applyAlignment="1">
      <alignment horizontal="left" vertical="center" wrapText="1"/>
    </xf>
    <xf numFmtId="180"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82"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82" fontId="65" fillId="2" borderId="2" xfId="0" applyNumberFormat="1" applyFont="1" applyFill="1" applyBorder="1" applyAlignment="1">
      <alignment horizontal="left" vertical="center"/>
    </xf>
    <xf numFmtId="182"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12231" applyFont="1" applyFill="1" applyBorder="1" applyAlignment="1">
      <alignment horizontal="left" vertical="center"/>
    </xf>
    <xf numFmtId="0" fontId="22" fillId="2" borderId="2" xfId="12231" applyFont="1" applyFill="1" applyBorder="1" applyAlignment="1">
      <alignment horizontal="left" vertical="center"/>
    </xf>
    <xf numFmtId="0" fontId="66" fillId="2" borderId="2" xfId="0" applyFont="1" applyFill="1" applyBorder="1" applyAlignment="1">
      <alignment horizontal="left" vertical="center"/>
    </xf>
    <xf numFmtId="0" fontId="4" fillId="2" borderId="2" xfId="12231" applyNumberFormat="1" applyFont="1" applyFill="1" applyBorder="1" applyAlignment="1">
      <alignment horizontal="left" vertical="center"/>
    </xf>
    <xf numFmtId="0" fontId="22" fillId="2" borderId="2" xfId="12231" applyNumberFormat="1" applyFont="1" applyFill="1" applyBorder="1" applyAlignment="1">
      <alignment horizontal="left" vertical="center"/>
    </xf>
    <xf numFmtId="180" fontId="33" fillId="2" borderId="2" xfId="0" applyNumberFormat="1" applyFont="1" applyFill="1" applyBorder="1" applyAlignment="1">
      <alignment horizontal="left" vertical="center"/>
    </xf>
    <xf numFmtId="180" fontId="33" fillId="2" borderId="2" xfId="22923" applyNumberFormat="1" applyFont="1" applyFill="1" applyBorder="1" applyAlignment="1">
      <alignment horizontal="left" vertical="center" wrapText="1"/>
    </xf>
    <xf numFmtId="0" fontId="22" fillId="2" borderId="2" xfId="22923" applyFont="1" applyFill="1" applyBorder="1" applyAlignment="1">
      <alignment horizontal="left" vertical="center"/>
    </xf>
    <xf numFmtId="180" fontId="22" fillId="2" borderId="2" xfId="12231" applyNumberFormat="1" applyFont="1" applyFill="1" applyBorder="1" applyAlignment="1">
      <alignment horizontal="left" vertical="center"/>
    </xf>
    <xf numFmtId="180" fontId="23" fillId="2" borderId="2" xfId="0" applyNumberFormat="1" applyFont="1" applyFill="1" applyBorder="1" applyAlignment="1">
      <alignment horizontal="left" vertical="center" wrapText="1"/>
    </xf>
    <xf numFmtId="180" fontId="32" fillId="2" borderId="2" xfId="0" applyNumberFormat="1" applyFont="1" applyFill="1" applyBorder="1" applyAlignment="1">
      <alignment horizontal="left" vertical="center"/>
    </xf>
    <xf numFmtId="180" fontId="7" fillId="2" borderId="2" xfId="0" applyNumberFormat="1" applyFont="1" applyFill="1" applyBorder="1" applyAlignment="1">
      <alignment horizontal="left" vertical="center" wrapText="1"/>
    </xf>
    <xf numFmtId="180" fontId="31" fillId="2" borderId="2" xfId="0" applyNumberFormat="1" applyFont="1" applyFill="1" applyBorder="1" applyAlignment="1">
      <alignment horizontal="left" vertical="center" wrapText="1"/>
    </xf>
    <xf numFmtId="180" fontId="67" fillId="2" borderId="2" xfId="0" applyNumberFormat="1" applyFont="1" applyFill="1" applyBorder="1" applyAlignment="1">
      <alignment horizontal="left" vertical="center" wrapText="1"/>
    </xf>
    <xf numFmtId="182" fontId="22" fillId="2" borderId="2" xfId="0" applyNumberFormat="1" applyFont="1" applyFill="1" applyBorder="1" applyAlignment="1">
      <alignment horizontal="left" vertical="center" wrapText="1"/>
    </xf>
    <xf numFmtId="180" fontId="28" fillId="2" borderId="2" xfId="12231" applyNumberFormat="1" applyFont="1" applyFill="1" applyBorder="1" applyAlignment="1">
      <alignment horizontal="left" vertical="center" wrapText="1"/>
    </xf>
    <xf numFmtId="182" fontId="22" fillId="2" borderId="2" xfId="12231" applyNumberFormat="1" applyFont="1" applyFill="1" applyBorder="1" applyAlignment="1">
      <alignment horizontal="left" vertical="center"/>
    </xf>
    <xf numFmtId="180" fontId="22" fillId="2" borderId="2" xfId="12231" applyNumberFormat="1" applyFont="1" applyFill="1" applyBorder="1" applyAlignment="1">
      <alignment horizontal="left" vertical="center" wrapText="1"/>
    </xf>
    <xf numFmtId="0" fontId="63" fillId="2" borderId="2" xfId="0" applyFont="1" applyFill="1" applyBorder="1" applyAlignment="1">
      <alignment horizontal="left" vertical="center"/>
    </xf>
    <xf numFmtId="182" fontId="22" fillId="2" borderId="2" xfId="0" applyNumberFormat="1" applyFont="1" applyFill="1" applyBorder="1" applyAlignment="1">
      <alignment horizontal="center" vertical="center"/>
    </xf>
    <xf numFmtId="182" fontId="22" fillId="2" borderId="2" xfId="22923" applyNumberFormat="1" applyFont="1" applyFill="1" applyBorder="1" applyAlignment="1">
      <alignment horizontal="left" vertical="center"/>
    </xf>
    <xf numFmtId="182" fontId="48"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58" fontId="28" fillId="2" borderId="2" xfId="0" applyNumberFormat="1" applyFont="1" applyFill="1" applyBorder="1" applyAlignment="1">
      <alignment horizontal="left" vertical="center"/>
    </xf>
    <xf numFmtId="180" fontId="22" fillId="2" borderId="2" xfId="22923" applyNumberFormat="1" applyFont="1" applyFill="1" applyBorder="1" applyAlignment="1">
      <alignment horizontal="left" vertical="center"/>
    </xf>
    <xf numFmtId="182" fontId="44" fillId="2" borderId="2" xfId="12231" applyNumberFormat="1" applyFont="1" applyFill="1" applyBorder="1" applyAlignment="1">
      <alignment horizontal="left" vertical="center"/>
    </xf>
    <xf numFmtId="58" fontId="26" fillId="2" borderId="2" xfId="12231" applyNumberFormat="1" applyFont="1" applyFill="1" applyBorder="1" applyAlignment="1">
      <alignment horizontal="left" vertical="center"/>
    </xf>
    <xf numFmtId="182" fontId="44" fillId="2" borderId="2" xfId="0" applyNumberFormat="1" applyFont="1" applyFill="1" applyBorder="1" applyAlignment="1">
      <alignment horizontal="left" vertical="center" wrapText="1"/>
    </xf>
    <xf numFmtId="182"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0" fontId="13" fillId="2" borderId="2" xfId="0" applyFont="1" applyFill="1" applyBorder="1" applyAlignment="1">
      <alignment horizontal="left" vertical="center"/>
    </xf>
    <xf numFmtId="180" fontId="31" fillId="2" borderId="2" xfId="0" applyNumberFormat="1" applyFont="1" applyFill="1" applyBorder="1" applyAlignment="1">
      <alignment horizontal="left" vertical="center"/>
    </xf>
    <xf numFmtId="180" fontId="33" fillId="5" borderId="2" xfId="0" applyNumberFormat="1" applyFont="1" applyFill="1" applyBorder="1" applyAlignment="1">
      <alignment horizontal="left" vertical="center" wrapText="1"/>
    </xf>
    <xf numFmtId="180" fontId="22" fillId="5" borderId="2" xfId="0" applyNumberFormat="1" applyFont="1" applyFill="1" applyBorder="1" applyAlignment="1">
      <alignment horizontal="left" vertical="center"/>
    </xf>
    <xf numFmtId="180" fontId="22" fillId="5" borderId="2" xfId="0" applyNumberFormat="1" applyFont="1" applyFill="1" applyBorder="1" applyAlignment="1">
      <alignment horizontal="left" vertical="center" wrapText="1"/>
    </xf>
    <xf numFmtId="26" fontId="22" fillId="2" borderId="2" xfId="0" applyNumberFormat="1" applyFont="1" applyFill="1" applyBorder="1" applyAlignment="1">
      <alignment horizontal="left" vertical="center"/>
    </xf>
    <xf numFmtId="180" fontId="4" fillId="5" borderId="2" xfId="0" applyNumberFormat="1" applyFont="1" applyFill="1" applyBorder="1" applyAlignment="1">
      <alignment horizontal="left" vertical="center" wrapText="1"/>
    </xf>
    <xf numFmtId="180" fontId="7" fillId="5" borderId="2" xfId="0" applyNumberFormat="1" applyFont="1" applyFill="1" applyBorder="1" applyAlignment="1">
      <alignment horizontal="left" vertical="center" wrapText="1"/>
    </xf>
    <xf numFmtId="180" fontId="33" fillId="5" borderId="2" xfId="12231" applyNumberFormat="1" applyFont="1" applyFill="1" applyBorder="1" applyAlignment="1">
      <alignment horizontal="left" vertical="center" wrapText="1"/>
    </xf>
    <xf numFmtId="182" fontId="22" fillId="5" borderId="2" xfId="0" applyNumberFormat="1" applyFont="1" applyFill="1" applyBorder="1" applyAlignment="1">
      <alignment horizontal="left" vertical="center"/>
    </xf>
    <xf numFmtId="7" fontId="22" fillId="2" borderId="2" xfId="0" applyNumberFormat="1" applyFont="1" applyFill="1" applyBorder="1" applyAlignment="1">
      <alignment horizontal="left" vertical="center"/>
    </xf>
    <xf numFmtId="26" fontId="34" fillId="5" borderId="2" xfId="12231" applyNumberFormat="1" applyFont="1" applyFill="1" applyBorder="1" applyAlignment="1">
      <alignment horizontal="left" vertical="center"/>
    </xf>
    <xf numFmtId="183" fontId="44" fillId="4" borderId="2" xfId="12231" applyNumberFormat="1" applyFont="1" applyFill="1" applyBorder="1" applyAlignment="1">
      <alignment horizontal="left" vertical="center"/>
    </xf>
    <xf numFmtId="183" fontId="44" fillId="5" borderId="2" xfId="12231" applyNumberFormat="1" applyFont="1" applyFill="1" applyBorder="1" applyAlignment="1">
      <alignment horizontal="left" vertical="center"/>
    </xf>
    <xf numFmtId="182" fontId="69" fillId="2" borderId="2" xfId="0" applyNumberFormat="1" applyFont="1" applyFill="1" applyBorder="1" applyAlignment="1">
      <alignment horizontal="left" vertical="center"/>
    </xf>
    <xf numFmtId="182" fontId="69" fillId="2" borderId="2" xfId="0" applyNumberFormat="1" applyFont="1" applyFill="1" applyBorder="1" applyAlignment="1">
      <alignment horizontal="left" vertical="center" wrapText="1"/>
    </xf>
    <xf numFmtId="182" fontId="68" fillId="2" borderId="2" xfId="0" applyNumberFormat="1" applyFont="1" applyFill="1" applyBorder="1" applyAlignment="1">
      <alignment horizontal="left" vertical="center" wrapText="1"/>
    </xf>
    <xf numFmtId="182" fontId="4" fillId="2" borderId="2" xfId="0" applyNumberFormat="1" applyFont="1" applyFill="1" applyBorder="1" applyAlignment="1">
      <alignment horizontal="left" vertical="center"/>
    </xf>
    <xf numFmtId="182"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80" fontId="70" fillId="2" borderId="2" xfId="0" applyNumberFormat="1" applyFont="1" applyFill="1" applyBorder="1" applyAlignment="1">
      <alignment horizontal="left" vertical="center" wrapText="1"/>
    </xf>
    <xf numFmtId="180"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0" fontId="31" fillId="2" borderId="2" xfId="0" applyFont="1" applyFill="1" applyBorder="1" applyAlignment="1">
      <alignment horizontal="left" vertical="center"/>
    </xf>
    <xf numFmtId="182" fontId="73" fillId="2" borderId="2" xfId="0" applyNumberFormat="1" applyFont="1" applyFill="1" applyBorder="1" applyAlignment="1">
      <alignment horizontal="left" vertical="center"/>
    </xf>
    <xf numFmtId="0" fontId="34" fillId="2" borderId="2" xfId="0" applyFont="1" applyFill="1" applyBorder="1" applyAlignment="1">
      <alignment horizontal="left" vertical="center"/>
    </xf>
    <xf numFmtId="0" fontId="40" fillId="2" borderId="2" xfId="12231" applyFont="1" applyFill="1" applyBorder="1" applyAlignment="1">
      <alignment horizontal="left" vertical="center"/>
    </xf>
    <xf numFmtId="0" fontId="29" fillId="2" borderId="2" xfId="12231" applyFont="1" applyFill="1" applyBorder="1" applyAlignment="1">
      <alignment horizontal="left" vertical="center"/>
    </xf>
    <xf numFmtId="0" fontId="30" fillId="2" borderId="2" xfId="12231" applyFont="1" applyFill="1" applyBorder="1" applyAlignment="1">
      <alignment horizontal="left" vertical="center"/>
    </xf>
    <xf numFmtId="0" fontId="40" fillId="2" borderId="2" xfId="0" applyFont="1" applyFill="1" applyBorder="1">
      <alignment vertical="center"/>
    </xf>
    <xf numFmtId="0" fontId="28" fillId="2" borderId="2" xfId="0" applyFont="1" applyFill="1" applyBorder="1">
      <alignment vertical="center"/>
    </xf>
    <xf numFmtId="176" fontId="22" fillId="2" borderId="2" xfId="0" applyNumberFormat="1" applyFont="1" applyFill="1" applyBorder="1" applyAlignment="1">
      <alignment horizontal="left" vertical="center"/>
    </xf>
    <xf numFmtId="176" fontId="31" fillId="2" borderId="2" xfId="0" applyNumberFormat="1" applyFont="1" applyFill="1" applyBorder="1" applyAlignment="1">
      <alignment horizontal="left" vertical="center"/>
    </xf>
    <xf numFmtId="26" fontId="22" fillId="2" borderId="2" xfId="21374" applyNumberFormat="1" applyFont="1" applyFill="1" applyBorder="1" applyAlignment="1">
      <alignment horizontal="left" vertical="center"/>
    </xf>
    <xf numFmtId="180" fontId="7" fillId="2" borderId="2" xfId="12231" applyNumberFormat="1" applyFont="1" applyFill="1" applyBorder="1" applyAlignment="1">
      <alignment horizontal="left" vertical="center" wrapText="1"/>
    </xf>
    <xf numFmtId="182" fontId="22" fillId="2" borderId="3" xfId="0" applyNumberFormat="1" applyFont="1" applyFill="1" applyBorder="1" applyAlignment="1">
      <alignment horizontal="left" vertical="center"/>
    </xf>
    <xf numFmtId="182" fontId="22" fillId="2" borderId="4" xfId="0" applyNumberFormat="1" applyFont="1" applyFill="1" applyBorder="1" applyAlignment="1">
      <alignment horizontal="left" vertical="center"/>
    </xf>
    <xf numFmtId="182" fontId="22" fillId="2" borderId="2" xfId="12231"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80" fontId="25" fillId="2" borderId="2" xfId="0" applyNumberFormat="1" applyFont="1" applyFill="1" applyBorder="1" applyAlignment="1">
      <alignment horizontal="left" vertical="center" wrapText="1"/>
    </xf>
    <xf numFmtId="180" fontId="78" fillId="2" borderId="2" xfId="0" applyNumberFormat="1" applyFont="1" applyFill="1" applyBorder="1" applyAlignment="1">
      <alignment horizontal="left" vertical="center" wrapText="1"/>
    </xf>
    <xf numFmtId="180" fontId="46" fillId="2" borderId="2" xfId="0" applyNumberFormat="1" applyFont="1" applyFill="1" applyBorder="1" applyAlignment="1">
      <alignment vertical="center" wrapText="1"/>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182" fontId="22" fillId="2" borderId="5" xfId="0" applyNumberFormat="1" applyFont="1" applyFill="1" applyBorder="1" applyAlignment="1">
      <alignment horizontal="left" vertical="center"/>
    </xf>
    <xf numFmtId="26" fontId="59" fillId="5" borderId="2" xfId="18886" applyNumberFormat="1" applyFont="1" applyFill="1" applyBorder="1" applyAlignment="1">
      <alignment horizontal="left" vertical="center"/>
    </xf>
    <xf numFmtId="26" fontId="34" fillId="5" borderId="2" xfId="18886" applyNumberFormat="1" applyFont="1" applyFill="1" applyBorder="1" applyAlignment="1">
      <alignment horizontal="left" vertical="center"/>
    </xf>
    <xf numFmtId="182" fontId="60" fillId="2" borderId="2" xfId="0"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80" fontId="4" fillId="2" borderId="2" xfId="0" applyNumberFormat="1" applyFont="1" applyFill="1" applyBorder="1" applyAlignment="1">
      <alignment horizontal="left" vertical="center"/>
    </xf>
    <xf numFmtId="180" fontId="80" fillId="2" borderId="2" xfId="0" applyNumberFormat="1" applyFont="1" applyFill="1" applyBorder="1" applyAlignment="1">
      <alignment horizontal="left" vertical="center" wrapText="1"/>
    </xf>
    <xf numFmtId="180" fontId="81" fillId="2" borderId="2" xfId="0" applyNumberFormat="1" applyFont="1" applyFill="1" applyBorder="1" applyAlignment="1">
      <alignment horizontal="left" vertical="center" wrapText="1"/>
    </xf>
    <xf numFmtId="179" fontId="22" fillId="2" borderId="2" xfId="21374"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23" fillId="2" borderId="2" xfId="0" applyFont="1" applyFill="1" applyBorder="1">
      <alignment vertical="center"/>
    </xf>
    <xf numFmtId="0" fontId="34" fillId="2" borderId="2" xfId="0" applyFont="1" applyFill="1" applyBorder="1">
      <alignment vertical="center"/>
    </xf>
    <xf numFmtId="0" fontId="44" fillId="2" borderId="2" xfId="0" applyFont="1" applyFill="1" applyBorder="1" applyAlignment="1">
      <alignment horizontal="left" vertical="center"/>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0" fontId="33" fillId="2" borderId="2" xfId="0" applyFont="1" applyFill="1" applyBorder="1">
      <alignment vertical="center"/>
    </xf>
    <xf numFmtId="0" fontId="33" fillId="2" borderId="2" xfId="0" applyFont="1" applyFill="1" applyBorder="1" applyAlignment="1">
      <alignment horizontal="left"/>
    </xf>
    <xf numFmtId="184" fontId="31" fillId="2" borderId="2" xfId="0" applyNumberFormat="1" applyFont="1" applyFill="1" applyBorder="1" applyAlignment="1">
      <alignment horizontal="left" vertical="center"/>
    </xf>
    <xf numFmtId="182" fontId="32" fillId="2" borderId="2" xfId="0" applyNumberFormat="1" applyFont="1" applyFill="1" applyBorder="1" applyAlignment="1">
      <alignment horizontal="left" vertical="center" wrapText="1"/>
    </xf>
    <xf numFmtId="183"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182" fontId="84" fillId="2" borderId="2" xfId="0" applyNumberFormat="1" applyFont="1" applyFill="1" applyBorder="1" applyAlignment="1">
      <alignment horizontal="left" vertical="center"/>
    </xf>
    <xf numFmtId="0" fontId="28" fillId="0" borderId="2" xfId="0" applyFont="1" applyFill="1" applyBorder="1">
      <alignment vertical="center"/>
    </xf>
    <xf numFmtId="0" fontId="33" fillId="2" borderId="2" xfId="12231" applyFont="1" applyFill="1" applyBorder="1" applyAlignment="1">
      <alignment horizontal="left" vertical="center"/>
    </xf>
    <xf numFmtId="0" fontId="23" fillId="2" borderId="2" xfId="0" applyNumberFormat="1" applyFont="1" applyFill="1" applyBorder="1" applyAlignment="1">
      <alignment horizontal="left" vertical="center"/>
    </xf>
    <xf numFmtId="0" fontId="48" fillId="2" borderId="2" xfId="12231" applyNumberFormat="1" applyFont="1" applyFill="1" applyBorder="1" applyAlignment="1">
      <alignment horizontal="left" vertical="center" wrapText="1"/>
    </xf>
    <xf numFmtId="0" fontId="33" fillId="2" borderId="2" xfId="12231" applyNumberFormat="1" applyFont="1" applyFill="1" applyBorder="1" applyAlignment="1">
      <alignment horizontal="left" vertical="center"/>
    </xf>
    <xf numFmtId="0" fontId="46" fillId="2" borderId="2" xfId="0" applyFont="1" applyFill="1" applyBorder="1">
      <alignment vertical="center"/>
    </xf>
    <xf numFmtId="0" fontId="5" fillId="2" borderId="2" xfId="0" applyFont="1" applyFill="1" applyBorder="1">
      <alignment vertical="center"/>
    </xf>
    <xf numFmtId="182" fontId="63" fillId="2" borderId="2" xfId="0" applyNumberFormat="1" applyFont="1" applyFill="1" applyBorder="1" applyAlignment="1">
      <alignment horizontal="left" vertical="center"/>
    </xf>
    <xf numFmtId="180" fontId="69" fillId="2" borderId="2" xfId="12231" applyNumberFormat="1" applyFont="1" applyFill="1" applyBorder="1" applyAlignment="1">
      <alignment horizontal="left" vertical="center" wrapText="1"/>
    </xf>
    <xf numFmtId="26" fontId="22" fillId="2" borderId="2" xfId="12231" applyNumberFormat="1" applyFont="1" applyFill="1" applyBorder="1" applyAlignment="1">
      <alignment horizontal="left" vertical="center"/>
    </xf>
    <xf numFmtId="180" fontId="44" fillId="2" borderId="2" xfId="12231"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83"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26" fontId="34" fillId="5" borderId="2" xfId="0" applyNumberFormat="1" applyFont="1" applyFill="1" applyBorder="1" applyAlignment="1">
      <alignment horizontal="left" vertical="center" wrapText="1"/>
    </xf>
    <xf numFmtId="183" fontId="44" fillId="4" borderId="2" xfId="0" applyNumberFormat="1" applyFont="1" applyFill="1" applyBorder="1" applyAlignment="1">
      <alignment horizontal="left" vertical="center" wrapText="1"/>
    </xf>
    <xf numFmtId="58" fontId="28" fillId="2" borderId="2" xfId="12231" applyNumberFormat="1" applyFont="1" applyFill="1" applyBorder="1" applyAlignment="1">
      <alignment horizontal="left" vertical="center"/>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6" fillId="2" borderId="2" xfId="0" applyNumberFormat="1" applyFont="1" applyFill="1" applyBorder="1" applyAlignment="1">
      <alignment horizontal="left" vertical="center"/>
    </xf>
    <xf numFmtId="182" fontId="4" fillId="2" borderId="2" xfId="0" applyNumberFormat="1" applyFont="1" applyFill="1" applyBorder="1" applyAlignment="1">
      <alignment horizontal="left" vertical="center" wrapText="1"/>
    </xf>
    <xf numFmtId="0" fontId="44" fillId="2" borderId="2" xfId="0" applyFont="1" applyFill="1" applyBorder="1">
      <alignment vertical="center"/>
    </xf>
    <xf numFmtId="0" fontId="57" fillId="2" borderId="2" xfId="0" applyNumberFormat="1" applyFont="1" applyFill="1" applyBorder="1" applyAlignment="1">
      <alignment horizontal="left" vertical="center"/>
    </xf>
    <xf numFmtId="0" fontId="33" fillId="2" borderId="2" xfId="0" applyFont="1" applyFill="1" applyBorder="1" applyAlignment="1">
      <alignment horizontal="left" vertical="center" wrapText="1"/>
    </xf>
    <xf numFmtId="26"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7" fontId="31" fillId="2" borderId="2" xfId="0" applyNumberFormat="1" applyFont="1" applyFill="1" applyBorder="1" applyAlignment="1">
      <alignment horizontal="left" vertical="center"/>
    </xf>
    <xf numFmtId="180" fontId="17" fillId="2" borderId="2" xfId="0" applyNumberFormat="1" applyFont="1" applyFill="1" applyBorder="1" applyAlignment="1">
      <alignment horizontal="left" vertical="center" wrapText="1"/>
    </xf>
    <xf numFmtId="180" fontId="85" fillId="2" borderId="2" xfId="0" applyNumberFormat="1"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80"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18886" applyNumberFormat="1" applyFont="1" applyFill="1" applyBorder="1" applyAlignment="1">
      <alignment horizontal="left" vertical="center"/>
    </xf>
    <xf numFmtId="183" fontId="32" fillId="4"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83" fontId="28" fillId="4" borderId="2" xfId="0" applyNumberFormat="1" applyFont="1" applyFill="1" applyBorder="1" applyAlignment="1">
      <alignment horizontal="left" vertical="center"/>
    </xf>
    <xf numFmtId="183" fontId="22" fillId="0" borderId="2" xfId="0" applyNumberFormat="1" applyFont="1" applyFill="1" applyBorder="1" applyAlignment="1">
      <alignment horizontal="left" vertical="center"/>
    </xf>
    <xf numFmtId="182" fontId="58" fillId="2" borderId="2" xfId="0" applyNumberFormat="1" applyFont="1" applyFill="1" applyBorder="1" applyAlignment="1">
      <alignment horizontal="left" vertical="center"/>
    </xf>
    <xf numFmtId="0" fontId="86" fillId="2" borderId="2" xfId="0"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67" fillId="2" borderId="2" xfId="0" applyFont="1" applyFill="1" applyBorder="1" applyAlignment="1">
      <alignment horizontal="left" vertical="center"/>
    </xf>
    <xf numFmtId="180" fontId="27"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51" fillId="2" borderId="2" xfId="0" applyFont="1" applyFill="1" applyBorder="1" applyAlignment="1">
      <alignment horizontal="left" vertical="center"/>
    </xf>
    <xf numFmtId="0" fontId="32" fillId="2" borderId="2" xfId="0" applyFont="1" applyFill="1" applyBorder="1" applyAlignment="1">
      <alignment horizontal="left" wrapText="1"/>
    </xf>
    <xf numFmtId="0" fontId="22" fillId="2" borderId="2" xfId="0" applyFont="1" applyFill="1" applyBorder="1" applyAlignment="1">
      <alignment horizontal="left"/>
    </xf>
    <xf numFmtId="0" fontId="87"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26" fontId="22" fillId="5" borderId="2" xfId="18886" applyNumberFormat="1" applyFont="1" applyFill="1" applyBorder="1" applyAlignment="1">
      <alignment horizontal="left" vertical="center"/>
    </xf>
    <xf numFmtId="0" fontId="28" fillId="6" borderId="2" xfId="0"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0" fillId="2" borderId="2" xfId="0" applyFont="1" applyFill="1" applyBorder="1" applyAlignment="1">
      <alignment horizontal="left" vertical="center"/>
    </xf>
    <xf numFmtId="0" fontId="91" fillId="2" borderId="2" xfId="0" applyFont="1" applyFill="1" applyBorder="1" applyAlignment="1">
      <alignment horizontal="left" vertical="center"/>
    </xf>
    <xf numFmtId="0" fontId="92" fillId="2" borderId="2" xfId="0" applyFont="1" applyFill="1" applyBorder="1" applyAlignment="1">
      <alignment horizontal="left" vertical="center"/>
    </xf>
    <xf numFmtId="0" fontId="93" fillId="2" borderId="2" xfId="0" applyFont="1" applyFill="1" applyBorder="1" applyAlignment="1">
      <alignment horizontal="left" vertical="center"/>
    </xf>
    <xf numFmtId="0" fontId="94" fillId="2" borderId="2" xfId="0" applyNumberFormat="1" applyFont="1" applyFill="1" applyBorder="1" applyAlignment="1">
      <alignment horizontal="left" vertical="center"/>
    </xf>
    <xf numFmtId="0" fontId="95" fillId="2" borderId="2" xfId="0" applyNumberFormat="1" applyFont="1" applyFill="1" applyBorder="1" applyAlignment="1">
      <alignment horizontal="left" vertical="center"/>
    </xf>
    <xf numFmtId="0" fontId="95" fillId="2" borderId="2" xfId="0" applyFont="1" applyFill="1" applyBorder="1" applyAlignment="1">
      <alignment horizontal="left" vertical="center"/>
    </xf>
    <xf numFmtId="14" fontId="95" fillId="2" borderId="2" xfId="0" applyNumberFormat="1" applyFont="1" applyFill="1" applyBorder="1" applyAlignment="1">
      <alignment horizontal="left" vertical="center"/>
    </xf>
    <xf numFmtId="0" fontId="96" fillId="2" borderId="2" xfId="0" applyFont="1" applyFill="1" applyBorder="1" applyAlignment="1">
      <alignment horizontal="left" vertical="center"/>
    </xf>
    <xf numFmtId="0" fontId="95" fillId="2" borderId="2" xfId="0" applyNumberFormat="1" applyFont="1" applyFill="1" applyBorder="1" applyAlignment="1">
      <alignment horizontal="left" vertical="center" wrapText="1"/>
    </xf>
    <xf numFmtId="0" fontId="97" fillId="2" borderId="2" xfId="0" applyFont="1" applyFill="1" applyBorder="1" applyAlignment="1">
      <alignment horizontal="left" vertical="center"/>
    </xf>
    <xf numFmtId="0" fontId="98" fillId="2" borderId="2" xfId="0" applyFont="1" applyFill="1" applyBorder="1" applyAlignment="1">
      <alignment horizontal="left" vertical="center"/>
    </xf>
    <xf numFmtId="58" fontId="24" fillId="2" borderId="2" xfId="0" applyNumberFormat="1" applyFont="1" applyFill="1" applyBorder="1" applyAlignment="1">
      <alignment horizontal="left" vertical="center"/>
    </xf>
    <xf numFmtId="180" fontId="98" fillId="2" borderId="2" xfId="0" applyNumberFormat="1" applyFont="1" applyFill="1" applyBorder="1" applyAlignment="1">
      <alignment horizontal="left" vertical="center" wrapText="1"/>
    </xf>
    <xf numFmtId="180" fontId="94" fillId="2" borderId="2" xfId="0" applyNumberFormat="1" applyFont="1" applyFill="1" applyBorder="1" applyAlignment="1">
      <alignment horizontal="left" vertical="center"/>
    </xf>
    <xf numFmtId="180" fontId="95" fillId="2" borderId="2" xfId="0" applyNumberFormat="1" applyFont="1" applyFill="1" applyBorder="1" applyAlignment="1">
      <alignment horizontal="left" vertical="center"/>
    </xf>
    <xf numFmtId="180" fontId="95" fillId="2" borderId="2" xfId="0" applyNumberFormat="1" applyFont="1" applyFill="1" applyBorder="1" applyAlignment="1">
      <alignment horizontal="left" vertical="center" wrapText="1"/>
    </xf>
    <xf numFmtId="180" fontId="98" fillId="2" borderId="2" xfId="0" applyNumberFormat="1" applyFont="1" applyFill="1" applyBorder="1" applyAlignment="1">
      <alignment horizontal="left" vertical="center"/>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6"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182" fontId="94" fillId="2" borderId="2" xfId="0" applyNumberFormat="1" applyFont="1" applyFill="1" applyBorder="1" applyAlignment="1">
      <alignment horizontal="left" vertical="center"/>
    </xf>
    <xf numFmtId="14" fontId="98" fillId="2" borderId="2" xfId="0" applyNumberFormat="1" applyFont="1" applyFill="1" applyBorder="1" applyAlignment="1">
      <alignment horizontal="left" vertical="center"/>
    </xf>
    <xf numFmtId="182" fontId="95" fillId="2" borderId="2" xfId="0" applyNumberFormat="1" applyFont="1" applyFill="1" applyBorder="1" applyAlignment="1">
      <alignment horizontal="left" vertical="center"/>
    </xf>
    <xf numFmtId="182" fontId="98" fillId="2" borderId="2" xfId="0" applyNumberFormat="1" applyFont="1" applyFill="1" applyBorder="1" applyAlignment="1">
      <alignment horizontal="left" vertical="center"/>
    </xf>
    <xf numFmtId="183" fontId="99" fillId="4" borderId="2" xfId="0" applyNumberFormat="1" applyFont="1" applyFill="1" applyBorder="1" applyAlignment="1">
      <alignment horizontal="left" vertical="center"/>
    </xf>
    <xf numFmtId="182" fontId="95" fillId="2" borderId="2" xfId="0" applyNumberFormat="1" applyFont="1" applyFill="1" applyBorder="1" applyAlignment="1">
      <alignment horizontal="left" vertical="center" wrapText="1"/>
    </xf>
    <xf numFmtId="183" fontId="99" fillId="4" borderId="2" xfId="0" applyNumberFormat="1" applyFont="1" applyFill="1" applyBorder="1" applyAlignment="1">
      <alignment horizontal="left" vertical="center" wrapText="1"/>
    </xf>
    <xf numFmtId="182" fontId="91" fillId="2" borderId="2" xfId="0" applyNumberFormat="1" applyFont="1" applyFill="1" applyBorder="1" applyAlignment="1">
      <alignment horizontal="left" vertical="center"/>
    </xf>
    <xf numFmtId="182" fontId="100" fillId="2" borderId="2" xfId="0" applyNumberFormat="1" applyFont="1" applyFill="1" applyBorder="1" applyAlignment="1">
      <alignment horizontal="left" vertical="center"/>
    </xf>
    <xf numFmtId="183" fontId="44" fillId="4" borderId="0" xfId="0" applyNumberFormat="1" applyFont="1" applyFill="1" applyAlignment="1">
      <alignment horizontal="left" vertical="center"/>
    </xf>
    <xf numFmtId="182" fontId="101" fillId="2" borderId="2" xfId="0" applyNumberFormat="1" applyFont="1" applyFill="1" applyBorder="1" applyAlignment="1">
      <alignment horizontal="left" vertical="center"/>
    </xf>
    <xf numFmtId="14" fontId="95" fillId="2" borderId="2" xfId="25385" applyNumberFormat="1" applyFont="1" applyFill="1" applyBorder="1" applyAlignment="1">
      <alignment horizontal="left" vertical="center"/>
    </xf>
    <xf numFmtId="177" fontId="95" fillId="2" borderId="2" xfId="0" applyNumberFormat="1" applyFont="1" applyFill="1" applyBorder="1" applyAlignment="1">
      <alignment horizontal="left" vertical="center"/>
    </xf>
    <xf numFmtId="182" fontId="102" fillId="4" borderId="2" xfId="0" applyNumberFormat="1" applyFont="1" applyFill="1" applyBorder="1" applyAlignment="1">
      <alignment horizontal="left" vertical="center"/>
    </xf>
  </cellXfs>
  <cellStyles count="27865">
    <cellStyle name="常规" xfId="0" builtinId="0"/>
    <cellStyle name="常规 6 3 2 4 3 2" xfId="1"/>
    <cellStyle name="40% - 强调文字颜色 2 2 2 3 7" xfId="2"/>
    <cellStyle name="20% - 强调文字颜色 2 2 3 2 4 3 2" xfId="3"/>
    <cellStyle name="20% - 强调文字颜色 2 2 2 2 6 2" xfId="4"/>
    <cellStyle name="适中 2 3 2 2 2" xfId="5"/>
    <cellStyle name="40% - 强调文字颜色 1 2 5 2 2 2 2" xfId="6"/>
    <cellStyle name="40% - 强调文字颜色 4 2 2 5 2 2" xfId="7"/>
    <cellStyle name="20% - 强调文字颜色 1 2 4" xfId="8"/>
    <cellStyle name="40% - 强调文字颜色 1 3 4 2 2 2" xfId="9"/>
    <cellStyle name="20% - 强调文字颜色 4 3 2 2 3 2 2" xfId="10"/>
    <cellStyle name="常规 13 2 2 2" xfId="11"/>
    <cellStyle name="超链接 2 2 2 7" xfId="12"/>
    <cellStyle name="40% - 强调文字颜色 2 2 2 2 2 2 4 3" xfId="13"/>
    <cellStyle name="20% - 强调文字颜色 4 2 3 4 3 2" xfId="14"/>
    <cellStyle name="常规 5 3 2 6 2" xfId="15"/>
    <cellStyle name="标题 2 2 2 4 2 3" xfId="16"/>
    <cellStyle name="40% - 强调文字颜色 6 2 2 2 3 2 2 2 2" xfId="17"/>
    <cellStyle name="注释 2 4 2 2 5" xfId="18"/>
    <cellStyle name="检查单元格 2 6 2" xfId="19"/>
    <cellStyle name="40% - 强调文字颜色 3 3 2 4" xfId="20"/>
    <cellStyle name="20% - 强调文字颜色 2 2 2 5 2 2 2" xfId="21"/>
    <cellStyle name="40% - 强调文字颜色 6 2 2 2 2 2 4" xfId="22"/>
    <cellStyle name="20% - 强调文字颜色 4 2 3 2 2 4 3 2" xfId="23"/>
    <cellStyle name="汇总 2 2 5 3 2 7" xfId="24"/>
    <cellStyle name="60% - 强调文字颜色 2 2 3 3 6" xfId="25"/>
    <cellStyle name="注释 3 3 2 2 2 2" xfId="26"/>
    <cellStyle name="40% - 强调文字颜色 4 3 7" xfId="27"/>
    <cellStyle name="40% - 强调文字颜色 4 2 2 4 3" xfId="28"/>
    <cellStyle name="40% - 强调文字颜色 2 3 6" xfId="29"/>
    <cellStyle name="60% - 强调文字颜色 5 2 3 2 5 2" xfId="30"/>
    <cellStyle name="40% - 强调文字颜色 4 2 2 3 4 2" xfId="31"/>
    <cellStyle name="标题 2 2 4 6 2 2" xfId="32"/>
    <cellStyle name="20% - 强调文字颜色 1 2 5 3 2 2 2" xfId="33"/>
    <cellStyle name="40% - 强调文字颜色 4 2 2 2 2 2 4 2 2" xfId="34"/>
    <cellStyle name="40% - 强调文字颜色 2 2 2 2 2 2 3" xfId="35"/>
    <cellStyle name="20% - 强调文字颜色 2 2 2 3 6" xfId="36"/>
    <cellStyle name="40% - 强调文字颜色 1 3 5 2 2" xfId="37"/>
    <cellStyle name="40% - 强调文字颜色 3 2 2 4 3 3" xfId="38"/>
    <cellStyle name="输出 2 16" xfId="39"/>
    <cellStyle name="汇总 2 2 4 4 2 4" xfId="40"/>
    <cellStyle name="20% - 强调文字颜色 6 2 2 5 2 2 2" xfId="41"/>
    <cellStyle name="汇总 2 2 8 5 3 2" xfId="42"/>
    <cellStyle name="20% - 强调文字颜色 6 2 2 3 3 3 2" xfId="43"/>
    <cellStyle name="60% - 强调文字颜色 6 5" xfId="44"/>
    <cellStyle name="适中 4 4" xfId="45"/>
    <cellStyle name="标题 4 2 2 3 8" xfId="46"/>
    <cellStyle name="40% - 强调文字颜色 2 2 2 4 4 2" xfId="47"/>
    <cellStyle name="40% - 强调文字颜色 3 2 2 2 2 3 3" xfId="48"/>
    <cellStyle name="输出 2 5 4 4 2 2" xfId="49"/>
    <cellStyle name="60% - 强调文字颜色 1 3 9" xfId="50"/>
    <cellStyle name="60% - 强调文字颜色 1 2 9 2" xfId="51"/>
    <cellStyle name="20% - 强调文字颜色 6 2 2 4 4 2 2" xfId="52"/>
    <cellStyle name="输出 2 2 5 4 2 2 2" xfId="53"/>
    <cellStyle name="40% - 强调文字颜色 4 2 3 2 2 5" xfId="54"/>
    <cellStyle name="20% - 强调文字颜色 3 2 2 2 7" xfId="55"/>
    <cellStyle name="20% - 强调文字颜色 2 2 5 2" xfId="56"/>
    <cellStyle name="40% - 强调文字颜色 1 3 4 2 2" xfId="57"/>
    <cellStyle name="20% - 强调文字颜色 6 3 9" xfId="58"/>
    <cellStyle name="输入 2 2 10 2 2" xfId="59"/>
    <cellStyle name="60% - 强调文字颜色 2 2 2 3 4 2 2" xfId="60"/>
    <cellStyle name="40% - 强调文字颜色 5 2 4 2 2 2" xfId="61"/>
    <cellStyle name="40% - 强调文字颜色 6 2 3 2 2 3" xfId="62"/>
    <cellStyle name="汇总 2 2 8 2 2 2 2" xfId="63"/>
    <cellStyle name="差 2 2 4 5" xfId="64"/>
    <cellStyle name="60% - 强调文字颜色 6 5 2 2 2" xfId="65"/>
    <cellStyle name="20% - 强调文字颜色 3 2 3 3 3 2 2" xfId="66"/>
    <cellStyle name="常规 5 4 3" xfId="67"/>
    <cellStyle name="20% - 强调文字颜色 1 2 2 2 6 2" xfId="68"/>
    <cellStyle name="40% - 强调文字颜色 4 3 2 2 4" xfId="69"/>
    <cellStyle name="60% - 强调文字颜色 1 2 2 2 4" xfId="70"/>
    <cellStyle name="60% - 强调文字颜色 6 2 5 2" xfId="71"/>
    <cellStyle name="注释 2 6 2 2 3 2 2" xfId="72"/>
    <cellStyle name="输入 2 5 4 2 2 3" xfId="73"/>
    <cellStyle name="注释 2 2 2 2 5 2" xfId="74"/>
    <cellStyle name="20% - 强调文字颜色 1 2 3 2 2" xfId="75"/>
    <cellStyle name="60% - 强调文字颜色 5 2 2 2 4 3 2" xfId="76"/>
    <cellStyle name="40% - 强调文字颜色 6 2 2 2 2 3 2 2 2 2" xfId="77"/>
    <cellStyle name="标题 2 2 2 2 2 3 2" xfId="78"/>
    <cellStyle name="20% - 强调文字颜色 2 2 8 2 2" xfId="79"/>
    <cellStyle name="40% - 强调文字颜色 2 2 2 2 7" xfId="80"/>
    <cellStyle name="60% - 强调文字颜色 6 2 3 6 2 2" xfId="81"/>
    <cellStyle name="20% - 强调文字颜色 2 2 2 3 4" xfId="82"/>
    <cellStyle name="计算 2 2 4 2 3 5 2 2" xfId="83"/>
    <cellStyle name="标题 4 2 2 4 2 3" xfId="84"/>
    <cellStyle name="20% - 强调文字颜色 2 2 3 2 2 5 2 2" xfId="85"/>
    <cellStyle name="输入 2 10 3 2" xfId="86"/>
    <cellStyle name="40% - 强调文字颜色 4 2 3 3 4" xfId="87"/>
    <cellStyle name="60% - 强调文字颜色 2 3 2 2 2 2 2 2" xfId="88"/>
    <cellStyle name="汇总 2 4 2 2 4 2 2" xfId="89"/>
    <cellStyle name="强调文字颜色 4 2 2 2 2 2 2 2" xfId="90"/>
    <cellStyle name="40% - 强调文字颜色 5 2 2 8 2" xfId="91"/>
    <cellStyle name="注释 2 2 9 7" xfId="92"/>
    <cellStyle name="标题 2 2 2 6 3 2 2" xfId="93"/>
    <cellStyle name="标题 4 2 3 2 3 2 2" xfId="94"/>
    <cellStyle name="20% - 强调文字颜色 1 2 2 2 2 4 3 2" xfId="95"/>
    <cellStyle name="注释 2 2 7 2 5" xfId="96"/>
    <cellStyle name="20% - 强调文字颜色 1 2 2 2 2 2 3" xfId="97"/>
    <cellStyle name="20% - 强调文字颜色 3 2 3 2 4 3 2" xfId="98"/>
    <cellStyle name="40% - 强调文字颜色 5 3 2 4 2 2" xfId="99"/>
    <cellStyle name="标题 3 2 5 3" xfId="100"/>
    <cellStyle name="计算 2 2 6 7 3" xfId="101"/>
    <cellStyle name="20% - 强调文字颜色 4 2 4 4 2 2" xfId="102"/>
    <cellStyle name="40% - 强调文字颜色 6 4 4 2 2" xfId="103"/>
    <cellStyle name="常规 9 6 3" xfId="104"/>
    <cellStyle name="20% - 强调文字颜色 2 2 3 2 2 2 2 2" xfId="105"/>
    <cellStyle name="40% - 强调文字颜色 4 2 3 2 3 2 2 2" xfId="106"/>
    <cellStyle name="40% - 强调文字颜色 6 2 2 2 2 2 2 3 2" xfId="107"/>
    <cellStyle name="计算 3 4 5 2" xfId="108"/>
    <cellStyle name="40% - 强调文字颜色 1 2 3 2 2" xfId="109"/>
    <cellStyle name="20% - 强调文字颜色 1 2 2 2 2 3 3 2" xfId="110"/>
    <cellStyle name="40% - 强调文字颜色 2 2 2 2 5 2" xfId="111"/>
    <cellStyle name="标题 3 2 4 3 2 3" xfId="112"/>
    <cellStyle name="20% - 强调文字颜色 6 3 5" xfId="113"/>
    <cellStyle name="20% - 强调文字颜色 2 2 2 2 2 3 3 2" xfId="114"/>
    <cellStyle name="40% - 强调文字颜色 2 2 3 2 2 4 3 2" xfId="115"/>
    <cellStyle name="60% - 强调文字颜色 1 3 5" xfId="116"/>
    <cellStyle name="计算 2 2 3 3 8" xfId="117"/>
    <cellStyle name="60% - 强调文字颜色 1 2 8 2" xfId="118"/>
    <cellStyle name="解释性文本 2 3 2 4 3" xfId="119"/>
    <cellStyle name="20% - 强调文字颜色 6 2 2 4 3 2 2" xfId="120"/>
    <cellStyle name="40% - 强调文字颜色 3 2 2 5 3" xfId="121"/>
    <cellStyle name="40% - 强调文字颜色 6 2 2 2 3 4" xfId="122"/>
    <cellStyle name="20% - 强调文字颜色 2 2 2 3" xfId="123"/>
    <cellStyle name="40% - 强调文字颜色 4 2 3 3" xfId="124"/>
    <cellStyle name="计算 2 4 2 2 3 3 2" xfId="125"/>
    <cellStyle name="40% - 强调文字颜色 4 2 2 4 4" xfId="126"/>
    <cellStyle name="20% - 强调文字颜色 5 2 3 4 3 2 2" xfId="127"/>
    <cellStyle name="标题 4 2 2 2 2 4 4" xfId="128"/>
    <cellStyle name="汇总 2 2 4 2 2 3 3" xfId="129"/>
    <cellStyle name="40% - 强调文字颜色 1 2 2 5 3 2 2" xfId="130"/>
    <cellStyle name="标题 5 2 2" xfId="131"/>
    <cellStyle name="检查单元格 3 2 4 2" xfId="132"/>
    <cellStyle name="20% - 强调文字颜色 2 2 3 2 2 3 3 2" xfId="133"/>
    <cellStyle name="计算 2 7 2 2 4 2" xfId="134"/>
    <cellStyle name="标题 1 2 4 3 2 2" xfId="135"/>
    <cellStyle name="汇总 2 2 3 4 2 4" xfId="136"/>
    <cellStyle name="汇总 2 6 2" xfId="137"/>
    <cellStyle name="60% - 强调文字颜色 6 4 5" xfId="138"/>
    <cellStyle name="标题 3 2 4 7" xfId="139"/>
    <cellStyle name="常规 4 3 2 2 5" xfId="140"/>
    <cellStyle name="40% - 强调文字颜色 6 2 4 2 2 2 2" xfId="141"/>
    <cellStyle name="标题 9 2 2 2" xfId="142"/>
    <cellStyle name="标题 4 2 3 2 4" xfId="143"/>
    <cellStyle name="60% - 强调文字颜色 3 6 2" xfId="144"/>
    <cellStyle name="20% - 强调文字颜色 5 2 2 2 7" xfId="145"/>
    <cellStyle name="20% - 强调文字颜色 4 3 9" xfId="146"/>
    <cellStyle name="40% - 强调文字颜色 4 3 2 2 4 2" xfId="147"/>
    <cellStyle name="警告文本 2 2 4 4 2 2" xfId="148"/>
    <cellStyle name="40% - 强调文字颜色 1 2 2 2 2" xfId="149"/>
    <cellStyle name="输入 2 2 2 4 2 3 2" xfId="150"/>
    <cellStyle name="40% - 强调文字颜色 5 2 3 6 2" xfId="151"/>
    <cellStyle name="40% - 强调文字颜色 3 3 5 2" xfId="152"/>
    <cellStyle name="超链接 2 3 4 2" xfId="153"/>
    <cellStyle name="20% - 强调文字颜色 2 4 2 4 2" xfId="154"/>
    <cellStyle name="60% - 强调文字颜色 5 2 3 2 2 3 2" xfId="155"/>
    <cellStyle name="40% - 强调文字颜色 2 2 2 2 2 2 2 3" xfId="156"/>
    <cellStyle name="标题 3 2 6 2 2 3" xfId="157"/>
    <cellStyle name="20% - 强调文字颜色 2 2 3 2 2" xfId="158"/>
    <cellStyle name="输入 2 2 2 2 7 2" xfId="159"/>
    <cellStyle name="40% - 强调文字颜色 2 4 5 2" xfId="160"/>
    <cellStyle name="标题 2 2 2 2 3 3 2" xfId="161"/>
    <cellStyle name="40% - 强调文字颜色 5 3 2 4" xfId="162"/>
    <cellStyle name="20% - 强调文字颜色 2 2 3 2" xfId="163"/>
    <cellStyle name="计算 2 5 2" xfId="164"/>
    <cellStyle name="链接单元格 2 2 6 2 3" xfId="165"/>
    <cellStyle name="20% - 强调文字颜色 5 3 2 2 3 2" xfId="166"/>
    <cellStyle name="40% - 强调文字颜色 4 2 2 4 5 2" xfId="167"/>
    <cellStyle name="60% - 强调文字颜色 3 3 2 4" xfId="168"/>
    <cellStyle name="百分比 2 5 3 2" xfId="169"/>
    <cellStyle name="20% - 强调文字颜色 1 2 3 3 2" xfId="170"/>
    <cellStyle name="计算 2 2 5 2 4 3 2" xfId="171"/>
    <cellStyle name="40% - 强调文字颜色 6 3 2 3 2 2 2" xfId="172"/>
    <cellStyle name="20% - 强调文字颜色 2 2 4 4 2 2" xfId="173"/>
    <cellStyle name="40% - 强调文字颜色 5 2 3 2 2 5" xfId="174"/>
    <cellStyle name="检查单元格 2 3 3 2 3" xfId="175"/>
    <cellStyle name="40% - 强调文字颜色 5 2 3 2 5" xfId="176"/>
    <cellStyle name="40% - 强调文字颜色 2 2 2 2 2 2 2 2" xfId="177"/>
    <cellStyle name="20% - 强调文字颜色 1 2 7 2" xfId="178"/>
    <cellStyle name="标题 2 2 3 6 2 2" xfId="179"/>
    <cellStyle name="输出 2 6 2 2 7" xfId="180"/>
    <cellStyle name="40% - 强调文字颜色 3 2 2 2 3 3" xfId="181"/>
    <cellStyle name="注释 2 2 2 3 4 3" xfId="182"/>
    <cellStyle name="汇总 2 2 5 2 7 2" xfId="183"/>
    <cellStyle name="常规 7 4 4" xfId="184"/>
    <cellStyle name="40% - 强调文字颜色 1 2 3 7" xfId="185"/>
    <cellStyle name="汇总 2 6 4 2 4" xfId="186"/>
    <cellStyle name="常规 7 2 2 2 2 3 2" xfId="187"/>
    <cellStyle name="输出 2 6 4 6" xfId="188"/>
    <cellStyle name="标题 1 2 3 3 2 3" xfId="189"/>
    <cellStyle name="汇总 2 2 2 4 2 5" xfId="190"/>
    <cellStyle name="汇总 4 2 2 3" xfId="191"/>
    <cellStyle name="40% - 强调文字颜色 4 2 3 2 2 4 2 2" xfId="192"/>
    <cellStyle name="40% - 强调文字颜色 4 2 3 2 2 2 2 2" xfId="193"/>
    <cellStyle name="40% - 强调文字颜色 6 2 2 2 2 2 3 2 2 2" xfId="194"/>
    <cellStyle name="标题 2 2 2 2 4 2 2" xfId="195"/>
    <cellStyle name="40% - 强调文字颜色 3 2 3 2 2 3 2 2 2" xfId="196"/>
    <cellStyle name="20% - 强调文字颜色 4 2 2 2 6 2 2" xfId="197"/>
    <cellStyle name="20% - 强调文字颜色 6 2 5 2" xfId="198"/>
    <cellStyle name="20% - 强调文字颜色 5 5 2 2 2 2" xfId="199"/>
    <cellStyle name="常规 3 3 7 2 4 2" xfId="200"/>
    <cellStyle name="计算 2 5 2 3 5 2 2" xfId="201"/>
    <cellStyle name="警告文本 2 3 4 2 2 2" xfId="202"/>
    <cellStyle name="说明文本 2 4 2" xfId="203"/>
    <cellStyle name="汇总 2 10 5 2" xfId="204"/>
    <cellStyle name="20% - 强调文字颜色 2 2 2 3 4 2" xfId="205"/>
    <cellStyle name="标题 7 3 2 3" xfId="206"/>
    <cellStyle name="40% - 强调文字颜色 2 3 2 2 4 2" xfId="207"/>
    <cellStyle name="20% - 强调文字颜色 2 2 7 3 2" xfId="208"/>
    <cellStyle name="输出 2 2 4 4 8" xfId="209"/>
    <cellStyle name="40% - 强调文字颜色 6 3 2 2 2 2 2 2" xfId="210"/>
    <cellStyle name="常规 6 2 4 2" xfId="211"/>
    <cellStyle name="标题 3 2 6 2 3" xfId="212"/>
    <cellStyle name="汇总 2 5 2 8 2 2" xfId="213"/>
    <cellStyle name="标题 2 2 3 2 3 2 2" xfId="214"/>
    <cellStyle name="60% - 强调文字颜色 6 2 3 3" xfId="215"/>
    <cellStyle name="40% - 强调文字颜色 4 2 2 4 3 2" xfId="216"/>
    <cellStyle name="40% - 强调文字颜色 1 2 3 2 2 2" xfId="217"/>
    <cellStyle name="百分比 2 3 2 3 2" xfId="218"/>
    <cellStyle name="40% - 强调文字颜色 6 2 2 8" xfId="219"/>
    <cellStyle name="计算 2 3 2 2 2 3 3" xfId="220"/>
    <cellStyle name="汇总 2 2 3 7 3" xfId="221"/>
    <cellStyle name="40% - 强调文字颜色 2 2 3 3 2 2 2 2 2" xfId="222"/>
    <cellStyle name="检查单元格 2 2 4 5 2 2" xfId="223"/>
    <cellStyle name="40% - 强调文字颜色 3 4 2 4" xfId="224"/>
    <cellStyle name="标题 1 2 3 2 4 2" xfId="225"/>
    <cellStyle name="解释性文本 2 2 4 5 2 2" xfId="226"/>
    <cellStyle name="40% - 强调文字颜色 4 2 3 2 2 2" xfId="227"/>
    <cellStyle name="40% - 强调文字颜色 5 2 3 2 2 3 3" xfId="228"/>
    <cellStyle name="40% - 强调文字颜色 2 3 2 2 2 2 2" xfId="229"/>
    <cellStyle name="汇总 2 2 3 4 5 2 2" xfId="230"/>
    <cellStyle name="20% - 强调文字颜色 3 2 4 4 2" xfId="231"/>
    <cellStyle name="常规 7 2 2 2 5 2" xfId="232"/>
    <cellStyle name="60% - 强调文字颜色 1 2 3 2 2 3 2" xfId="233"/>
    <cellStyle name="汇总 2 3 5 3 3" xfId="234"/>
    <cellStyle name="40% - 强调文字颜色 5 2 2 7 2" xfId="235"/>
    <cellStyle name="注释 2 2 8 7" xfId="236"/>
    <cellStyle name="40% - 强调文字颜色 3 2 2 2 3 2 2 2" xfId="237"/>
    <cellStyle name="20% - 强调文字颜色 5 3 2 4 2" xfId="238"/>
    <cellStyle name="检查单元格 3 2 2" xfId="239"/>
    <cellStyle name="输出 2 3 3 3" xfId="240"/>
    <cellStyle name="40% - 强调文字颜色 2 2 2 2 2 4 3" xfId="241"/>
    <cellStyle name="20% - 强调文字颜色 3 3 2 2 3 2 2 2" xfId="242"/>
    <cellStyle name="标题 3 2 3 3 2 2 2 2 2" xfId="243"/>
    <cellStyle name="40% - 强调文字颜色 4 3 2 4" xfId="244"/>
    <cellStyle name="输出 2 2 4 2 2 2 3" xfId="245"/>
    <cellStyle name="汇总 2 2 4 5 3" xfId="246"/>
    <cellStyle name="标题 1 2 3 2 2 2 2 2 3" xfId="247"/>
    <cellStyle name="注释 2 4 2 8" xfId="248"/>
    <cellStyle name="好 2 3" xfId="249"/>
    <cellStyle name="计算 2 11 3" xfId="250"/>
    <cellStyle name="标题 1 2 3 2 4 4" xfId="251"/>
    <cellStyle name="60% - 强调文字颜色 6 2 5 2 2 2" xfId="252"/>
    <cellStyle name="标题 4 2 4 4 3" xfId="253"/>
    <cellStyle name="标题 2 2 2 4 2 2" xfId="254"/>
    <cellStyle name="标题 4 2 4 3 3 2" xfId="255"/>
    <cellStyle name="注释 2 2 2 2 6" xfId="256"/>
    <cellStyle name="40% - 强调文字颜色 6 2 2 2 2 2 3 2 2" xfId="257"/>
    <cellStyle name="计算 3 5 4 2" xfId="258"/>
    <cellStyle name="60% - 强调文字颜色 2 2 3 3 2 2 2 2 2" xfId="259"/>
    <cellStyle name="20% - 强调文字颜色 6 2 2 4 3 3 2" xfId="260"/>
    <cellStyle name="40% - 强调文字颜色 3 2 2 4 2 2 2" xfId="261"/>
    <cellStyle name="60% - 强调文字颜色 2 2 2 3 6" xfId="262"/>
    <cellStyle name="标题 5 2 2 2 2 5" xfId="263"/>
    <cellStyle name="警告文本 2 2 4 2 2 2" xfId="264"/>
    <cellStyle name="标题 5 3 2 5" xfId="265"/>
    <cellStyle name="检查单元格 2 2 2 3 5" xfId="266"/>
    <cellStyle name="20% - 强调文字颜色 2 2 2 3 5 2" xfId="267"/>
    <cellStyle name="40% - 强调文字颜色 4 2 3 3 3 2" xfId="268"/>
    <cellStyle name="40% - 强调文字颜色 2 2 2 2 2 2 2" xfId="269"/>
    <cellStyle name="计算 2 2 4 3 2 2 3 3" xfId="270"/>
    <cellStyle name="40% - 强调文字颜色 4 2 3 2 2 2 3 2" xfId="271"/>
    <cellStyle name="标题 1 2 4 5 3" xfId="272"/>
    <cellStyle name="40% - 强调文字颜色 6 2 3 2 2 5 2 2" xfId="273"/>
    <cellStyle name="40% - 强调文字颜色 1 2 2 2 8" xfId="274"/>
    <cellStyle name="40% - 强调文字颜色 4 2 2 3 3 3 2" xfId="275"/>
    <cellStyle name="检查单元格 2 2 2 4 3 2 2" xfId="276"/>
    <cellStyle name="20% - 强调文字颜色 2 2 4 5 2 2" xfId="277"/>
    <cellStyle name="20% - 强调文字颜色 6 2 3 2 3 2 2" xfId="278"/>
    <cellStyle name="40% - 强调文字颜色 2 2 2 5 3 2" xfId="279"/>
    <cellStyle name="标题 2 2 3 4 3 2 2" xfId="280"/>
    <cellStyle name="标题 2 2 3 3 3 2" xfId="281"/>
    <cellStyle name="好 3 3 2" xfId="282"/>
    <cellStyle name="40% - 强调文字颜色 4 2 2 2 2 4 3 2" xfId="283"/>
    <cellStyle name="60% - 强调文字颜色 2 2 2 2 6 2 2 2" xfId="284"/>
    <cellStyle name="汇总 2 5 3 2 3 2 2" xfId="285"/>
    <cellStyle name="计算 2 2 4 2 2 5 3" xfId="286"/>
    <cellStyle name="输入 2 2 4 2 2 8" xfId="287"/>
    <cellStyle name="60% - 强调文字颜色 1 3 3 3 2" xfId="288"/>
    <cellStyle name="差 2 3 2 2 4" xfId="289"/>
    <cellStyle name="40% - 强调文字颜色 5 3" xfId="290"/>
    <cellStyle name="常规 2 5 3" xfId="291"/>
    <cellStyle name="输出 2 6 5" xfId="292"/>
    <cellStyle name="60% - 强调文字颜色 5 2 4 5 2" xfId="293"/>
    <cellStyle name="标题 4 2 3 3 7" xfId="294"/>
    <cellStyle name="40% - 强调文字颜色 4 2 2 3 3 2 2" xfId="295"/>
    <cellStyle name="40% - 强调文字颜色 5 2 4 6" xfId="296"/>
    <cellStyle name="60% - 强调文字颜色 6 2 3 2 2 2 3" xfId="297"/>
    <cellStyle name="警告文本 3 4 2" xfId="298"/>
    <cellStyle name="40% - 强调文字颜色 3 2 2 5 3 2" xfId="299"/>
    <cellStyle name="40% - 强调文字颜色 1 2 2 10" xfId="300"/>
    <cellStyle name="标题 1 2 2 3 8" xfId="301"/>
    <cellStyle name="20% - 强调文字颜色 5 3 2 3" xfId="302"/>
    <cellStyle name="汇总 2 5 6 4" xfId="303"/>
    <cellStyle name="40% - 强调文字颜色 5 3 3 4 2" xfId="304"/>
    <cellStyle name="标题 6 2 2 2" xfId="305"/>
    <cellStyle name="60% - 强调文字颜色 3 2 2 3 2 2 2" xfId="306"/>
    <cellStyle name="计算 2 2 4 5 2 2" xfId="307"/>
    <cellStyle name="百分比 2 2 4 2 3" xfId="308"/>
    <cellStyle name="解释性文本 2 2 7 3" xfId="309"/>
    <cellStyle name="常规 9 3 2 3 2 2" xfId="310"/>
    <cellStyle name="20% - 强调文字颜色 4 2 3 3 3 2 2" xfId="311"/>
    <cellStyle name="常规 4 5 2 5" xfId="312"/>
    <cellStyle name="40% - 强调文字颜色 1 2 2 2 6" xfId="313"/>
    <cellStyle name="40% - 强调文字颜色 3 4 2 3 2 2 2" xfId="314"/>
    <cellStyle name="警告文本 3 7" xfId="315"/>
    <cellStyle name="20% - 强调文字颜色 2 2 2 2 2 2 3 3" xfId="316"/>
    <cellStyle name="汇总 2 2 8 2 2 2 2 2" xfId="317"/>
    <cellStyle name="40% - 强调文字颜色 2 2 2 3 4 2 2" xfId="318"/>
    <cellStyle name="20% - 强调文字颜色 2 2 5 2 2 2 2" xfId="319"/>
    <cellStyle name="40% - 强调文字颜色 6 2 2 2 2 2 3 3" xfId="320"/>
    <cellStyle name="计算 3 5 5" xfId="321"/>
    <cellStyle name="40% - 强调文字颜色 3 2 2 4 3 2" xfId="322"/>
    <cellStyle name="输出 2 7 10" xfId="323"/>
    <cellStyle name="40% - 强调文字颜色 4 2 2 5 3" xfId="324"/>
    <cellStyle name="汇总 2 5 12" xfId="325"/>
    <cellStyle name="汇总 2 2 2 3 3 3 2 2" xfId="326"/>
    <cellStyle name="标题 1 2 2 9" xfId="327"/>
    <cellStyle name="40% - 强调文字颜色 4 2 2 2 2 2 3 2" xfId="328"/>
    <cellStyle name="20% - 强调文字颜色 2 2 6 3" xfId="329"/>
    <cellStyle name="20% - 强调文字颜色 1 2 4 4 3 2" xfId="330"/>
    <cellStyle name="汇总 4 3 4 2" xfId="331"/>
    <cellStyle name="20% - 强调文字颜色 6 2 2 3 3 2" xfId="332"/>
    <cellStyle name="警告文本 2 2 2 2 3 3 2 2" xfId="333"/>
    <cellStyle name="60% - 强调文字颜色 6 2 3 3 6" xfId="334"/>
    <cellStyle name="标题 2 2 2 3 2 3" xfId="335"/>
    <cellStyle name="60% - 强调文字颜色 5 2 3 2 2 2 2" xfId="336"/>
    <cellStyle name="20% - 强调文字颜色 2 4 2 3 2" xfId="337"/>
    <cellStyle name="强调文字颜色 2 2 7 2" xfId="338"/>
    <cellStyle name="20% - 强调文字颜色 6 3" xfId="339"/>
    <cellStyle name="链接单元格 2 3 2 4" xfId="340"/>
    <cellStyle name="标题 4 3 4 2" xfId="341"/>
    <cellStyle name="输入 2 2 4 8 2 2" xfId="342"/>
    <cellStyle name="20% - 强调文字颜色 6 3 7" xfId="343"/>
    <cellStyle name="20% - 强调文字颜色 4 2 2 7 2" xfId="344"/>
    <cellStyle name="标题 1 2 2 2 2 2 3 2" xfId="345"/>
    <cellStyle name="40% - 强调文字颜色 5 2 3 3 3" xfId="346"/>
    <cellStyle name="汇总 2 2 4 2 2 2 3 2 2" xfId="347"/>
    <cellStyle name="40% - 强调文字颜色 3 2 2 2 3 5" xfId="348"/>
    <cellStyle name="40% - 强调文字颜色 3 2 2 2 2 2 2 2 2 2" xfId="349"/>
    <cellStyle name="标题 4 2 2 2 5 3" xfId="350"/>
    <cellStyle name="40% - 强调文字颜色 3 2 2 2 2 5 2" xfId="351"/>
    <cellStyle name="40% - 强调文字颜色 4 2 4 2 2 2 2" xfId="352"/>
    <cellStyle name="常规 2 2 3 2" xfId="353"/>
    <cellStyle name="输出 2 3 5 2" xfId="354"/>
    <cellStyle name="标题 2 2 2 2 2 2 5" xfId="355"/>
    <cellStyle name="40% - 强调文字颜色 1 3 3 2 2" xfId="356"/>
    <cellStyle name="差 2 4 5 3" xfId="357"/>
    <cellStyle name="60% - 强调文字颜色 5 3 2 2 2 2 2" xfId="358"/>
    <cellStyle name="20% - 强调文字颜色 3 2 3 3 3 2" xfId="359"/>
    <cellStyle name="60% - 强调文字颜色 2 4 2 3 2 2" xfId="360"/>
    <cellStyle name="40% - 强调文字颜色 4 2 2 7" xfId="361"/>
    <cellStyle name="40% - 强调文字颜色 5 4 2 3 2 2" xfId="362"/>
    <cellStyle name="检查单元格 2 4 3 4" xfId="363"/>
    <cellStyle name="Normal 4 3 2" xfId="364"/>
    <cellStyle name="标题 5 7 2" xfId="365"/>
    <cellStyle name="汇总 2 2 8 3 4" xfId="366"/>
    <cellStyle name="20% - 强调文字颜色 6 2 3 4 3" xfId="367"/>
    <cellStyle name="20% - 强调文字颜色 1 2 2 2 2 3 2 2" xfId="368"/>
    <cellStyle name="20% - 强调文字颜色 6 2 3 4 3 2" xfId="369"/>
    <cellStyle name="40% - 强调文字颜色 5 2 2 3 7" xfId="370"/>
    <cellStyle name="20% - 强调文字颜色 5 2 8" xfId="371"/>
    <cellStyle name="常规 5 4 3 3" xfId="372"/>
    <cellStyle name="40% - 强调文字颜色 3 2 3 5 2 2" xfId="373"/>
    <cellStyle name="好 2 3 3 2" xfId="374"/>
    <cellStyle name="汇总 2 2 4 4 6 2 2" xfId="375"/>
    <cellStyle name="标题 5 3 4 3 2 2" xfId="376"/>
    <cellStyle name="20% - 强调文字颜色 4 2 3 2 4 3 2" xfId="377"/>
    <cellStyle name="计算 2 2 8 4 7" xfId="378"/>
    <cellStyle name="60% - 强调文字颜色 6 4 4" xfId="379"/>
    <cellStyle name="40% - 强调文字颜色 6 2 2 4 2 3" xfId="380"/>
    <cellStyle name="40% - 强调文字颜色 5 2 4 4" xfId="381"/>
    <cellStyle name="汇总 3 6" xfId="382"/>
    <cellStyle name="20% - 强调文字颜色 4 2 2 3 3 3" xfId="383"/>
    <cellStyle name="20% - 强调文字颜色 5 4 2 2 2" xfId="384"/>
    <cellStyle name="20% - 强调文字颜色 3 2 2 4 5 2" xfId="385"/>
    <cellStyle name="计算 2 6 7" xfId="386"/>
    <cellStyle name="40% - 强调文字颜色 6 2 4 4 3" xfId="387"/>
    <cellStyle name="百分比 2 3 4 2 2 2" xfId="388"/>
    <cellStyle name="40% - 强调文字颜色 4 2 3 2 2 3 3 2" xfId="389"/>
    <cellStyle name="20% - 强调文字颜色 2 2 4 4 2 2 2" xfId="390"/>
    <cellStyle name="常规 5 3 3 4" xfId="391"/>
    <cellStyle name="20% - 强调文字颜色 4 2 9" xfId="392"/>
    <cellStyle name="40% - 强调文字颜色 6 2 4 5 2" xfId="393"/>
    <cellStyle name="40% - 强调文字颜色 2 3 3 3 2 2 2" xfId="394"/>
    <cellStyle name="20% - 强调文字颜色 5 3 2 4 2 2" xfId="395"/>
    <cellStyle name="20% - 强调文字颜色 2 3 3 3 2 2 2" xfId="396"/>
    <cellStyle name="适中 2 2 2 4 3 3" xfId="397"/>
    <cellStyle name="40% - 强调文字颜色 5 3 4" xfId="398"/>
    <cellStyle name="常规 4 5 3 3" xfId="399"/>
    <cellStyle name="Normal" xfId="400"/>
    <cellStyle name="输出 2 6 13" xfId="401"/>
    <cellStyle name="汇总 2 6 6" xfId="402"/>
    <cellStyle name="好 2 3 6 2 2 2" xfId="403"/>
    <cellStyle name="20% - 强调文字颜色 1 2 2 2 7" xfId="404"/>
    <cellStyle name="常规 5 5 3 2 2" xfId="405"/>
    <cellStyle name="40% - 强调文字颜色 2 2 2 2" xfId="406"/>
    <cellStyle name="计算 2 5 7 2" xfId="407"/>
    <cellStyle name="20% - 强调文字颜色 3 2 2 4 4 2 2" xfId="408"/>
    <cellStyle name="60% - 强调文字颜色 3 2 7 2" xfId="409"/>
    <cellStyle name="60% - 强调文字颜色 2 2 3 5 2" xfId="410"/>
    <cellStyle name="40% - 强调文字颜色 3 2 2 3 3 3 2" xfId="411"/>
    <cellStyle name="计算 2 9 9" xfId="412"/>
    <cellStyle name="标题 1 2 3 9" xfId="413"/>
    <cellStyle name="20% - 强调文字颜色 4 3 2 4 2 2 2" xfId="414"/>
    <cellStyle name="检查单元格 2 7 2" xfId="415"/>
    <cellStyle name="标题 1 2 4 3 4" xfId="416"/>
    <cellStyle name="检查单元格 2 2 2 2 3 2" xfId="417"/>
    <cellStyle name="强调文字颜色 5 2 4 4 3 2" xfId="418"/>
    <cellStyle name="强调文字颜色 3 2 4 5" xfId="419"/>
    <cellStyle name="计算 3 11 2" xfId="420"/>
    <cellStyle name="40% - 强调文字颜色 2 2 5 3" xfId="421"/>
    <cellStyle name="解释性文本 2 4 2 2 2" xfId="422"/>
    <cellStyle name="标题 1 2 3 3" xfId="423"/>
    <cellStyle name="好 3 7" xfId="424"/>
    <cellStyle name="汇总 2 2 4 2 2 4 2" xfId="425"/>
    <cellStyle name="40% - 强调文字颜色 4 3 3 3 2 2 2" xfId="426"/>
    <cellStyle name="20% - 强调文字颜色 4 4 4 2 2" xfId="427"/>
    <cellStyle name="20% - 强调文字颜色 5 3 2 3 2 2" xfId="428"/>
    <cellStyle name="60% - 强调文字颜色 4 2 2 2 2 2 2 2 2" xfId="429"/>
    <cellStyle name="20% - 强调文字颜色 4 2 2 4" xfId="430"/>
    <cellStyle name="标题 4 2 2 2 2 4 2 2" xfId="431"/>
    <cellStyle name="40% - 强调文字颜色 5 2 4 4 2" xfId="432"/>
    <cellStyle name="注释 2 4 5 7" xfId="433"/>
    <cellStyle name="20% - 强调文字颜色 3 4 2 3 2 2" xfId="434"/>
    <cellStyle name="20% - 强调文字颜色 6 2 3 2 3 3 2" xfId="435"/>
    <cellStyle name="计算 3 2 2 4 3" xfId="436"/>
    <cellStyle name="40% - 强调文字颜色 4 2 3 3 2 2 2 2 2" xfId="437"/>
    <cellStyle name="20% - 强调文字颜色 4 2 2 2 3 2 2" xfId="438"/>
    <cellStyle name="汇总 4 2 3 3 2 2" xfId="439"/>
    <cellStyle name="40% - 强调文字颜色 4 2 3 4 3" xfId="440"/>
    <cellStyle name="强调文字颜色 2 2 3 2 2 3 2" xfId="441"/>
    <cellStyle name="20% - 强调文字颜色 2 3 2 3 2" xfId="442"/>
    <cellStyle name="标题 4 2 3 3 2 3" xfId="443"/>
    <cellStyle name="注释 2 2 2 8 2 2" xfId="444"/>
    <cellStyle name="20% - 强调文字颜色 1 2 2 2 4 2 2" xfId="445"/>
    <cellStyle name="常规 4 3 8" xfId="446"/>
    <cellStyle name="40% - 强调文字颜色 6 2 2 6" xfId="447"/>
    <cellStyle name="40% - 强调文字颜色 4 2 2 2 2 4 3 2 2" xfId="448"/>
    <cellStyle name="输入 2 5 3 5 2" xfId="449"/>
    <cellStyle name="40% - 强调文字颜色 1 2 2 2 2 4" xfId="450"/>
    <cellStyle name="标题 1 2 2 11" xfId="451"/>
    <cellStyle name="20% - 强调文字颜色 5 2 7 3" xfId="452"/>
    <cellStyle name="注释 2 2 4 4 2 2 2" xfId="453"/>
    <cellStyle name="注释 2 2 8 2 2" xfId="454"/>
    <cellStyle name="60% - 强调文字颜色 1 4 2 2 2 2" xfId="455"/>
    <cellStyle name="注释 5 4" xfId="456"/>
    <cellStyle name="60% - 强调文字颜色 2 2 2 3 3 2 2 2" xfId="457"/>
    <cellStyle name="20% - 强调文字颜色 2 2 5 3 3 2" xfId="458"/>
    <cellStyle name="注释 3 2 2" xfId="459"/>
    <cellStyle name="计算 2 13 3" xfId="460"/>
    <cellStyle name="40% - 强调文字颜色 3 2 2 2 5 2" xfId="461"/>
    <cellStyle name="输入 2 2 3 2 3 2 2" xfId="462"/>
    <cellStyle name="60% - 强调文字颜色 6 2 2 2 2 5" xfId="463"/>
    <cellStyle name="40% - 强调文字颜色 1 2 2 2 2 5 2" xfId="464"/>
    <cellStyle name="输入 2 5 2 3 6 2" xfId="465"/>
    <cellStyle name="40% - 强调文字颜色 3 2 7 3" xfId="466"/>
    <cellStyle name="常规 4 2 3 4 3 2" xfId="467"/>
    <cellStyle name="强调文字颜色 5 2 2 7" xfId="468"/>
    <cellStyle name="40% - 强调文字颜色 2 2 5 3 2 2 2" xfId="469"/>
    <cellStyle name="40% - 强调文字颜色 4 2 4 2" xfId="470"/>
    <cellStyle name="40% - 强调文字颜色 6 2 2 2 2 3 3" xfId="471"/>
    <cellStyle name="常规 4 3 4 2 3 3" xfId="472"/>
    <cellStyle name="警告文本 2 4 4 2 2 2" xfId="473"/>
    <cellStyle name="标题 2 2 2 2 2 3" xfId="474"/>
    <cellStyle name="注释 2 5 3 8" xfId="475"/>
    <cellStyle name="40% - 强调文字颜色 5 2 5 2 3" xfId="476"/>
    <cellStyle name="强调文字颜色 1 2 2 8" xfId="477"/>
    <cellStyle name="标题 4 2 3 2 2 2" xfId="478"/>
    <cellStyle name="40% - 强调文字颜色 1 2 2 4 3 2" xfId="479"/>
    <cellStyle name="40% - 强调文字颜色 1 2 6" xfId="480"/>
    <cellStyle name="好 3 2 2 2 2 2 2" xfId="481"/>
    <cellStyle name="60% - 强调文字颜色 6 2 3 2 3" xfId="482"/>
    <cellStyle name="强调文字颜色 2 3 2 3" xfId="483"/>
    <cellStyle name="20% - 强调文字颜色 6 2 3 2 2 3 2 2" xfId="484"/>
    <cellStyle name="超链接 2 3 7 2 2" xfId="485"/>
    <cellStyle name="常规 4 4 2 4 2" xfId="486"/>
    <cellStyle name="常规 9 2 2 2 3" xfId="487"/>
    <cellStyle name="检查单元格 2 5 3 3" xfId="488"/>
    <cellStyle name="百分比 2 3 3 2 3" xfId="489"/>
    <cellStyle name="40% - 强调文字颜色 5 2 3 2 2 4" xfId="490"/>
    <cellStyle name="强调文字颜色 6 2 4 3 2 2 2" xfId="491"/>
    <cellStyle name="60% - 强调文字颜色 5 2 2 5 3 2 2" xfId="492"/>
    <cellStyle name="常规 14 2 2 2 2 2" xfId="493"/>
    <cellStyle name="注释 2 2 5 13" xfId="494"/>
    <cellStyle name="20% - 强调文字颜色 2 2 5" xfId="495"/>
    <cellStyle name="标题 4 3 6 2" xfId="496"/>
    <cellStyle name="20% - 强调文字颜色 2 2 3 3 2 2 2 2" xfId="497"/>
    <cellStyle name="40% - 强调文字颜色 2 2 4 3 2 2 2" xfId="498"/>
    <cellStyle name="标题 3 2 6 3 2" xfId="499"/>
    <cellStyle name="60% - 强调文字颜色 5 2 2 3 4 3 2" xfId="500"/>
    <cellStyle name="60% - 强调文字颜色 3 3" xfId="501"/>
    <cellStyle name="40% - 强调文字颜色 5 2 4 4 3 2" xfId="502"/>
    <cellStyle name="好 2 3 2 3" xfId="503"/>
    <cellStyle name="输入 2 2 4 9 3" xfId="504"/>
    <cellStyle name="标题 4 4 5" xfId="505"/>
    <cellStyle name="强调文字颜色 1 2 2 7 2 2" xfId="506"/>
    <cellStyle name="20% - 强调文字颜色 3 2 5 3 3 2" xfId="507"/>
    <cellStyle name="汇总 2 2 9 2 3 3" xfId="508"/>
    <cellStyle name="40% - 强调文字颜色 5 2 4 3 2" xfId="509"/>
    <cellStyle name="注释 2 4 4 7" xfId="510"/>
    <cellStyle name="检查单元格 2 6 2 2 2" xfId="511"/>
    <cellStyle name="输出 2 2 4 2" xfId="512"/>
    <cellStyle name="常规 5 7" xfId="513"/>
    <cellStyle name="标题 4 2 3 2 5 2" xfId="514"/>
    <cellStyle name="标题 4 2 3 3 2 2 2" xfId="515"/>
    <cellStyle name="常规 2 11" xfId="516"/>
    <cellStyle name="计算 2 5 2 5 3 2" xfId="517"/>
    <cellStyle name="40% - 强调文字颜色 1 3 2 2 3" xfId="518"/>
    <cellStyle name="标题 4 3 2 2 4" xfId="519"/>
    <cellStyle name="20% - 强调文字颜色 2 2 4 2 2" xfId="520"/>
    <cellStyle name="汇总 2 2 4 3 2 4" xfId="521"/>
    <cellStyle name="40% - 强调文字颜色 6 2 3 2 2 3 2" xfId="522"/>
    <cellStyle name="标题 9" xfId="523"/>
    <cellStyle name="20% - 强调文字颜色 3 2 2 4 3 3 2" xfId="524"/>
    <cellStyle name="计算 2 4 8 2" xfId="525"/>
    <cellStyle name="好 2 2 2 4 2 2" xfId="526"/>
    <cellStyle name="汇总 2 2 8 4 4 2" xfId="527"/>
    <cellStyle name="20% - 强调文字颜色 4 2 3 4 2 2" xfId="528"/>
    <cellStyle name="注释 2 5 2 2 3 2 2" xfId="529"/>
    <cellStyle name="注释 2 2 2 4 6" xfId="530"/>
    <cellStyle name="40% - 强调文字颜色 3 2 2 3 5" xfId="531"/>
    <cellStyle name="40% - 强调文字颜色 3 2 2 2 4 3" xfId="532"/>
    <cellStyle name="汇总 2 2 5 2 8 2" xfId="533"/>
    <cellStyle name="20% - 强调文字颜色 1 2 2 2 4 2 2 2" xfId="534"/>
    <cellStyle name="常规 12 2 5 2" xfId="535"/>
    <cellStyle name="输入 2 3 3 2 6" xfId="536"/>
    <cellStyle name="40% - 强调文字颜色 6 4 3 2 2" xfId="537"/>
    <cellStyle name="常规 6 4 4 2" xfId="538"/>
    <cellStyle name="20% - 强调文字颜色 4 3 3 3 2 2 2" xfId="539"/>
    <cellStyle name="输出 8 3" xfId="540"/>
    <cellStyle name="强调文字颜色 5 2 2 6 3" xfId="541"/>
    <cellStyle name="40% - 强调文字颜色 3 2 2 5 2 2 2" xfId="542"/>
    <cellStyle name="60% - 强调文字颜色 1 2 3 6 2 2 2" xfId="543"/>
    <cellStyle name="20% - 强调文字颜色 5 2 3 2 4 2 2" xfId="544"/>
    <cellStyle name="40% - 强调文字颜色 3 2 2 2 2 4 3 2 2" xfId="545"/>
    <cellStyle name="40% - 强调文字颜色 1 2 2 2 2 2" xfId="546"/>
    <cellStyle name="20% - 强调文字颜色 1 2 3 2 2 3 3 2 2" xfId="547"/>
    <cellStyle name="40% - 强调文字颜色 3 2 4 5 2 2" xfId="548"/>
    <cellStyle name="20% - 强调文字颜色 2 2 5 3 2 2 2" xfId="549"/>
    <cellStyle name="60% - 强调文字颜色 5 2 3 3 2 2 2" xfId="550"/>
    <cellStyle name="标题 1 2 2 3 2 2 2 2 2" xfId="551"/>
    <cellStyle name="40% - 强调文字颜色 4 2 2 2 3 2 2 2" xfId="552"/>
    <cellStyle name="60% - 强调文字颜色 2 2 3 3 5" xfId="553"/>
    <cellStyle name="20% - 强调文字颜色 2 2 3 2 3 2 2" xfId="554"/>
    <cellStyle name="适中 2 13" xfId="555"/>
    <cellStyle name="40% - 强调文字颜色 1 3 4 2" xfId="556"/>
    <cellStyle name="标题 1 2 4 6 3" xfId="557"/>
    <cellStyle name="20% - 强调文字颜色 6 2 3 6 2 2 2" xfId="558"/>
    <cellStyle name="60% - 强调文字颜色 1 3 2 2 4" xfId="559"/>
    <cellStyle name="标题 6 3 2 3" xfId="560"/>
    <cellStyle name="输出 2 7 3 2" xfId="561"/>
    <cellStyle name="40% - 强调文字颜色 2 2 2 2 2 3 2 2" xfId="562"/>
    <cellStyle name="常规 8 2 3 3" xfId="563"/>
    <cellStyle name="输出 2 3 2 2 2" xfId="564"/>
    <cellStyle name="40% - 强调文字颜色 4 3 2 2 3 2 2 2" xfId="565"/>
    <cellStyle name="标题 2 4 6" xfId="566"/>
    <cellStyle name="强调文字颜色 6 2 3 3" xfId="567"/>
    <cellStyle name="20% - 强调文字颜色 4 2 2 3 7" xfId="568"/>
    <cellStyle name="常规 4 2" xfId="569"/>
    <cellStyle name="40% - 强调文字颜色 5 3 2 5" xfId="570"/>
    <cellStyle name="输入 2 2 10 2 3" xfId="571"/>
    <cellStyle name="20% - 强调文字颜色 4 2 4 3" xfId="572"/>
    <cellStyle name="40% - 强调文字颜色 6 2 4 6" xfId="573"/>
    <cellStyle name="输出 2 6 3 2 5" xfId="574"/>
    <cellStyle name="强调文字颜色 2 2 2 4 4 2 2" xfId="575"/>
    <cellStyle name="40% - 强调文字颜色 2 2 2 4 5 2" xfId="576"/>
    <cellStyle name="40% - 强调文字颜色 4 2 2 3 4 2 2" xfId="577"/>
    <cellStyle name="计算 2 2 3 2 7" xfId="578"/>
    <cellStyle name="60% - 强调文字颜色 1 2 4" xfId="579"/>
    <cellStyle name="20% - 强调文字颜色 2 2 2 3 4 2 2 2" xfId="580"/>
    <cellStyle name="计算 2 2 2 4 2 4 2" xfId="581"/>
    <cellStyle name="20% - 强调文字颜色 3 2 3 2 3 2 2 2" xfId="582"/>
    <cellStyle name="汇总 2 2 6 6 4 2" xfId="583"/>
    <cellStyle name="40% - 强调文字颜色 5 2 3 2 4 2 2 2" xfId="584"/>
    <cellStyle name="汇总 2 2 4 3 3 2 3" xfId="585"/>
    <cellStyle name="60% - 强调文字颜色 6 2 3 2 4 3" xfId="586"/>
    <cellStyle name="计算 2 2 5 4 2 6" xfId="587"/>
    <cellStyle name="解释性文本 2 2 4 4 2 2" xfId="588"/>
    <cellStyle name="40% - 强调文字颜色 4 2 2 2 2 2 4 3" xfId="589"/>
    <cellStyle name="汇总 2 2 2 2 2" xfId="590"/>
    <cellStyle name="汇总 8 2" xfId="591"/>
    <cellStyle name="20% - 强调文字颜色 2 2 3 2 2 4" xfId="592"/>
    <cellStyle name="汇总 2 8 3 3 2 2" xfId="593"/>
    <cellStyle name="60% - 强调文字颜色 6 4 2 5" xfId="594"/>
    <cellStyle name="20% - 强调文字颜色 2 2 2 4 3 3" xfId="595"/>
    <cellStyle name="常规 5 2 3 2 6" xfId="596"/>
    <cellStyle name="输入 3 13" xfId="597"/>
    <cellStyle name="计算 2 5 2 9 3" xfId="598"/>
    <cellStyle name="20% - 强调文字颜色 4 2" xfId="599"/>
    <cellStyle name="计算 2 2 6 2 2 2 3" xfId="600"/>
    <cellStyle name="40% - 强调文字颜色 2 3 2 2 2 2" xfId="601"/>
    <cellStyle name="20% - 强调文字颜色 2 2 2 2 4 3 2 2" xfId="602"/>
    <cellStyle name="20% - 强调文字颜色 5 2 8 2 2" xfId="603"/>
    <cellStyle name="百分比 2 6" xfId="604"/>
    <cellStyle name="常规 20 2" xfId="605"/>
    <cellStyle name="常规 15 2" xfId="606"/>
    <cellStyle name="输入 2 2 2 2 2 2 3" xfId="607"/>
    <cellStyle name="40% - 强调文字颜色 6 2 4 3 2 2 2" xfId="608"/>
    <cellStyle name="40% - 强调文字颜色 5 3 2" xfId="609"/>
    <cellStyle name="汇总 2 2 8 5 2 3" xfId="610"/>
    <cellStyle name="20% - 强调文字颜色 2 2 6" xfId="611"/>
    <cellStyle name="40% - 强调文字颜色 5 2 2 2 7 2" xfId="612"/>
    <cellStyle name="强调文字颜色 5 2 2 9" xfId="613"/>
    <cellStyle name="常规 5 4 2 3 2" xfId="614"/>
    <cellStyle name="40% - 强调文字颜色 4 2 3 2 3 3 2" xfId="615"/>
    <cellStyle name="计算 2 2 6 5 3 2 2" xfId="616"/>
    <cellStyle name="差 4 2 4 2" xfId="617"/>
    <cellStyle name="标题 3 2 3 3 2 2" xfId="618"/>
    <cellStyle name="汇总 2 7 2 2 7" xfId="619"/>
    <cellStyle name="输出 2 2 2 2 2 4 2 2" xfId="620"/>
    <cellStyle name="汇总 2 2 8 5 2 2" xfId="621"/>
    <cellStyle name="常规 12 2 2 5 3" xfId="622"/>
    <cellStyle name="标题 5 3 2 3 2 2 3" xfId="623"/>
    <cellStyle name="输入 3 4 2 2" xfId="624"/>
    <cellStyle name="计算 2 2 3 2 3 3 2" xfId="625"/>
    <cellStyle name="20% - 强调文字颜色 2 4 4 2" xfId="626"/>
    <cellStyle name="标题 4 2 2 11" xfId="627"/>
    <cellStyle name="汇总 4 3 2 2" xfId="628"/>
    <cellStyle name="40% - 强调文字颜色 5 2 2 3 2 2 2 2 2" xfId="629"/>
    <cellStyle name="汇总 2 6 2 9 2" xfId="630"/>
    <cellStyle name="Normal 4 3 2 2" xfId="631"/>
    <cellStyle name="警告文本 2 3 4 3 2 2" xfId="632"/>
    <cellStyle name="标题 4 2 2 4 6" xfId="633"/>
    <cellStyle name="汇总 2 9 4 2" xfId="634"/>
    <cellStyle name="差 2 6 3 2" xfId="635"/>
    <cellStyle name="20% - 强调文字颜色 2 2 2 2 3 3 2" xfId="636"/>
    <cellStyle name="输入 2 3 4 4" xfId="637"/>
    <cellStyle name="汇总 2 6 2 2 7" xfId="638"/>
    <cellStyle name="标题 3 2 2 3 2 2" xfId="639"/>
    <cellStyle name="计算 2 2 6 4 3 2 2" xfId="640"/>
    <cellStyle name="差 3 2 4 2" xfId="641"/>
    <cellStyle name="40% - 强调文字颜色 3 3 2 2 2 2 2 2" xfId="642"/>
    <cellStyle name="40% - 强调文字颜色 1 4 4 2 2" xfId="643"/>
    <cellStyle name="40% - 强调文字颜色 2 2 2 2 4 2" xfId="644"/>
    <cellStyle name="百分比 2 2 2 4 2 2 2" xfId="645"/>
    <cellStyle name="40% - 强调文字颜色 5 2 2 2" xfId="646"/>
    <cellStyle name="40% - 强调文字颜色 4 2 2 3 5" xfId="647"/>
    <cellStyle name="20% - 强调文字颜色 2 2 3 3 3 2 2" xfId="648"/>
    <cellStyle name="强调文字颜色 3 2 2 2 4" xfId="649"/>
    <cellStyle name="60% - 强调文字颜色 6 2 2 3 3 2" xfId="650"/>
    <cellStyle name="汇总 2 2 3 14" xfId="651"/>
    <cellStyle name="20% - 强调文字颜色 5 2 3 2 2 2 2 2 2" xfId="652"/>
    <cellStyle name="标题 4 2 2 2 2 2" xfId="653"/>
    <cellStyle name="强调文字颜色 3 3 2 5" xfId="654"/>
    <cellStyle name="输出 2 2 2 2 2 2 5" xfId="655"/>
    <cellStyle name="常规 11 3 3 3 2 2" xfId="656"/>
    <cellStyle name="20% - 强调文字颜色 6 2 2 3 4 3 2" xfId="657"/>
    <cellStyle name="计算 2 5 2 4 2 3 2" xfId="658"/>
    <cellStyle name="40% - 强调文字颜色 5 2 3 2 2 2 2 2 2" xfId="659"/>
    <cellStyle name="标题 2 2 2 3 4 2" xfId="660"/>
    <cellStyle name="强调文字颜色 5 2 2 2 4" xfId="661"/>
    <cellStyle name="强调文字颜色 1 2 2 3 2 2 2 2" xfId="662"/>
    <cellStyle name="警告文本 2 2 3 2 3" xfId="663"/>
    <cellStyle name="20% - 强调文字颜色 6 2 7 3 2" xfId="664"/>
    <cellStyle name="强调文字颜色 2 2 2 3 4 3" xfId="665"/>
    <cellStyle name="20% - 强调文字颜色 2 2 3 3 2 2 2" xfId="666"/>
    <cellStyle name="标题 2 2 4 2 3" xfId="667"/>
    <cellStyle name="汇总 2 4 2 6 2 2" xfId="668"/>
    <cellStyle name="40% - 强调文字颜色 6 3 3 3 2 2" xfId="669"/>
    <cellStyle name="20% - 强调文字颜色 4 2 2 7 2 2" xfId="670"/>
    <cellStyle name="40% - 强调文字颜色 1 2 2 4 2 2 2" xfId="671"/>
    <cellStyle name="40% - 强调文字颜色 5 2 4 3" xfId="672"/>
    <cellStyle name="注释 2 2 3 2 4 5" xfId="673"/>
    <cellStyle name="60% - 强调文字颜色 6 2 3 2 3 3 3" xfId="674"/>
    <cellStyle name="40% - 强调文字颜色 3 2 2 2 2 5 2 2" xfId="675"/>
    <cellStyle name="40% - 强调文字颜色 4 2 3 2 2 3 2 2" xfId="676"/>
    <cellStyle name="40% - 强调文字颜色 6 2 2 7 2 2" xfId="677"/>
    <cellStyle name="超链接 2 3 2 4 2 2" xfId="678"/>
    <cellStyle name="20% - 强调文字颜色 6 2 3 3 3 2" xfId="679"/>
    <cellStyle name="汇总 2 10 2 7" xfId="680"/>
    <cellStyle name="20% - 强调文字颜色 3 2 2 7" xfId="681"/>
    <cellStyle name="40% - 强调文字颜色 6 2 2 5 2 2" xfId="682"/>
    <cellStyle name="计算 2 2 3 4 8" xfId="683"/>
    <cellStyle name="60% - 强调文字颜色 1 4 5" xfId="684"/>
    <cellStyle name="40% - 强调文字颜色 6 2 8 2" xfId="685"/>
    <cellStyle name="标题 2 2 2 4 3 2" xfId="686"/>
    <cellStyle name="20% - 强调文字颜色 5 2 2 2 2 2 2" xfId="687"/>
    <cellStyle name="标题 3 2 2 6 3" xfId="688"/>
    <cellStyle name="输出 2 5 2 3 2 2 2" xfId="689"/>
    <cellStyle name="汇总 2 5 5 2 2" xfId="690"/>
    <cellStyle name="百分比 2 5 2" xfId="691"/>
    <cellStyle name="计算 4 2 2 2" xfId="692"/>
    <cellStyle name="40% - 强调文字颜色 2 2 2 9 2" xfId="693"/>
    <cellStyle name="计算 2 8 5 3 3" xfId="694"/>
    <cellStyle name="60% - 强调文字颜色 5 2 2 3 2 2 2 2" xfId="695"/>
    <cellStyle name="强调文字颜色 2 2 2 2 3 2" xfId="696"/>
    <cellStyle name="20% - 强调文字颜色 1 3 3 2" xfId="697"/>
    <cellStyle name="输出 2 3 6 2" xfId="698"/>
    <cellStyle name="常规 2 2 4 2" xfId="699"/>
    <cellStyle name="40% - 强调文字颜色 3 2 2 2 2 2 3 2 2" xfId="700"/>
    <cellStyle name="注释 2 2 3 3 2 6" xfId="701"/>
    <cellStyle name="汇总 2 2 9 3 2 2 2" xfId="702"/>
    <cellStyle name="40% - 强调文字颜色 4 2 2 4 2 2" xfId="703"/>
    <cellStyle name="Normal 4 3" xfId="704"/>
    <cellStyle name="输入 2 4 3 4" xfId="705"/>
    <cellStyle name="60% - 强调文字颜色 4 2 2 2 6 2 2" xfId="706"/>
    <cellStyle name="差 3 3 3 2" xfId="707"/>
    <cellStyle name="40% - 强调文字颜色 5 2 2 2 2 2 3 2" xfId="708"/>
    <cellStyle name="解释性文本 2 7 3 2 2" xfId="709"/>
    <cellStyle name="计算 3 4 4 2" xfId="710"/>
    <cellStyle name="40% - 强调文字颜色 6 2 2 2 2 2 2 2 2" xfId="711"/>
    <cellStyle name="计算 2 5 2 3 3 3 2" xfId="712"/>
    <cellStyle name="标题 1 2 3 2 3 3 2" xfId="713"/>
    <cellStyle name="常规 5 3 3 3 2" xfId="714"/>
    <cellStyle name="20% - 强调文字颜色 4 2 8 2" xfId="715"/>
    <cellStyle name="标题 4 2 2 2 2 4" xfId="716"/>
    <cellStyle name="注释 2 6 2 4 2" xfId="717"/>
    <cellStyle name="汇总 2 4 7 2" xfId="718"/>
    <cellStyle name="40% - 强调文字颜色 2 2 3 2 2 5 2" xfId="719"/>
    <cellStyle name="解释性文本 3 11" xfId="720"/>
    <cellStyle name="注释 2 5 2 2 2 2 2" xfId="721"/>
    <cellStyle name="20% - 强调文字颜色 4 2 3 3 2 2" xfId="722"/>
    <cellStyle name="40% - 强调文字颜色 6 2 2 6 3 2" xfId="723"/>
    <cellStyle name="20% - 强调文字颜色 5 2 2 2 3 5" xfId="724"/>
    <cellStyle name="输出 2 6 3 2 2" xfId="725"/>
    <cellStyle name="20% - 强调文字颜色 6 4 2 2 2 2 2" xfId="726"/>
    <cellStyle name="常规 4 6 3 4 2" xfId="727"/>
    <cellStyle name="输入 2 2 2 3 2 2 3" xfId="728"/>
    <cellStyle name="20% - 强调文字颜色 6 2 3 2 3 2 2 2" xfId="729"/>
    <cellStyle name="强调文字颜色 3 2 2 3" xfId="730"/>
    <cellStyle name="40% - 强调文字颜色 3 2 4 4 3 2" xfId="731"/>
    <cellStyle name="解释性文本 2 2 2 2 2 2" xfId="732"/>
    <cellStyle name="40% - 强调文字颜色 6 2 3 6" xfId="733"/>
    <cellStyle name="百分比 2 5 3 3" xfId="734"/>
    <cellStyle name="汇总 2 2 5 3 4" xfId="735"/>
    <cellStyle name="输出 2 2 3 2 2 2 8" xfId="736"/>
    <cellStyle name="常规 13 3 2 4 2" xfId="737"/>
    <cellStyle name="超链接 3 6 2 2 2" xfId="738"/>
    <cellStyle name="60% - 强调文字颜色 6 2 2 4" xfId="739"/>
    <cellStyle name="40% - 强调文字颜色 4 2 2 2 2 2 2 2" xfId="740"/>
    <cellStyle name="标题 4 3 2 2 2" xfId="741"/>
    <cellStyle name="链接单元格 2 2 2 5 2" xfId="742"/>
    <cellStyle name="40% - 强调文字颜色 6 2 2 3" xfId="743"/>
    <cellStyle name="常规 4 3 5" xfId="744"/>
    <cellStyle name="60% - 强调文字颜色 1 2 2 3 2 2 2" xfId="745"/>
    <cellStyle name="20% - 强调文字颜色 5 2 2 2 2" xfId="746"/>
    <cellStyle name="强调文字颜色 2 2 2 3 3 4" xfId="747"/>
    <cellStyle name="汇总 3 5 2 2 2" xfId="748"/>
    <cellStyle name="20% - 强调文字颜色 2 2 3 2 3 3" xfId="749"/>
    <cellStyle name="标题 2 2 4 2 2 2 3" xfId="750"/>
    <cellStyle name="20% - 强调文字颜色 4 2 2 3 2" xfId="751"/>
    <cellStyle name="差 2 3 6 2 2 2" xfId="752"/>
    <cellStyle name="20% - 强调文字颜色 6 2 6 3 2 2" xfId="753"/>
    <cellStyle name="输出 3 7 2" xfId="754"/>
    <cellStyle name="20% - 强调文字颜色 2 2 5 4 2" xfId="755"/>
    <cellStyle name="输出 4 5" xfId="756"/>
    <cellStyle name="20% - 强调文字颜色 1 2 6 2" xfId="757"/>
    <cellStyle name="标题 4 2 6 3 2" xfId="758"/>
    <cellStyle name="计算 2 5 3 2 3" xfId="759"/>
    <cellStyle name="40% - 强调文字颜色 6 2 2 2 2 2" xfId="760"/>
    <cellStyle name="常规 4 3 4 2 2" xfId="761"/>
    <cellStyle name="40% - 强调文字颜色 4 2 2 2 2 2 4 2 2 2" xfId="762"/>
    <cellStyle name="注释 2 5 4 2 3 2" xfId="763"/>
    <cellStyle name="20% - 强调文字颜色 6 2 2 2 2 4 2 2" xfId="764"/>
    <cellStyle name="20% - 强调文字颜色 4 4 4 2" xfId="765"/>
    <cellStyle name="常规 10 5 3" xfId="766"/>
    <cellStyle name="20% - 强调文字颜色 4 2 2 2 4 3 2" xfId="767"/>
    <cellStyle name="60% - 强调文字颜色 6 2 4 2" xfId="768"/>
    <cellStyle name="输出 2 4 13" xfId="769"/>
    <cellStyle name="20% - 强调文字颜色 1 2 3 2 4 2 2 2" xfId="770"/>
    <cellStyle name="标题 1 4 2 2" xfId="771"/>
    <cellStyle name="20% - 强调文字颜色 5 2 2 3 3 2 2" xfId="772"/>
    <cellStyle name="强调文字颜色 2 4 2 2" xfId="773"/>
    <cellStyle name="40% - 强调文字颜色 1 2 2 2 2 4 3 2" xfId="774"/>
    <cellStyle name="20% - 强调文字颜色 4 2 2 3 4 2 2" xfId="775"/>
    <cellStyle name="40% - 强调文字颜色 1 2 2 2 4" xfId="776"/>
    <cellStyle name="检查单元格 4 4 2" xfId="777"/>
    <cellStyle name="汇总 2 2 4 3 5" xfId="778"/>
    <cellStyle name="计算 2 7 3 4 2" xfId="779"/>
    <cellStyle name="警告文本 2 3 5 2 3" xfId="780"/>
    <cellStyle name="汇总 2 4 2 2 2 4 2" xfId="781"/>
    <cellStyle name="60% - 强调文字颜色 5 2 2 3 7" xfId="782"/>
    <cellStyle name="40% - 强调文字颜色 1 2 2 8" xfId="783"/>
    <cellStyle name="输入 2 5 3 2" xfId="784"/>
    <cellStyle name="汇总 2 2 6 4 6" xfId="785"/>
    <cellStyle name="20% - 强调文字颜色 4 2 2 4 2 2" xfId="786"/>
    <cellStyle name="强调文字颜色 6 2 2 2 2 4 3" xfId="787"/>
    <cellStyle name="20% - 强调文字颜色 1 3 5 2 2" xfId="788"/>
    <cellStyle name="强调文字颜色 2 2 2 2 5 2 2" xfId="789"/>
    <cellStyle name="标题 4 2 7 2 2 2" xfId="790"/>
    <cellStyle name="60% - 强调文字颜色 6 3 5 2" xfId="791"/>
    <cellStyle name="20% - 强调文字颜色 5 2 3 5 2 2" xfId="792"/>
    <cellStyle name="40% - 强调文字颜色 4 2 2 2 2 2 5" xfId="793"/>
    <cellStyle name="40% - 强调文字颜色 3 2 2 2 2 4 2" xfId="794"/>
    <cellStyle name="汇总 2 2 4 2 2 2 5 2" xfId="795"/>
    <cellStyle name="60% - 强调文字颜色 5 2 3 2 3 3 2" xfId="796"/>
    <cellStyle name="强调文字颜色 6 2 2 2 2 2 3" xfId="797"/>
    <cellStyle name="常规 4 6 2" xfId="798"/>
    <cellStyle name="注释 2 3 2 2 5 2" xfId="799"/>
    <cellStyle name="标题 4 2 3 2 4 2 2 2" xfId="800"/>
    <cellStyle name="20% - 强调文字颜色 3 2 3 5 2" xfId="801"/>
    <cellStyle name="20% - 强调文字颜色 5 3 3 3 2 2 2" xfId="802"/>
    <cellStyle name="汇总 2 2 5 2 2 3 2" xfId="803"/>
    <cellStyle name="强调文字颜色 3 2 3 2 2 2" xfId="804"/>
    <cellStyle name="汇总 2 3 10 2 2" xfId="805"/>
    <cellStyle name="差 3 5 2" xfId="806"/>
    <cellStyle name="汇总 3 2 11" xfId="807"/>
    <cellStyle name="输入 2 2 5 4 2 4" xfId="808"/>
    <cellStyle name="汇总 2 6 2 2 2 2" xfId="809"/>
    <cellStyle name="输出 2 4 2 2 3 4" xfId="810"/>
    <cellStyle name="汇总 2 2 4 3 2 2 2 3" xfId="811"/>
    <cellStyle name="40% - 强调文字颜色 1 2 2 4 2 2" xfId="812"/>
    <cellStyle name="计算 2 2 4 2 2 2 6 2" xfId="813"/>
    <cellStyle name="40% - 强调文字颜色 3 2 4 3" xfId="814"/>
    <cellStyle name="计算 3 2 3 4 2 2" xfId="815"/>
    <cellStyle name="20% - 强调文字颜色 2 2 2 2 2 4 2" xfId="816"/>
    <cellStyle name="标题 5 2 3 5 3" xfId="817"/>
    <cellStyle name="40% - 强调文字颜色 1 2 2 3 4 2 2" xfId="818"/>
    <cellStyle name="输出 2 2 3 2 2 2 5" xfId="819"/>
    <cellStyle name="60% - 强调文字颜色 6 2 3 2 2 3 2" xfId="820"/>
    <cellStyle name="计算 2 3 2 2 5" xfId="821"/>
    <cellStyle name="20% - 强调文字颜色 4 2 9 2" xfId="822"/>
    <cellStyle name="常规 3 3 2 2 3" xfId="823"/>
    <cellStyle name="20% - 强调文字颜色 1 2 3 2 5 2" xfId="824"/>
    <cellStyle name="汇总 2 6 3 6 3" xfId="825"/>
    <cellStyle name="标题 4 2 2 2 2 2 2 2 2 3" xfId="826"/>
    <cellStyle name="20% - 强调文字颜色 1 2 2 2 6 2 2" xfId="827"/>
    <cellStyle name="标题 4 3 3 4" xfId="828"/>
    <cellStyle name="常规 5 2 3 2 5" xfId="829"/>
    <cellStyle name="汇总 2 6 3 3 3 3" xfId="830"/>
    <cellStyle name="常规 3 7 2 4" xfId="831"/>
    <cellStyle name="20% - 强调文字颜色 6 3 2 2 3" xfId="832"/>
    <cellStyle name="40% - 强调文字颜色 6 2 5 5 2 2" xfId="833"/>
    <cellStyle name="链接单元格 2 2 2 3 7" xfId="834"/>
    <cellStyle name="好 3 2 3 2" xfId="835"/>
    <cellStyle name="汇总 2 2 2 3 5 3" xfId="836"/>
    <cellStyle name="20% - 强调文字颜色 2 2 4 2 2 2" xfId="837"/>
    <cellStyle name="20% - 强调文字颜色 6 2 7" xfId="838"/>
    <cellStyle name="好 4 2 3 2" xfId="839"/>
    <cellStyle name="标题 1 2 2 2 5 2 2" xfId="840"/>
    <cellStyle name="常规 5 3 4 2 2" xfId="841"/>
    <cellStyle name="40% - 强调文字颜色 6 3 2 2 2 2" xfId="842"/>
    <cellStyle name="注释 2 3 3 2 4" xfId="843"/>
    <cellStyle name="20% - 强调文字颜色 2 2 2 4 2 3" xfId="844"/>
    <cellStyle name="60% - 强调文字颜色 6 4 2 3 2 2 2" xfId="845"/>
    <cellStyle name="注释 2 5 2 3 6" xfId="846"/>
    <cellStyle name="注释 2 2 6 3 2 4" xfId="847"/>
    <cellStyle name="40% - 强调文字颜色 5 2 4 5 2" xfId="848"/>
    <cellStyle name="常规 13 4 3 5" xfId="849"/>
    <cellStyle name="20% - 强调文字颜色 4 2 6 2 2 2" xfId="850"/>
    <cellStyle name="40% - 强调文字颜色 1 2 2" xfId="851"/>
    <cellStyle name="60% - 强调文字颜色 1 3 3 3 2 2" xfId="852"/>
    <cellStyle name="标题 4 2 2 2 2 3 2 3" xfId="853"/>
    <cellStyle name="20% - 强调文字颜色 2 2 3 2 5 2" xfId="854"/>
    <cellStyle name="40% - 强调文字颜色 5 2 3 3" xfId="855"/>
    <cellStyle name="60% - 强调文字颜色 3 2 2 2 3 6" xfId="856"/>
    <cellStyle name="60% - 强调文字颜色 2 3 2 4 2" xfId="857"/>
    <cellStyle name="计算 2 4 2 4 4 2" xfId="858"/>
    <cellStyle name="60% - 强调文字颜色 6 4" xfId="859"/>
    <cellStyle name="60% - 强调文字颜色 4 2 3 2 2 4" xfId="860"/>
    <cellStyle name="20% - 强调文字颜色 2 2 3 3" xfId="861"/>
    <cellStyle name="注释 2 3 2 2 2" xfId="862"/>
    <cellStyle name="60% - 强调文字颜色 2 2 2 10" xfId="863"/>
    <cellStyle name="60% - 强调文字颜色 1 2 4 4 2 2" xfId="864"/>
    <cellStyle name="汇总 2 4 2 7" xfId="865"/>
    <cellStyle name="标题 4 2 2 2 5 2" xfId="866"/>
    <cellStyle name="强调文字颜色 1 2 4 3 2 3" xfId="867"/>
    <cellStyle name="40% - 强调文字颜色 6 2 2 2 2 2 5 2 2" xfId="868"/>
    <cellStyle name="标题 4 2 3 3 6" xfId="869"/>
    <cellStyle name="汇总 2 2 8 3 2 6" xfId="870"/>
    <cellStyle name="汇总 2 11 3 2 2" xfId="871"/>
    <cellStyle name="汇总 2 5 2 15" xfId="872"/>
    <cellStyle name="注释 2 2 3 2 3 4 3" xfId="873"/>
    <cellStyle name="适中 2 2 2 2 4 3 2" xfId="874"/>
    <cellStyle name="输入 2 2 3 2 6 2" xfId="875"/>
    <cellStyle name="40% - 强调文字颜色 3 4 4 2" xfId="876"/>
    <cellStyle name="汇总 2 2 3 4 3" xfId="877"/>
    <cellStyle name="说明文本 3 3" xfId="878"/>
    <cellStyle name="强调文字颜色 5 4 4" xfId="879"/>
    <cellStyle name="20% - 强调文字颜色 3 2 2 2 2 4 2" xfId="880"/>
    <cellStyle name="20% - 强调文字颜色 1 2 3 4 2" xfId="881"/>
    <cellStyle name="常规 2 5 3 2 2 2" xfId="882"/>
    <cellStyle name="链接单元格 2 4 3 2 3" xfId="883"/>
    <cellStyle name="60% - 强调文字颜色 6 2 3 2 2 2" xfId="884"/>
    <cellStyle name="40% - 强调文字颜色 5 2 3 7 2" xfId="885"/>
    <cellStyle name="常规 6 3 2 2 3 2 2" xfId="886"/>
    <cellStyle name="输出 2 2 4 2 2 5 2 2" xfId="887"/>
    <cellStyle name="40% - 强调文字颜色 4 3 8" xfId="888"/>
    <cellStyle name="标题 1 2 2 2 4 3" xfId="889"/>
    <cellStyle name="40% - 强调文字颜色 3 2 3 2 2 2 3 2" xfId="890"/>
    <cellStyle name="强调文字颜色 5 2 4 3 2 3" xfId="891"/>
    <cellStyle name="40% - 强调文字颜色 4 3 4 2 2" xfId="892"/>
    <cellStyle name="60% - 强调文字颜色 6 3 3 2" xfId="893"/>
    <cellStyle name="60% - 强调文字颜色 1 2 2 2 7 2" xfId="894"/>
    <cellStyle name="40% - 强调文字颜色 4 2 2 3 3 2" xfId="895"/>
    <cellStyle name="20% - 强调文字颜色 1 3 3 2 2 2 2" xfId="896"/>
    <cellStyle name="20% - 强调文字颜色 5 3 2 2 3" xfId="897"/>
    <cellStyle name="常规 6 3 2 2 2 2 2" xfId="898"/>
    <cellStyle name="标题 1 2 4 4 3 2" xfId="899"/>
    <cellStyle name="强调文字颜色 5 3 2 5" xfId="900"/>
    <cellStyle name="强调文字颜色 5 4 4 2" xfId="901"/>
    <cellStyle name="20% - 强调文字颜色 3 2 2 2 2 4 2 2" xfId="902"/>
    <cellStyle name="输入 2 5 3 6 2" xfId="903"/>
    <cellStyle name="注释 2 15" xfId="904"/>
    <cellStyle name="20% - 强调文字颜色 1 2 3 4 2 2" xfId="905"/>
    <cellStyle name="常规 3 2 2 2 2 2 2" xfId="906"/>
    <cellStyle name="20% - 强调文字颜色 2 2 3 4 3 2 2" xfId="907"/>
    <cellStyle name="检查单元格 2 4 2 2" xfId="908"/>
    <cellStyle name="输入 3 4 3" xfId="909"/>
    <cellStyle name="标题 5 3 2 2 2 2 3" xfId="910"/>
    <cellStyle name="标题 5 2 2 2 2 2 2 2 3" xfId="911"/>
    <cellStyle name="20% - 强调文字颜色 1 3 2 4 2 2 2" xfId="912"/>
    <cellStyle name="强调文字颜色 2 2 2 2 2 4 2 2 2" xfId="913"/>
    <cellStyle name="20% - 强调文字颜色 2 2 2 6 3 2 2" xfId="914"/>
    <cellStyle name="40% - 强调文字颜色 3 2 3 2 2 3 3 2 2" xfId="915"/>
    <cellStyle name="标题 4 2 3 3 2 2 2 3" xfId="916"/>
    <cellStyle name="好 2 3 2 6 3" xfId="917"/>
    <cellStyle name="警告文本 2 2 4 2 4" xfId="918"/>
    <cellStyle name="常规 6 4 3 2 2" xfId="919"/>
    <cellStyle name="好 2 7 2 2 2" xfId="920"/>
    <cellStyle name="40% - 强调文字颜色 3 3 2 3 2 2" xfId="921"/>
    <cellStyle name="标题 1 2" xfId="922"/>
    <cellStyle name="标题 1 2 2 2 2 3 2 2 2" xfId="923"/>
    <cellStyle name="强调文字颜色 1 3 2 2 4" xfId="924"/>
    <cellStyle name="常规 10 2 6" xfId="925"/>
    <cellStyle name="计算 2 6 2 2 2 2 3" xfId="926"/>
    <cellStyle name="输出 2 2 5 5 2" xfId="927"/>
    <cellStyle name="40% - 强调文字颜色 5 2 3 2 3 2" xfId="928"/>
    <cellStyle name="20% - 强调文字颜色 6 2 3 7" xfId="929"/>
    <cellStyle name="百分比 2 4 3 2 2" xfId="930"/>
    <cellStyle name="标题 4 4 3 2" xfId="931"/>
    <cellStyle name="20% - 强调文字颜色 1 2 2 3 2 2 2 2 2" xfId="932"/>
    <cellStyle name="标题 2 2 6 4" xfId="933"/>
    <cellStyle name="超链接 2 3 3 2 4" xfId="934"/>
    <cellStyle name="计算 2 5 2 4 3 2" xfId="935"/>
    <cellStyle name="标题 4 2 4 4 2 2 2" xfId="936"/>
    <cellStyle name="标题 4 2 2 6 3 3" xfId="937"/>
    <cellStyle name="好 4 2 3 3" xfId="938"/>
    <cellStyle name="强调文字颜色 2 2 2 2 5 2" xfId="939"/>
    <cellStyle name="标题 4 2 7 2 2" xfId="940"/>
    <cellStyle name="20% - 强调文字颜色 1 3 5 2" xfId="941"/>
    <cellStyle name="输出 2 3 8 2" xfId="942"/>
    <cellStyle name="常规 2 2 6 2" xfId="943"/>
    <cellStyle name="20% - 强调文字颜色 5 3 2 5" xfId="944"/>
    <cellStyle name="标题 4 2 2 2 4 2 2 3" xfId="945"/>
    <cellStyle name="20% - 强调文字颜色 6 2 3 3 4" xfId="946"/>
    <cellStyle name="20% - 强调文字颜色 4 2 2 4 5 2" xfId="947"/>
    <cellStyle name="常规 6 2 3 5" xfId="948"/>
    <cellStyle name="计算 6 2" xfId="949"/>
    <cellStyle name="检查单元格 2 2 7 2 2" xfId="950"/>
    <cellStyle name="差 2 8" xfId="951"/>
    <cellStyle name="输出 2 3 3 8" xfId="952"/>
    <cellStyle name="标题 3 2" xfId="953"/>
    <cellStyle name="注释 2 2 2 2 2 2 4" xfId="954"/>
    <cellStyle name="输入 2 6 12" xfId="955"/>
    <cellStyle name="常规 4 3 3 2 3" xfId="956"/>
    <cellStyle name="20% - 强调文字颜色 2 2 2 2 3 3 2 2" xfId="957"/>
    <cellStyle name="20% - 强调文字颜色 5 2 2 8" xfId="958"/>
    <cellStyle name="20% - 强调文字颜色 6 2 10" xfId="959"/>
    <cellStyle name="汇总 2 8 3 2 4 2" xfId="960"/>
    <cellStyle name="标题 1 2 2 4 2 3 2" xfId="961"/>
    <cellStyle name="常规 13 3 3 4 2" xfId="962"/>
    <cellStyle name="标题 2 2 2 4 2 2 2" xfId="963"/>
    <cellStyle name="输出 2 2 3 2 2 5 2 2" xfId="964"/>
    <cellStyle name="汇总 2 7 5 7" xfId="965"/>
    <cellStyle name="常规 9 2 2 2 3 2 3" xfId="966"/>
    <cellStyle name="40% - 强调文字颜色 2 4 4 2 2 2" xfId="967"/>
    <cellStyle name="60% - 强调文字颜色 4 2 6 2 2" xfId="968"/>
    <cellStyle name="好 2 2 2 5 2 3" xfId="969"/>
    <cellStyle name="差 2 3 2 5 3" xfId="970"/>
    <cellStyle name="20% - 强调文字颜色 1 2 2 2 3 2 2 2 2 2" xfId="971"/>
    <cellStyle name="20% - 强调文字颜色 6 2 2 6 3" xfId="972"/>
    <cellStyle name="20% - 强调文字颜色 6 2 2 6 2 2" xfId="973"/>
    <cellStyle name="40% - 强调文字颜色 5 3 3 3 2 2" xfId="974"/>
    <cellStyle name="标题 1 2 7 2 3" xfId="975"/>
    <cellStyle name="超链接 2 3 3 3 2 2" xfId="976"/>
    <cellStyle name="标题 2 2 7 2 2" xfId="977"/>
    <cellStyle name="输入 2 2 2 2 2 8" xfId="978"/>
    <cellStyle name="标题 3 3 2 2 2 2 3" xfId="979"/>
    <cellStyle name="20% - 强调文字颜色 4 2 3 2 4 2 2 2" xfId="980"/>
    <cellStyle name="40% - 强调文字颜色 3 2 3 2 2 2 2 2 2" xfId="981"/>
    <cellStyle name="40% - 强调文字颜色 5 3 4 2" xfId="982"/>
    <cellStyle name="计算 2 6 2 2 2 3 3" xfId="983"/>
    <cellStyle name="常规 5 10" xfId="984"/>
    <cellStyle name="计算 2 2 7 2 2 7" xfId="985"/>
    <cellStyle name="常规 4 4 4 2" xfId="986"/>
    <cellStyle name="汇总 2 5 3 2 2 6" xfId="987"/>
    <cellStyle name="40% - 强调文字颜色 6 2 3 2 2" xfId="988"/>
    <cellStyle name="输出 2 3 3 5 3" xfId="989"/>
    <cellStyle name="常规 3 6 2" xfId="990"/>
    <cellStyle name="链接单元格 2 4 4 2 2 2" xfId="991"/>
    <cellStyle name="20% - 强调文字颜色 3 2 2 3 2 2 2 2" xfId="992"/>
    <cellStyle name="60% - 强调文字颜色 6 2 4 2 2 2 2 2" xfId="993"/>
    <cellStyle name="汇总 2 8 2 7" xfId="994"/>
    <cellStyle name="输入 2 10 4" xfId="995"/>
    <cellStyle name="40% - 强调文字颜色 6 2 6" xfId="996"/>
    <cellStyle name="20% - 强调文字颜色 4 2 3 2 2 4" xfId="997"/>
    <cellStyle name="汇总 2 2 7 2 2 2 3" xfId="998"/>
    <cellStyle name="40% - 强调文字颜色 4 2 2 5 3 2" xfId="999"/>
    <cellStyle name="计算 2 11 4" xfId="1000"/>
    <cellStyle name="汇总 2 2 4 2 5 7" xfId="1001"/>
    <cellStyle name="链接单元格 2 5 4" xfId="1002"/>
    <cellStyle name="常规 10 2 2 3 2" xfId="1003"/>
    <cellStyle name="20% - 强调文字颜色 3 5 2 2 2 2" xfId="1004"/>
    <cellStyle name="强调文字颜色 1 2 2 2 2 4 2 3" xfId="1005"/>
    <cellStyle name="20% - 强调文字颜色 4 2 3 2 3 2 2 2 2" xfId="1006"/>
    <cellStyle name="标题 6 3 3 3" xfId="1007"/>
    <cellStyle name="输入 2 8 3 6" xfId="1008"/>
    <cellStyle name="20% - 强调文字颜色 4 3 2 3 2" xfId="1009"/>
    <cellStyle name="20% - 强调文字颜色 3 2 2 6 3 2 2" xfId="1010"/>
    <cellStyle name="标题 4 2 6 3 3" xfId="1011"/>
    <cellStyle name="20% - 强调文字颜色 1 2 6 3" xfId="1012"/>
    <cellStyle name="计算 3 3 3 4 2" xfId="1013"/>
    <cellStyle name="60% - 强调文字颜色 3 3 3 3 2 2 2" xfId="1014"/>
    <cellStyle name="解释性文本 2 3 2 3 3 2 2" xfId="1015"/>
    <cellStyle name="20% - 强调文字颜色 5 2 3 2 2 4 3" xfId="1016"/>
    <cellStyle name="汇总 2 6 2 2 3 4" xfId="1017"/>
    <cellStyle name="汇总 3 2 2 3 2 2" xfId="1018"/>
    <cellStyle name="汇总 3 2 2 3 4" xfId="1019"/>
    <cellStyle name="20% - 强调文字颜色 6 2 2 3 2 2 2 2 2" xfId="1020"/>
    <cellStyle name="汇总 2 4 2 2 2 5 2" xfId="1021"/>
    <cellStyle name="Normal 4" xfId="1022"/>
    <cellStyle name="计算 2 2 4 4 2 3 2 2" xfId="1023"/>
    <cellStyle name="计算 4 4 3 2" xfId="1024"/>
    <cellStyle name="40% - 强调文字颜色 5 2 5 5 2 2" xfId="1025"/>
    <cellStyle name="标题 5 2 5 2" xfId="1026"/>
    <cellStyle name="60% - 强调文字颜色 4 2 2 2 3 5" xfId="1027"/>
    <cellStyle name="链接单元格 4 2 2" xfId="1028"/>
    <cellStyle name="汇总 2 8 7 2 2" xfId="1029"/>
    <cellStyle name="标题 1 3 3 3 2 2 2" xfId="1030"/>
    <cellStyle name="60% - 强调文字颜色 1 3 3 2 2 2 2" xfId="1031"/>
    <cellStyle name="汇总 3 2 8" xfId="1032"/>
    <cellStyle name="60% - 强调文字颜色 1 3 3 3 2 2 2" xfId="1033"/>
    <cellStyle name="常规 10 2 4 2 4" xfId="1034"/>
    <cellStyle name="标题 3 2 2 3 8" xfId="1035"/>
    <cellStyle name="标题 2 2 2 3 4 2 3" xfId="1036"/>
    <cellStyle name="计算 2 5 3 3 2" xfId="1037"/>
    <cellStyle name="标题 3 2 4 3 3 2" xfId="1038"/>
    <cellStyle name="汇总 2 5 2 6 3 2 2" xfId="1039"/>
    <cellStyle name="适中 2 2 2 6 2" xfId="1040"/>
    <cellStyle name="20% - 强调文字颜色 2 2 3 3 3 2" xfId="1041"/>
    <cellStyle name="20% - 强调文字颜色 5 2 2 7" xfId="1042"/>
    <cellStyle name="汇总 2 2 2 2 2 5 2 2" xfId="1043"/>
    <cellStyle name="计算 2 3 2 2 2" xfId="1044"/>
    <cellStyle name="常规 3 7 2 3 2" xfId="1045"/>
    <cellStyle name="40% - 强调文字颜色 6 2 2 7 2" xfId="1046"/>
    <cellStyle name="常规 3 2 6" xfId="1047"/>
    <cellStyle name="输出 3 3 8" xfId="1048"/>
    <cellStyle name="汇总 2 2 6 4 3 3" xfId="1049"/>
    <cellStyle name="解释性文本 2 4 5 3" xfId="1050"/>
    <cellStyle name="20% - 强调文字颜色 4 2 4 4 3" xfId="1051"/>
    <cellStyle name="20% - 强调文字颜色 1 2 3 2 2 5 2" xfId="1052"/>
    <cellStyle name="60% - 强调文字颜色 6 3 3 2 3" xfId="1053"/>
    <cellStyle name="40% - 强调文字颜色 4 2 3 2 4 2 2" xfId="1054"/>
    <cellStyle name="20% - 强调文字颜色 6 2 2 7 2 2" xfId="1055"/>
    <cellStyle name="40% - 强调文字颜色 4 2 2 6 2 2 2" xfId="1056"/>
    <cellStyle name="20% - 强调文字颜色 2 2 2 8 2" xfId="1057"/>
    <cellStyle name="输出 2 2 5 10 2" xfId="1058"/>
    <cellStyle name="20% - 强调文字颜色 1 2 2 2 7 2" xfId="1059"/>
    <cellStyle name="标题 3 3 5 2 2 2" xfId="1060"/>
    <cellStyle name="20% - 强调文字颜色 6 2 2 5 3 2 2" xfId="1061"/>
    <cellStyle name="常规 3 3 3 6" xfId="1062"/>
    <cellStyle name="标题 4 2 3 5 2" xfId="1063"/>
    <cellStyle name="20% - 强调文字颜色 3 2 3 2 2 4 2" xfId="1064"/>
    <cellStyle name="20% - 强调文字颜色 6 2 5 5" xfId="1065"/>
    <cellStyle name="40% - 强调文字颜色 4 2 2 6 3 2 2" xfId="1066"/>
    <cellStyle name="强调文字颜色 3 2 2 7 3" xfId="1067"/>
    <cellStyle name="40% - 强调文字颜色 2 3 2 2 3 2" xfId="1068"/>
    <cellStyle name="计算 2 8 12" xfId="1069"/>
    <cellStyle name="60% - 强调文字颜色 6 2 3 6" xfId="1070"/>
    <cellStyle name="60% - 强调文字颜色 3 2 2 4" xfId="1071"/>
    <cellStyle name="20% - 强调文字颜色 2 2 3 2 2 3 3 2 2" xfId="1072"/>
    <cellStyle name="40% - 强调文字颜色 4 3 6 2" xfId="1073"/>
    <cellStyle name="强调文字颜色 2 2 2 5 2 3" xfId="1074"/>
    <cellStyle name="输出 2 6 5 3" xfId="1075"/>
    <cellStyle name="常规 5 3 3 3 3 2 2" xfId="1076"/>
    <cellStyle name="警告文本 2 3 7" xfId="1077"/>
    <cellStyle name="40% - 强调文字颜色 4 2 2 3 4" xfId="1078"/>
    <cellStyle name="20% - 强调文字颜色 2 2 5 4" xfId="1079"/>
    <cellStyle name="40% - 强调文字颜色 2 3 3 2 2 2 2" xfId="1080"/>
    <cellStyle name="汇总 2 2 4 4 5 2 2" xfId="1081"/>
    <cellStyle name="常规 3 3 3 4" xfId="1082"/>
    <cellStyle name="40% - 强调文字颜色 3 3 4 2" xfId="1083"/>
    <cellStyle name="输出 3 2 2 4 3" xfId="1084"/>
    <cellStyle name="适中 2 2 2 2 3 3 2" xfId="1085"/>
    <cellStyle name="20% - 强调文字颜色 5 2 2 2 2 4 3 2" xfId="1086"/>
    <cellStyle name="输入 2 5" xfId="1087"/>
    <cellStyle name="输出 2 9 7" xfId="1088"/>
    <cellStyle name="标题 4 2 2 5 2 2" xfId="1089"/>
    <cellStyle name="40% - 强调文字颜色 5 3 3 3" xfId="1090"/>
    <cellStyle name="链接单元格 3 2 2 2" xfId="1091"/>
    <cellStyle name="计算 2 2 2 2 12" xfId="1092"/>
    <cellStyle name="20% - 强调文字颜色 6 3 4 2 2" xfId="1093"/>
    <cellStyle name="输入 2 5 3 2 3" xfId="1094"/>
    <cellStyle name="解释性文本 2 4 6 2 2" xfId="1095"/>
    <cellStyle name="输出 2 2 3 2 2 2 2 2" xfId="1096"/>
    <cellStyle name="40% - 强调文字颜色 1 2 3 3 2 2" xfId="1097"/>
    <cellStyle name="20% - 强调文字颜色 2 4 2 4" xfId="1098"/>
    <cellStyle name="汇总 2 2 4 15" xfId="1099"/>
    <cellStyle name="强调文字颜色 2 2 3 3 2 2" xfId="1100"/>
    <cellStyle name="20% - 强调文字颜色 2 4 2 2" xfId="1101"/>
    <cellStyle name="计算 2 5 4 8" xfId="1102"/>
    <cellStyle name="输入 2 2 6 5 4" xfId="1103"/>
    <cellStyle name="注释 2 3 3 7" xfId="1104"/>
    <cellStyle name="40% - 强调文字颜色 5 2 3 2 2" xfId="1105"/>
    <cellStyle name="60% - 强调文字颜色 5 2 2 3 4 2 2" xfId="1106"/>
    <cellStyle name="常规 11 6" xfId="1107"/>
    <cellStyle name="20% - 强调文字颜色 2 2 2 3 2 2 2" xfId="1108"/>
    <cellStyle name="40% - 强调文字颜色 5 3 3 3 2" xfId="1109"/>
    <cellStyle name="计算 2 5 2 3 2 4 2" xfId="1110"/>
    <cellStyle name="60% - 强调文字颜色 1 2 3 3 2 2 2 2 2" xfId="1111"/>
    <cellStyle name="注释 3 2 3" xfId="1112"/>
    <cellStyle name="好 3 5 3" xfId="1113"/>
    <cellStyle name="标题 4 2 4 3 4" xfId="1114"/>
    <cellStyle name="输出 2 3 2 6 2 2" xfId="1115"/>
    <cellStyle name="计算 2 2 3 4 2 2 2" xfId="1116"/>
    <cellStyle name="20% - 强调文字颜色 4 3 3 2" xfId="1117"/>
    <cellStyle name="20% - 强调文字颜色 4 2 4 5 2 2" xfId="1118"/>
    <cellStyle name="常规 4 6 2 2 2" xfId="1119"/>
    <cellStyle name="解释性文本 2 2 2 2 3 2 3" xfId="1120"/>
    <cellStyle name="20% - 强调文字颜色 2 3 2 2 3 2" xfId="1121"/>
    <cellStyle name="链接单元格 2 3 2 5" xfId="1122"/>
    <cellStyle name="强调文字颜色 2 2 7 3" xfId="1123"/>
    <cellStyle name="20% - 强调文字颜色 5 3 2 5 2" xfId="1124"/>
    <cellStyle name="40% - 强调文字颜色 1 3 7" xfId="1125"/>
    <cellStyle name="60% - 强调文字颜色 1 3 2 3 2" xfId="1126"/>
    <cellStyle name="汇总 2 2 7 5 4 2" xfId="1127"/>
    <cellStyle name="20% - 强调文字颜色 2 2 2 2 2 2 5 2" xfId="1128"/>
    <cellStyle name="检查单元格 2 2 4 4 3" xfId="1129"/>
    <cellStyle name="40% - 强调文字颜色 1 2 2 2 5 2 2 2" xfId="1130"/>
    <cellStyle name="适中 3 7 2 2" xfId="1131"/>
    <cellStyle name="强调文字颜色 1 2 2 5 3 3" xfId="1132"/>
    <cellStyle name="20% - 强调文字颜色 4 2 2 6 2 2 2" xfId="1133"/>
    <cellStyle name="常规 2 2 2 5 3" xfId="1134"/>
    <cellStyle name="20% - 强调文字颜色 6 2 2 4 3 2" xfId="1135"/>
    <cellStyle name="40% - 强调文字颜色 5 3 3 3 2 2 2" xfId="1136"/>
    <cellStyle name="标题 5 3 5 2 2 3" xfId="1137"/>
    <cellStyle name="20% - 强调文字颜色 6 2 2 2 2 2 3" xfId="1138"/>
    <cellStyle name="20% - 强调文字颜色 4 2 5" xfId="1139"/>
    <cellStyle name="60% - 强调文字颜色 1 2 3 3 6" xfId="1140"/>
    <cellStyle name="注释 2 2 4 2 5 3" xfId="1141"/>
    <cellStyle name="标题 3 2 2 4 3 2" xfId="1142"/>
    <cellStyle name="汇总 2 5 2 4 4 2 2" xfId="1143"/>
    <cellStyle name="40% - 强调文字颜色 3 2 4 3 3" xfId="1144"/>
    <cellStyle name="注释 2 2 4 4 4" xfId="1145"/>
    <cellStyle name="计算 2 2 8 5 3 3" xfId="1146"/>
    <cellStyle name="输入 2 4 4 2 2 3" xfId="1147"/>
    <cellStyle name="20% - 强调文字颜色 4 3 2 2 3 2 2 2" xfId="1148"/>
    <cellStyle name="标题 2 2 3 2 6 2 2" xfId="1149"/>
    <cellStyle name="40% - 强调文字颜色 2 2 4 2" xfId="1150"/>
    <cellStyle name="计算 2 6 2 3 3 3" xfId="1151"/>
    <cellStyle name="20% - 强调文字颜色 1 3 2 2 2 2" xfId="1152"/>
    <cellStyle name="强调文字颜色 2 2 2 2 2 2 2 2" xfId="1153"/>
    <cellStyle name="标题 1 2 2 3 3 4" xfId="1154"/>
    <cellStyle name="20% - 强调文字颜色 5 2 3 2 4 2 2 2" xfId="1155"/>
    <cellStyle name="40% - 强调文字颜色 5 2 2 7" xfId="1156"/>
    <cellStyle name="40% - 强调文字颜色 5 2 3 4 3" xfId="1157"/>
    <cellStyle name="标题 2 2 2 5 3 2 2" xfId="1158"/>
    <cellStyle name="常规 4 7 2" xfId="1159"/>
    <cellStyle name="20% - 强调文字颜色 2 2 3 2 4 2 2 2" xfId="1160"/>
    <cellStyle name="标题 5 3 8" xfId="1161"/>
    <cellStyle name="汇总 2 9 2 4 2" xfId="1162"/>
    <cellStyle name="20% - 强调文字颜色 4 2 5 2 2" xfId="1163"/>
    <cellStyle name="常规 9 3" xfId="1164"/>
    <cellStyle name="20% - 强调文字颜色 2 2 3 3 2 2" xfId="1165"/>
    <cellStyle name="40% - 强调文字颜色 6 2 4 4 2 2" xfId="1166"/>
    <cellStyle name="40% - 强调文字颜色 3 2 5 3" xfId="1167"/>
    <cellStyle name="解释性文本 2 5 2 2 2" xfId="1168"/>
    <cellStyle name="60% - 强调文字颜色 6 2 5 2 2 3" xfId="1169"/>
    <cellStyle name="20% - 强调文字颜色 3 2 2 5 2" xfId="1170"/>
    <cellStyle name="40% - 强调文字颜色 1 2 4 7" xfId="1171"/>
    <cellStyle name="40% - 强调文字颜色 5 2 2 5" xfId="1172"/>
    <cellStyle name="注释 2 3 4 2 2 3" xfId="1173"/>
    <cellStyle name="60% - 强调文字颜色 3 2 2 6" xfId="1174"/>
    <cellStyle name="汇总 2 2 5 2 2 6 2" xfId="1175"/>
    <cellStyle name="注释 2 4 3 3 3 2" xfId="1176"/>
    <cellStyle name="40% - 强调文字颜色 3 4 3 2 2 2" xfId="1177"/>
    <cellStyle name="强调文字颜色 3 2 3 2 5 2" xfId="1178"/>
    <cellStyle name="输出 2 2 3 3 2 4 2" xfId="1179"/>
    <cellStyle name="40% - 强调文字颜色 5 2 2 4 5 2 2" xfId="1180"/>
    <cellStyle name="输出 2 6 4 2 5" xfId="1181"/>
    <cellStyle name="60% - 强调文字颜色 6 2 4 3 3 2" xfId="1182"/>
    <cellStyle name="警告文本 2 2 2 3 2" xfId="1183"/>
    <cellStyle name="标题 1 2 2 4 4 3" xfId="1184"/>
    <cellStyle name="标题 1 3 3 3 2 2" xfId="1185"/>
    <cellStyle name="20% - 强调文字颜色 2 2 2 9" xfId="1186"/>
    <cellStyle name="百分比 2 2 4 2 2" xfId="1187"/>
    <cellStyle name="标题 1 2 2 5 3 2 2" xfId="1188"/>
    <cellStyle name="强调文字颜色 3 2 2 3 4 2" xfId="1189"/>
    <cellStyle name="20% - 强调文字颜色 5 2 7" xfId="1190"/>
    <cellStyle name="计算 2 6 3 3 3 2" xfId="1191"/>
    <cellStyle name="标题 5 4 4 2 2" xfId="1192"/>
    <cellStyle name="强调文字颜色 6 2 4 3 3" xfId="1193"/>
    <cellStyle name="40% - 强调文字颜色 2 2 2 9" xfId="1194"/>
    <cellStyle name="好 2 3 4 3" xfId="1195"/>
    <cellStyle name="Normal 2 5 2 2" xfId="1196"/>
    <cellStyle name="20% - 强调文字颜色 4 2 3 6 2" xfId="1197"/>
    <cellStyle name="好 2 2 2 3 2 2 2 2" xfId="1198"/>
    <cellStyle name="输入 2 2 10 5" xfId="1199"/>
    <cellStyle name="解释性文本 2 2 4 2 3 2" xfId="1200"/>
    <cellStyle name="汇总 4" xfId="1201"/>
    <cellStyle name="输入 2 2 3 13" xfId="1202"/>
    <cellStyle name="20% - 强调文字颜色 5 2 5 2" xfId="1203"/>
    <cellStyle name="好 2 8" xfId="1204"/>
    <cellStyle name="20% - 强调文字颜色 4 2 4 3 2" xfId="1205"/>
    <cellStyle name="注释 2 5 2 3 2 2" xfId="1206"/>
    <cellStyle name="百分比 2 2 2 2 4" xfId="1207"/>
    <cellStyle name="警告文本 2 3" xfId="1208"/>
    <cellStyle name="强调文字颜色 5 2 2 3 5" xfId="1209"/>
    <cellStyle name="标题 4 2 3 4 4" xfId="1210"/>
    <cellStyle name="汇总 3 14" xfId="1211"/>
    <cellStyle name="输出 5 6 2" xfId="1212"/>
    <cellStyle name="40% - 强调文字颜色 6 2 3 2 2 2 3" xfId="1213"/>
    <cellStyle name="常规 6 3 2" xfId="1214"/>
    <cellStyle name="汇总 2 5 5 4 2 2" xfId="1215"/>
    <cellStyle name="标题 3 5 2 2 3" xfId="1216"/>
    <cellStyle name="常规 6 7 2 2 2" xfId="1217"/>
    <cellStyle name="计算 2 2 4 2 2 3 4" xfId="1218"/>
    <cellStyle name="40% - 强调文字颜色 4 3 2 2 3 2" xfId="1219"/>
    <cellStyle name="标题 3 2 5 2 2" xfId="1220"/>
    <cellStyle name="计算 2 2 6 7 2 2" xfId="1221"/>
    <cellStyle name="40% - 强调文字颜色 2 2 2 3 5" xfId="1222"/>
    <cellStyle name="60% - 强调文字颜色 1 2 6 3 2 2" xfId="1223"/>
    <cellStyle name="解释性文本 2 4 6" xfId="1224"/>
    <cellStyle name="20% - 强调文字颜色 3 2 5 2 2" xfId="1225"/>
    <cellStyle name="常规 7 2 2 3 3 2" xfId="1226"/>
    <cellStyle name="标题 3 3 11" xfId="1227"/>
    <cellStyle name="60% - 强调文字颜色 3 4" xfId="1228"/>
    <cellStyle name="标题 1 2 3 2 4 2 2" xfId="1229"/>
    <cellStyle name="40% - 强调文字颜色 2 2 4 3 3 2" xfId="1230"/>
    <cellStyle name="常规 7 2 3" xfId="1231"/>
    <cellStyle name="20% - 强调文字颜色 5 2 3 2 2 2" xfId="1232"/>
    <cellStyle name="输出 2 4 2 2 4 2" xfId="1233"/>
    <cellStyle name="强调文字颜色 5 2 4 4 3" xfId="1234"/>
    <cellStyle name="注释 2 3 2 2 8" xfId="1235"/>
    <cellStyle name="常规 5 4 4" xfId="1236"/>
    <cellStyle name="40% - 强调文字颜色 6 3 3 2" xfId="1237"/>
    <cellStyle name="汇总 2 4" xfId="1238"/>
    <cellStyle name="标题 3 2 4 3 2 2 2" xfId="1239"/>
    <cellStyle name="常规 3 2 4 2 3 2" xfId="1240"/>
    <cellStyle name="20% - 强调文字颜色 5 3 7" xfId="1241"/>
    <cellStyle name="标题 1 5 2 2 3" xfId="1242"/>
    <cellStyle name="20% - 强调文字颜色 4 2 2 8" xfId="1243"/>
    <cellStyle name="20% - 强调文字颜色 1 2 10" xfId="1244"/>
    <cellStyle name="汇总 2 2 7 4 3 2 2" xfId="1245"/>
    <cellStyle name="注释 2 2 3" xfId="1246"/>
    <cellStyle name="百分比 2 3 5 2 2" xfId="1247"/>
    <cellStyle name="40% - 强调文字颜色 1 2 2 2 2 5" xfId="1248"/>
    <cellStyle name="20% - 强调文字颜色 6 3 2 4 2 2 2" xfId="1249"/>
    <cellStyle name="60% - 强调文字颜色 6 2 4 2 2 2" xfId="1250"/>
    <cellStyle name="60% - 强调文字颜色 4 2 2 2 2 6" xfId="1251"/>
    <cellStyle name="输入 2 5 2 2 2 2" xfId="1252"/>
    <cellStyle name="标题 2 2 2 4 3 3" xfId="1253"/>
    <cellStyle name="说明文本 2 2" xfId="1254"/>
    <cellStyle name="20% - 强调文字颜色 5 2 6" xfId="1255"/>
    <cellStyle name="40% - 强调文字颜色 6 2 2 5 3" xfId="1256"/>
    <cellStyle name="20% - 强调文字颜色 6 2 3 3 2 2 2 2" xfId="1257"/>
    <cellStyle name="强调文字颜色 2 2 3 2 2 3" xfId="1258"/>
    <cellStyle name="20% - 强调文字颜色 2 3 2 3" xfId="1259"/>
    <cellStyle name="常规 4 3 4 2" xfId="1260"/>
    <cellStyle name="40% - 强调文字颜色 6 2 2 2 2" xfId="1261"/>
    <cellStyle name="汇总 2 2 3 2 3 4 2" xfId="1262"/>
    <cellStyle name="汇总 2 4 2 2" xfId="1263"/>
    <cellStyle name="20% - 强调文字颜色 6 2 2 6 3 2" xfId="1264"/>
    <cellStyle name="计算 4 3 2 3" xfId="1265"/>
    <cellStyle name="40% - 强调文字颜色 1 2 2 2 2 4 2 2" xfId="1266"/>
    <cellStyle name="强调文字颜色 5 2 2 3 4 3 2" xfId="1267"/>
    <cellStyle name="输入 2 3 2 2 2 3" xfId="1268"/>
    <cellStyle name="输出 2 6 3 2 4" xfId="1269"/>
    <cellStyle name="20% - 强调文字颜色 5 4 4 2 2" xfId="1270"/>
    <cellStyle name="60% - 强调文字颜色 3 2 2 2 2 3 3 2 2" xfId="1271"/>
    <cellStyle name="40% - 强调文字颜色 2 2 2 4 3 2" xfId="1272"/>
    <cellStyle name="20% - 强调文字颜色 6 3 5 2 2" xfId="1273"/>
    <cellStyle name="输出 2 2 5 2 2 3 2" xfId="1274"/>
    <cellStyle name="20% - 强调文字颜色 5 5 2 2 2" xfId="1275"/>
    <cellStyle name="解释性文本 2 2 2 2 2 2 2" xfId="1276"/>
    <cellStyle name="强调文字颜色 3 2 3 2 2 2 2" xfId="1277"/>
    <cellStyle name="汇总 2 2 5 2 2 3 2 2" xfId="1278"/>
    <cellStyle name="40% - 强调文字颜色 6 2 2 4 2 2" xfId="1279"/>
    <cellStyle name="常规 4 3 6 2 2" xfId="1280"/>
    <cellStyle name="输入 2 2 2 2 10" xfId="1281"/>
    <cellStyle name="20% - 强调文字颜色 1 3 3 3 2 2 2" xfId="1282"/>
    <cellStyle name="40% - 强调文字颜色 4 2 3 4 2 2" xfId="1283"/>
    <cellStyle name="20% - 强调文字颜色 2 2 2 2 2 2 4 3" xfId="1284"/>
    <cellStyle name="20% - 强调文字颜色 1 2 3 3 2 2 2 2 2" xfId="1285"/>
    <cellStyle name="汇总 2 2 2 2 2 2 2 2 2" xfId="1286"/>
    <cellStyle name="40% - 强调文字颜色 6 3 4" xfId="1287"/>
    <cellStyle name="40% - 强调文字颜色 4 2 2 4" xfId="1288"/>
    <cellStyle name="计算 3 3 9" xfId="1289"/>
    <cellStyle name="计算 4 2 7 2" xfId="1290"/>
    <cellStyle name="40% - 强调文字颜色 5 2 3 6 2 2 2" xfId="1291"/>
    <cellStyle name="输出 7" xfId="1292"/>
    <cellStyle name="注释 2 5 2 5 2" xfId="1293"/>
    <cellStyle name="40% - 强调文字颜色 2 2 3 2 2 4 2" xfId="1294"/>
    <cellStyle name="汇总 2 4 6 2" xfId="1295"/>
    <cellStyle name="标题 1 3 3 2 2 2 2" xfId="1296"/>
    <cellStyle name="标题 2 2 2 2 3 5" xfId="1297"/>
    <cellStyle name="常规 6 2 2 5" xfId="1298"/>
    <cellStyle name="强调文字颜色 3 2 2 2 2 5 2 2" xfId="1299"/>
    <cellStyle name="标题 1 2 2 6 4" xfId="1300"/>
    <cellStyle name="强调文字颜色 6 2 4 9" xfId="1301"/>
    <cellStyle name="汇总 2 9 7" xfId="1302"/>
    <cellStyle name="标题 7 2" xfId="1303"/>
    <cellStyle name="20% - 强调文字颜色 2 2 3 4 3 2" xfId="1304"/>
    <cellStyle name="检查单元格 2 4 2" xfId="1305"/>
    <cellStyle name="汇总 2 5 10 3" xfId="1306"/>
    <cellStyle name="60% - 强调文字颜色 2 2 2 2 2 4 2 2" xfId="1307"/>
    <cellStyle name="20% - 强调文字颜色 4 3 3 4" xfId="1308"/>
    <cellStyle name="20% - 强调文字颜色 2 4 2" xfId="1309"/>
    <cellStyle name="强调文字颜色 2 2 3 3 2" xfId="1310"/>
    <cellStyle name="20% - 强调文字颜色 4 2 2 4 2 3" xfId="1311"/>
    <cellStyle name="标题 4 5 2 2 2" xfId="1312"/>
    <cellStyle name="汇总 2 2 6 4 7" xfId="1313"/>
    <cellStyle name="差 2 2 2 2 3 2" xfId="1314"/>
    <cellStyle name="输出 2 2 2 8" xfId="1315"/>
    <cellStyle name="注释 2 2 5 3 6" xfId="1316"/>
    <cellStyle name="40% - 强调文字颜色 6 2 3 2 2 4" xfId="1317"/>
    <cellStyle name="40% - 强调文字颜色 5 2 3 2 4 3" xfId="1318"/>
    <cellStyle name="40% - 强调文字颜色 6 3 3 3 2 2 2" xfId="1319"/>
    <cellStyle name="20% - 强调文字颜色 3 2 4 3 2" xfId="1320"/>
    <cellStyle name="常规 7 2 2 2 4 2" xfId="1321"/>
    <cellStyle name="注释 2 4 2 3 2 2" xfId="1322"/>
    <cellStyle name="40% - 强调文字颜色 4 3 5 2 2 2" xfId="1323"/>
    <cellStyle name="60% - 强调文字颜色 1 2 3 2 2 2 2" xfId="1324"/>
    <cellStyle name="常规 4 2 3 4" xfId="1325"/>
    <cellStyle name="强调文字颜色 2 2 4" xfId="1326"/>
    <cellStyle name="汇总 2 2 3 2 4 5" xfId="1327"/>
    <cellStyle name="40% - 强调文字颜色 2 3 7" xfId="1328"/>
    <cellStyle name="汇总 2 2 3 4 2 4 2 2" xfId="1329"/>
    <cellStyle name="40% - 强调文字颜色 2 2 5" xfId="1330"/>
    <cellStyle name="汇总 2 5 2 3 4 3" xfId="1331"/>
    <cellStyle name="差 2 3 6" xfId="1332"/>
    <cellStyle name="链接单元格 3 5 2" xfId="1333"/>
    <cellStyle name="20% - 强调文字颜色 5 2 2 2 4 2 2 2" xfId="1334"/>
    <cellStyle name="60% - 强调文字颜色 5 2 4 5" xfId="1335"/>
    <cellStyle name="40% - 强调文字颜色 2 4 2 4 2" xfId="1336"/>
    <cellStyle name="60% - 强调文字颜色 5 2 2 3 3 2 2" xfId="1337"/>
    <cellStyle name="常规 10 2 3 2 5" xfId="1338"/>
    <cellStyle name="输入 2 2 5 2 2 5 2 2" xfId="1339"/>
    <cellStyle name="注释 2 2 2 8 2" xfId="1340"/>
    <cellStyle name="20% - 强调文字颜色 1 2 8 2" xfId="1341"/>
    <cellStyle name="40% - 强调文字颜色 6 2 2 2 2 2 3 3 2" xfId="1342"/>
    <cellStyle name="40% - 强调文字颜色 5 2 3 6" xfId="1343"/>
    <cellStyle name="标题 1 2 4 5 2 2" xfId="1344"/>
    <cellStyle name="注释 2 2 3 2 3 7" xfId="1345"/>
    <cellStyle name="百分比 2 5 2 2 2" xfId="1346"/>
    <cellStyle name="20% - 强调文字颜色 1 2 2 3 4 2 2" xfId="1347"/>
    <cellStyle name="40% - 强调文字颜色 2 2 2 3 3" xfId="1348"/>
    <cellStyle name="标题 5 2 2 2" xfId="1349"/>
    <cellStyle name="40% - 强调文字颜色 5 2 5 2 3 2" xfId="1350"/>
    <cellStyle name="40% - 强调文字颜色 2 2 2 3 5 2" xfId="1351"/>
    <cellStyle name="百分比 2 5 2 2" xfId="1352"/>
    <cellStyle name="常规 5 3 2 2 3 4" xfId="1353"/>
    <cellStyle name="40% - 强调文字颜色 6 2 2 2 2 2 4 3" xfId="1354"/>
    <cellStyle name="输入 2 2 3 2 2 7" xfId="1355"/>
    <cellStyle name="标题 4 5 2 2" xfId="1356"/>
    <cellStyle name="输出 2 3 3" xfId="1357"/>
    <cellStyle name="40% - 强调文字颜色 2 2 2 2 2 4" xfId="1358"/>
    <cellStyle name="20% - 强调文字颜色 6 2 2 2 6 2 2" xfId="1359"/>
    <cellStyle name="汇总 2 4 2 7 2" xfId="1360"/>
    <cellStyle name="40% - 强调文字颜色 1 2 2 2 6 2 2 2" xfId="1361"/>
    <cellStyle name="汇总 3 2 2 3 3" xfId="1362"/>
    <cellStyle name="常规 4 2 2 2 3 4" xfId="1363"/>
    <cellStyle name="20% - 强调文字颜色 1 2 3 3 4" xfId="1364"/>
    <cellStyle name="40% - 强调文字颜色 3 2 2 4 3 2 2" xfId="1365"/>
    <cellStyle name="20% - 强调文字颜色 1 2 4 5" xfId="1366"/>
    <cellStyle name="输出 2 2 3 10" xfId="1367"/>
    <cellStyle name="好 2 6 3 2" xfId="1368"/>
    <cellStyle name="60% - 强调文字颜色 4 2 2 2 2 3 2 2" xfId="1369"/>
    <cellStyle name="输出 2 5" xfId="1370"/>
    <cellStyle name="标题 1 2 2 4 3 2 2" xfId="1371"/>
    <cellStyle name="标题 4 3 10" xfId="1372"/>
    <cellStyle name="汇总 2 8 3 2 5" xfId="1373"/>
    <cellStyle name="标题 1 2 2 4 2 4" xfId="1374"/>
    <cellStyle name="标题 3 3 2 2 3 3" xfId="1375"/>
    <cellStyle name="输入 2 6 2 9" xfId="1376"/>
    <cellStyle name="40% - 强调文字颜色 6 3 2 3 2 2" xfId="1377"/>
    <cellStyle name="60% - 强调文字颜色 3 3 3 4" xfId="1378"/>
    <cellStyle name="标题 2 2 5 3 2" xfId="1379"/>
    <cellStyle name="超链接 3 4 3 3 2" xfId="1380"/>
    <cellStyle name="汇总 2 2 8 5 2 2 2" xfId="1381"/>
    <cellStyle name="输出 2 2 3 4 2 3" xfId="1382"/>
    <cellStyle name="适中 4 6" xfId="1383"/>
    <cellStyle name="强调文字颜色 6 2 3 2 2 2" xfId="1384"/>
    <cellStyle name="40% - 强调文字颜色 1 2 4 5 2 2" xfId="1385"/>
    <cellStyle name="40% - 强调文字颜色 4 2 3 2 5" xfId="1386"/>
    <cellStyle name="警告文本 2 3 8" xfId="1387"/>
    <cellStyle name="60% - 强调文字颜色 1 2 2 4 2 2" xfId="1388"/>
    <cellStyle name="汇总 3 2 2 2 4" xfId="1389"/>
    <cellStyle name="输出 2 2 3 2 2 3 4" xfId="1390"/>
    <cellStyle name="40% - 强调文字颜色 1 2 2 2 2 2 2 2 2 2" xfId="1391"/>
    <cellStyle name="40% - 强调文字颜色 6 2 4 2" xfId="1392"/>
    <cellStyle name="常规 4 5 4" xfId="1393"/>
    <cellStyle name="40% - 强调文字颜色 6 2 2 4 3 2 2 2" xfId="1394"/>
    <cellStyle name="40% - 强调文字颜色 2 2 2 5 2 2" xfId="1395"/>
    <cellStyle name="20% - 强调文字颜色 4 2 2 2 2 2 2" xfId="1396"/>
    <cellStyle name="解释性文本 2 2 4 3" xfId="1397"/>
    <cellStyle name="标题 4 2 2 4 2 3 2" xfId="1398"/>
    <cellStyle name="常规 10 2 4 3 2" xfId="1399"/>
    <cellStyle name="标题 3 2 2 4 6" xfId="1400"/>
    <cellStyle name="20% - 强调文字颜色 6 2 2 4 2 2 2" xfId="1401"/>
    <cellStyle name="20% - 强调文字颜色 3 2 2 4 2 3" xfId="1402"/>
    <cellStyle name="计算 2 3 8" xfId="1403"/>
    <cellStyle name="40% - 强调文字颜色 3 2 4 3 2 2" xfId="1404"/>
    <cellStyle name="注释 2 2 4 4 3 2" xfId="1405"/>
    <cellStyle name="20% - 强调文字颜色 2 2 2 2 2 2 3 2 2 2" xfId="1406"/>
    <cellStyle name="20% - 强调文字颜色 3 2 2 3 7" xfId="1407"/>
    <cellStyle name="输入 2 4 2 4" xfId="1408"/>
    <cellStyle name="差 3 3 2 2" xfId="1409"/>
    <cellStyle name="标题 1 2 2 4 3 3 2" xfId="1410"/>
    <cellStyle name="常规 17 2" xfId="1411"/>
    <cellStyle name="20% - 强调文字颜色 5 4 2 3" xfId="1412"/>
    <cellStyle name="20% - 强调文字颜色 6 2 2 2 2 3" xfId="1413"/>
    <cellStyle name="输出 2 2 11 2" xfId="1414"/>
    <cellStyle name="链接单元格 4 2 4" xfId="1415"/>
    <cellStyle name="常规 9 2 2 2 2 2 2" xfId="1416"/>
    <cellStyle name="汇总 5 5" xfId="1417"/>
    <cellStyle name="常规 3 2 8" xfId="1418"/>
    <cellStyle name="计算 2 5 2 2 2 2 2 2 2" xfId="1419"/>
    <cellStyle name="链接单元格 2 2 5 2 2 2" xfId="1420"/>
    <cellStyle name="标题 1 2 3 2 4" xfId="1421"/>
    <cellStyle name="40% - 强调文字颜色 1 2 2 2 2 2 3 2" xfId="1422"/>
    <cellStyle name="20% - 强调文字颜色 4 2 2 3 2 2 2" xfId="1423"/>
    <cellStyle name="差 2 5 2 2 3" xfId="1424"/>
    <cellStyle name="百分比 2 2" xfId="1425"/>
    <cellStyle name="输出 2 4 3 2 4 3" xfId="1426"/>
    <cellStyle name="60% - 强调文字颜色 6 2 3 2 4 3 2" xfId="1427"/>
    <cellStyle name="20% - 强调文字颜色 5 2 2 2 2 2 5 2 2" xfId="1428"/>
    <cellStyle name="20% - 强调文字颜色 5 2 2 5" xfId="1429"/>
    <cellStyle name="强调文字颜色 1 4 2 4" xfId="1430"/>
    <cellStyle name="60% - 强调文字颜色 6 6" xfId="1431"/>
    <cellStyle name="标题 4 2 3 4 3" xfId="1432"/>
    <cellStyle name="汇总 2 4 4 2 3 2 2" xfId="1433"/>
    <cellStyle name="60% - 强调文字颜色 6 2 2 2 3 5" xfId="1434"/>
    <cellStyle name="20% - 强调文字颜色 5 2 4 6" xfId="1435"/>
    <cellStyle name="好 4 2 2 2" xfId="1436"/>
    <cellStyle name="计算 2 2 4 10 2 2" xfId="1437"/>
    <cellStyle name="20% - 强调文字颜色 3 2 2 3 2 2 2" xfId="1438"/>
    <cellStyle name="注释 2 5 2 2 5 2" xfId="1439"/>
    <cellStyle name="60% - 强调文字颜色 5 2 4 2 2 2" xfId="1440"/>
    <cellStyle name="60% - 强调文字颜色 3 2 2 2 2 6" xfId="1441"/>
    <cellStyle name="20% - 强调文字颜色 1 2 4 4" xfId="1442"/>
    <cellStyle name="汇总 2 2 6 3 2 3 3" xfId="1443"/>
    <cellStyle name="超链接 2 3 4 3 3" xfId="1444"/>
    <cellStyle name="输入 2 8 2 2 5" xfId="1445"/>
    <cellStyle name="标题 5 8 2" xfId="1446"/>
    <cellStyle name="汇总 2 2 8 4 4" xfId="1447"/>
    <cellStyle name="百分比 2 3 7" xfId="1448"/>
    <cellStyle name="汇总 2 2 5 2 3 4 3" xfId="1449"/>
    <cellStyle name="40% - 强调文字颜色 1 2 2 2 5" xfId="1450"/>
    <cellStyle name="汇总 2 2 3 2 2 3 5" xfId="1451"/>
    <cellStyle name="汇总 2 2 6 2 3 4" xfId="1452"/>
    <cellStyle name="常规 5 3 2 2 3 4 2" xfId="1453"/>
    <cellStyle name="强调文字颜色 6 2 2 3 4 3" xfId="1454"/>
    <cellStyle name="计算 2 2 5 3 4" xfId="1455"/>
    <cellStyle name="标题 2 2 4 3 2 2" xfId="1456"/>
    <cellStyle name="40% - 强调文字颜色 4 2 2 2 4 2 2" xfId="1457"/>
    <cellStyle name="注释 2 5 2 2 2 4" xfId="1458"/>
    <cellStyle name="超链接 2 2 2 2 3" xfId="1459"/>
    <cellStyle name="20% - 强调文字颜色 1 2 7 3" xfId="1460"/>
    <cellStyle name="输出 3 3 2 2" xfId="1461"/>
    <cellStyle name="强调文字颜色 6 2 2 2" xfId="1462"/>
    <cellStyle name="输出 2 6 2 8" xfId="1463"/>
    <cellStyle name="强调文字颜色 3 2 4 4 2" xfId="1464"/>
    <cellStyle name="60% - 强调文字颜色 2 2 2 6 3" xfId="1465"/>
    <cellStyle name="汇总 2 2 5 3 4 3" xfId="1466"/>
    <cellStyle name="注释 2 2 3 8 2" xfId="1467"/>
    <cellStyle name="常规 12 2 2 2 4" xfId="1468"/>
    <cellStyle name="20% - 强调文字颜色 3 2 4 4" xfId="1469"/>
    <cellStyle name="常规 7 2 2 2 5" xfId="1470"/>
    <cellStyle name="标题 4 3 2 2 2 2 3" xfId="1471"/>
    <cellStyle name="20% - 强调文字颜色 4 3 8" xfId="1472"/>
    <cellStyle name="20% - 强调文字颜色 4 2 2 3 4 3 2" xfId="1473"/>
    <cellStyle name="好 2 6 2 3" xfId="1474"/>
    <cellStyle name="标题 4 3 6" xfId="1475"/>
    <cellStyle name="常规 3 3 2 4 2" xfId="1476"/>
    <cellStyle name="计算 2 3 2 4 4" xfId="1477"/>
    <cellStyle name="40% - 强调文字颜色 1 2 2 3 3 2 2" xfId="1478"/>
    <cellStyle name="计算 2 2 6 5 4 2" xfId="1479"/>
    <cellStyle name="标题 4 2 2 4 3 4" xfId="1480"/>
    <cellStyle name="标题 4 2 3 2 5" xfId="1481"/>
    <cellStyle name="汇总 2 2 5 4 4 2 2" xfId="1482"/>
    <cellStyle name="Normal 4 2 2" xfId="1483"/>
    <cellStyle name="强调文字颜色 3 2 3 6 2" xfId="1484"/>
    <cellStyle name="标题 1 2 2 3 4 3 2" xfId="1485"/>
    <cellStyle name="计算 2 5 3 2 4 2" xfId="1486"/>
    <cellStyle name="强调文字颜色 5 2 3 4 3" xfId="1487"/>
    <cellStyle name="警告文本 2 3 2 6 2" xfId="1488"/>
    <cellStyle name="40% - 强调文字颜色 3 2 2 4 2 3 2" xfId="1489"/>
    <cellStyle name="计算 2 3 2 5 2" xfId="1490"/>
    <cellStyle name="60% - 强调文字颜色 6 2 4 2 2 2 2" xfId="1491"/>
    <cellStyle name="输出 2 6 2" xfId="1492"/>
    <cellStyle name="60% - 强调文字颜色 1 2 2 2 8" xfId="1493"/>
    <cellStyle name="计算 2 3 2 2 2 4 2" xfId="1494"/>
    <cellStyle name="汇总 2 2 3 8 2" xfId="1495"/>
    <cellStyle name="注释 2 6 2 2 6" xfId="1496"/>
    <cellStyle name="40% - 强调文字颜色 5 2 3 2 4 2 2" xfId="1497"/>
    <cellStyle name="20% - 强调文字颜色 3 2 5 4" xfId="1498"/>
    <cellStyle name="注释 2 2 3 5 2 2 2" xfId="1499"/>
    <cellStyle name="60% - 强调文字颜色 6 2 3 5 2" xfId="1500"/>
    <cellStyle name="汇总 2 2 6 3 2 4 2" xfId="1501"/>
    <cellStyle name="强调文字颜色 6 2 6 3 2 2" xfId="1502"/>
    <cellStyle name="链接单元格 3 2 4" xfId="1503"/>
    <cellStyle name="常规 4 2 2 5 2" xfId="1504"/>
    <cellStyle name="汇总 2 6 2 2 5 2 2" xfId="1505"/>
    <cellStyle name="输入 2 3 4 2 2 2" xfId="1506"/>
    <cellStyle name="40% - 强调文字颜色 1 3 3" xfId="1507"/>
    <cellStyle name="40% - 强调文字颜色 4 2 10 2" xfId="1508"/>
    <cellStyle name="汇总 2 6 2 2 2 2 2" xfId="1509"/>
    <cellStyle name="40% - 强调文字颜色 2 2 2 2 4 2 2" xfId="1510"/>
    <cellStyle name="40% - 强调文字颜色 1 2 3" xfId="1511"/>
    <cellStyle name="20% - 强调文字颜色 5 2 5 5" xfId="1512"/>
    <cellStyle name="警告文本 4 2 3 2" xfId="1513"/>
    <cellStyle name="计算 2 6 3 8" xfId="1514"/>
    <cellStyle name="输入 2 2 7 4 4" xfId="1515"/>
    <cellStyle name="好 3 4 3" xfId="1516"/>
    <cellStyle name="20% - 强调文字颜色 6 2 2 5 2 2" xfId="1517"/>
    <cellStyle name="计算 4 2 3 2" xfId="1518"/>
    <cellStyle name="40% - 强调文字颜色 1 2 3 2 4 2 2 2" xfId="1519"/>
    <cellStyle name="汇总 2 5 2 2 4" xfId="1520"/>
    <cellStyle name="常规 7 4" xfId="1521"/>
    <cellStyle name="标题 5 3 6 2 2 2" xfId="1522"/>
    <cellStyle name="常规 10 3 6 2 2" xfId="1523"/>
    <cellStyle name="20% - 强调文字颜色 6 2 4 3 2 2" xfId="1524"/>
    <cellStyle name="标题 5 2 2 4 2" xfId="1525"/>
    <cellStyle name="标题 5 5 2" xfId="1526"/>
    <cellStyle name="20% - 强调文字颜色 1 5" xfId="1527"/>
    <cellStyle name="标题 3 2 3 4 2" xfId="1528"/>
    <cellStyle name="强调文字颜色 2 2 2 4" xfId="1529"/>
    <cellStyle name="20% - 强调文字颜色 5 2 2 4 2 2 2 2" xfId="1530"/>
    <cellStyle name="注释 2 5 3 2" xfId="1531"/>
    <cellStyle name="标题 2 3 2 2 2" xfId="1532"/>
    <cellStyle name="20% - 强调文字颜色 6 2 3 2 2 5 2 2" xfId="1533"/>
    <cellStyle name="汇总 2 3 4 5" xfId="1534"/>
    <cellStyle name="输入 2 4 3 5 2" xfId="1535"/>
    <cellStyle name="标题 4 2 2 3 4 4" xfId="1536"/>
    <cellStyle name="常规 2 3 2 3" xfId="1537"/>
    <cellStyle name="输出 2 4 4 3" xfId="1538"/>
    <cellStyle name="检查单元格 2 3 3 2" xfId="1539"/>
    <cellStyle name="标题 4 2 2 2 3 2 2 2 3" xfId="1540"/>
    <cellStyle name="60% - 强调文字颜色 1 2 5 3 2 2" xfId="1541"/>
    <cellStyle name="40% - 强调文字颜色 1 2 2 3 4 3 2" xfId="1542"/>
    <cellStyle name="20% - 强调文字颜色 3 2 3 2 3 2" xfId="1543"/>
    <cellStyle name="40% - 强调文字颜色 3 3 2 2 4 2" xfId="1544"/>
    <cellStyle name="输出 2 2 6 11" xfId="1545"/>
    <cellStyle name="注释 2 2 2 2 4 3" xfId="1546"/>
    <cellStyle name="计算 2 7 4 2 4 2" xfId="1547"/>
    <cellStyle name="注释 2 2 5 2 2 3 3" xfId="1548"/>
    <cellStyle name="标题 1 2 2 2 5 2 2 2" xfId="1549"/>
    <cellStyle name="40% - 强调文字颜色 6 2 2 3 3 2" xfId="1550"/>
    <cellStyle name="20% - 强调文字颜色 5 2 2 2 2 2 3 2" xfId="1551"/>
    <cellStyle name="汇总 2 2 6 5 2" xfId="1552"/>
    <cellStyle name="链接单元格 2 3 2 4 2 3" xfId="1553"/>
    <cellStyle name="20% - 强调文字颜色 6 3 2 3" xfId="1554"/>
    <cellStyle name="警告文本 3 2 5" xfId="1555"/>
    <cellStyle name="好 2 6 2 2" xfId="1556"/>
    <cellStyle name="20% - 强调文字颜色 4 2 3 2 4 2 2" xfId="1557"/>
    <cellStyle name="40% - 强调文字颜色 2 2 2 4 3 2 2 2" xfId="1558"/>
    <cellStyle name="20% - 强调文字颜色 6 2 5" xfId="1559"/>
    <cellStyle name="汇总 2 7 10 2 2" xfId="1560"/>
    <cellStyle name="输出 2 2 3 2 2 2 2 2 2" xfId="1561"/>
    <cellStyle name="常规 10 3 6 2" xfId="1562"/>
    <cellStyle name="输出 2 7 3 2 5" xfId="1563"/>
    <cellStyle name="40% - 强调文字颜色 2 2 2 2 2 2 2 2 2 2" xfId="1564"/>
    <cellStyle name="计算 2 2 10 4 3" xfId="1565"/>
    <cellStyle name="标题 3 2 2 2 3" xfId="1566"/>
    <cellStyle name="汇总 2 5 2 4 2 2" xfId="1567"/>
    <cellStyle name="计算 2 2 6 4 2 3" xfId="1568"/>
    <cellStyle name="注释 2 2 2 2 3 2 2 2" xfId="1569"/>
    <cellStyle name="强调文字颜色 6 2 2 2 2 4 4" xfId="1570"/>
    <cellStyle name="20% - 强调文字颜色 5 2 3 3 3 2 2" xfId="1571"/>
    <cellStyle name="输出 2 4 2 3 5 2 2" xfId="1572"/>
    <cellStyle name="Normal 3 2" xfId="1573"/>
    <cellStyle name="输入 2 6 2 3 4" xfId="1574"/>
    <cellStyle name="注释 2 2 5 4" xfId="1575"/>
    <cellStyle name="汇总 2 2 15 3" xfId="1576"/>
    <cellStyle name="40% - 强调文字颜色 3 3" xfId="1577"/>
    <cellStyle name="40% - 强调文字颜色 2 2 2 2 3 2 2" xfId="1578"/>
    <cellStyle name="标题 6 2 2 5" xfId="1579"/>
    <cellStyle name="强调文字颜色 6 2 2 3 9" xfId="1580"/>
    <cellStyle name="链接单元格 2 4 2" xfId="1581"/>
    <cellStyle name="汇总 2 5 2 2 3 3" xfId="1582"/>
    <cellStyle name="注释 2 2 8 2 4" xfId="1583"/>
    <cellStyle name="输入 2 2 3 2 7 2" xfId="1584"/>
    <cellStyle name="40% - 强调文字颜色 3 4 5 2" xfId="1585"/>
    <cellStyle name="标题 4 2 2 2 4 3 2" xfId="1586"/>
    <cellStyle name="汇总 2 6 2 2 2 5" xfId="1587"/>
    <cellStyle name="40% - 强调文字颜色 2 2 4 4 3 2" xfId="1588"/>
    <cellStyle name="常规 5 2 3 3 3" xfId="1589"/>
    <cellStyle name="计算 5 3" xfId="1590"/>
    <cellStyle name="汇总 2 6 2 5" xfId="1591"/>
    <cellStyle name="60% - 强调文字颜色 2 2 2 2 6 2 2" xfId="1592"/>
    <cellStyle name="计算 2 5 3 2 3 3" xfId="1593"/>
    <cellStyle name="强调文字颜色 5 2 3 3 4" xfId="1594"/>
    <cellStyle name="标题 4 4 3 2 3" xfId="1595"/>
    <cellStyle name="汇总 2 6 4 5 2 2" xfId="1596"/>
    <cellStyle name="注释 2 2 2 2 2 2 2" xfId="1597"/>
    <cellStyle name="注释 4 6 2 2" xfId="1598"/>
    <cellStyle name="20% - 强调文字颜色 2 2 7 2 2" xfId="1599"/>
    <cellStyle name="输出 2 2 4 3 8" xfId="1600"/>
    <cellStyle name="计算 3 3 5 2" xfId="1601"/>
    <cellStyle name="20% - 强调文字颜色 4 2 3 3 4" xfId="1602"/>
    <cellStyle name="20% - 强调文字颜色 6 2 3 2 2 3 3" xfId="1603"/>
    <cellStyle name="汇总 2 7 11 2" xfId="1604"/>
    <cellStyle name="20% - 强调文字颜色 3 2 2 3 4 2 2" xfId="1605"/>
    <cellStyle name="20% - 强调文字颜色 6 2 2 3 2 2 2" xfId="1606"/>
    <cellStyle name="注释 2 2 3 5 6" xfId="1607"/>
    <cellStyle name="汇总 2 2 7 2 2 3 2" xfId="1608"/>
    <cellStyle name="20% - 强调文字颜色 4 2 3 2 3 3" xfId="1609"/>
    <cellStyle name="检查单元格 2 2 2 2 2 2 2 3" xfId="1610"/>
    <cellStyle name="20% - 强调文字颜色 6 2 4 4 2 2 2" xfId="1611"/>
    <cellStyle name="20% - 强调文字颜色 3 2 4 2 2 2" xfId="1612"/>
    <cellStyle name="常规 7 2 2 2 3 2 2" xfId="1613"/>
    <cellStyle name="输出 3 2 2 5" xfId="1614"/>
    <cellStyle name="20% - 强调文字颜色 4 3 3 3 2 2" xfId="1615"/>
    <cellStyle name="注释 2 3 12" xfId="1616"/>
    <cellStyle name="60% - 强调文字颜色 6 2 3 2 3 2 2" xfId="1617"/>
    <cellStyle name="常规 9 3 2 4 3" xfId="1618"/>
    <cellStyle name="60% - 强调文字颜色 6 4 2 2 2 2" xfId="1619"/>
    <cellStyle name="60% - 强调文字颜色 6 2 2 3 3" xfId="1620"/>
    <cellStyle name="常规 5 4 2 3 3 3" xfId="1621"/>
    <cellStyle name="注释 2 4 2 2 9" xfId="1622"/>
    <cellStyle name="汇总 2 5 5 5 3" xfId="1623"/>
    <cellStyle name="20% - 强调文字颜色 1 2 2 4 4 2" xfId="1624"/>
    <cellStyle name="40% - 强调文字颜色 6 2 2 2 2 2 2 2 2 2 2" xfId="1625"/>
    <cellStyle name="注释 5 2 2 3" xfId="1626"/>
    <cellStyle name="输出 2 2 3 2 2 2 2 2 2 2" xfId="1627"/>
    <cellStyle name="差 2 2 2 3 7" xfId="1628"/>
    <cellStyle name="20% - 强调文字颜色 4 2 2 2 4 2 2" xfId="1629"/>
    <cellStyle name="40% - 强调文字颜色 5 2 4 3 2 2" xfId="1630"/>
    <cellStyle name="计算 2 9 2 8" xfId="1631"/>
    <cellStyle name="好 2 2 2 4 2" xfId="1632"/>
    <cellStyle name="输入 2 2 4 4 6 2" xfId="1633"/>
    <cellStyle name="计算 2 6 3 5 3" xfId="1634"/>
    <cellStyle name="20% - 强调文字颜色 3 2 2 4" xfId="1635"/>
    <cellStyle name="60% - 强调文字颜色 5 2 10" xfId="1636"/>
    <cellStyle name="40% - 强调文字颜色 2 2 2 6 2 2" xfId="1637"/>
    <cellStyle name="标题 3 2 3 2 3 3" xfId="1638"/>
    <cellStyle name="标题 3 2 3 3 2" xfId="1639"/>
    <cellStyle name="差 4 2 4" xfId="1640"/>
    <cellStyle name="汇总 2 2 4 2 2 2 6 2" xfId="1641"/>
    <cellStyle name="20% - 强调文字颜色 3 6 2 2 2" xfId="1642"/>
    <cellStyle name="汇总 2 2 4 5 3 2" xfId="1643"/>
    <cellStyle name="强调文字颜色 6 3 2 3" xfId="1644"/>
    <cellStyle name="60% - 强调文字颜色 6 2 3 2 3 2 2 3" xfId="1645"/>
    <cellStyle name="汇总 3 2 2 2 4 2 2" xfId="1646"/>
    <cellStyle name="输入 2 5 2 2 2 4 2" xfId="1647"/>
    <cellStyle name="强调文字颜色 3 2 2 3 3 3 2" xfId="1648"/>
    <cellStyle name="标题 2 2 2 3 4 2 2 2" xfId="1649"/>
    <cellStyle name="输入 2 2 5 3 2 5" xfId="1650"/>
    <cellStyle name="20% - 强调文字颜色 1 2 4 4 2" xfId="1651"/>
    <cellStyle name="链接单元格 2 4 4 2 3" xfId="1652"/>
    <cellStyle name="链接单元格 2 6" xfId="1653"/>
    <cellStyle name="40% - 强调文字颜色 1 3 8" xfId="1654"/>
    <cellStyle name="标题 4 2 2 2 4 2" xfId="1655"/>
    <cellStyle name="60% - 强调文字颜色 6 2 3 3 5" xfId="1656"/>
    <cellStyle name="汇总 2 2 4 3 4 3" xfId="1657"/>
    <cellStyle name="汇总 2 2 4 2 9" xfId="1658"/>
    <cellStyle name="60% - 强调文字颜色 3 2 2 4 2 3 2" xfId="1659"/>
    <cellStyle name="计算 2 14 2 2" xfId="1660"/>
    <cellStyle name="60% - 强调文字颜色 2 2 4 5" xfId="1661"/>
    <cellStyle name="60% - 强调文字颜色 3 3 7" xfId="1662"/>
    <cellStyle name="输入 2 7 10" xfId="1663"/>
    <cellStyle name="输入 3 2 2 4 2 2" xfId="1664"/>
    <cellStyle name="常规 2 3 3 4" xfId="1665"/>
    <cellStyle name="标题 4 2 3 2 3 2" xfId="1666"/>
    <cellStyle name="强调文字颜色 1 2 3 8" xfId="1667"/>
    <cellStyle name="超链接 2 3 4 3 2" xfId="1668"/>
    <cellStyle name="标题 3 2 2 3 7" xfId="1669"/>
    <cellStyle name="常规 10 2 4 2 3" xfId="1670"/>
    <cellStyle name="40% - 强调文字颜色 4 3 4 2" xfId="1671"/>
    <cellStyle name="标题 1 2 3 4 3 2 2" xfId="1672"/>
    <cellStyle name="输出 2 5 2 4 2 2" xfId="1673"/>
    <cellStyle name="常规 5 2 2 2 2 2 4" xfId="1674"/>
    <cellStyle name="强调文字颜色 4 2 2 2 6 2" xfId="1675"/>
    <cellStyle name="60% - 强调文字颜色 6 2 4 3 4" xfId="1676"/>
    <cellStyle name="汇总 2 2 4 4 4 2" xfId="1677"/>
    <cellStyle name="40% - 强调文字颜色 3 2 3 2 3 3" xfId="1678"/>
    <cellStyle name="汇总 2 2 6 2 7 2" xfId="1679"/>
    <cellStyle name="注释 2 2 3 3 4 3" xfId="1680"/>
    <cellStyle name="计算 2 2 4 2 3 4" xfId="1681"/>
    <cellStyle name="60% - 强调文字颜色 5 2 2 2 4 3 2 2" xfId="1682"/>
    <cellStyle name="20% - 强调文字颜色 3 2 4 7" xfId="1683"/>
    <cellStyle name="警告文本 2 2 2 4" xfId="1684"/>
    <cellStyle name="注释 2 4 2 3 6" xfId="1685"/>
    <cellStyle name="输出 2 2 4 4 2 4" xfId="1686"/>
    <cellStyle name="标题 1 2 3 2 3 2 2" xfId="1687"/>
    <cellStyle name="汇总 2 2 2 3 3 4 2" xfId="1688"/>
    <cellStyle name="20% - 强调文字颜色 5 2 2 2 3 4" xfId="1689"/>
    <cellStyle name="40% - 强调文字颜色 6 2 2 4 2 3 2" xfId="1690"/>
    <cellStyle name="常规 10 2 4 2 5" xfId="1691"/>
    <cellStyle name="标题 3 2 2 3 9" xfId="1692"/>
    <cellStyle name="输入 2 2 7 3 2 2 2" xfId="1693"/>
    <cellStyle name="计算 2 6 2 6 2 2" xfId="1694"/>
    <cellStyle name="输入 2 3 3 2" xfId="1695"/>
    <cellStyle name="输入 4 3" xfId="1696"/>
    <cellStyle name="计算 2 2 4 2 2 4 2 2" xfId="1697"/>
    <cellStyle name="常规 4 2 4 3 5" xfId="1698"/>
    <cellStyle name="检查单元格 4 2 2" xfId="1699"/>
    <cellStyle name="20% - 强调文字颜色 5 2 2 3 7" xfId="1700"/>
    <cellStyle name="输出 2 2 5 2 8" xfId="1701"/>
    <cellStyle name="汇总 2 2 2 2 2 2 2 3 2" xfId="1702"/>
    <cellStyle name="输入 2 2 6 2 6" xfId="1703"/>
    <cellStyle name="40% - 强调文字颜色 6 4 4" xfId="1704"/>
    <cellStyle name="标题 4 2 2 5 2 3" xfId="1705"/>
    <cellStyle name="40% - 强调文字颜色 5 2 4 4 3" xfId="1706"/>
    <cellStyle name="标题 4 2 2 4 4 2" xfId="1707"/>
    <cellStyle name="注释 2 4 2 2 3 2 3" xfId="1708"/>
    <cellStyle name="注释 2 7 2 7" xfId="1709"/>
    <cellStyle name="计算 2 7 2 2 6 2" xfId="1710"/>
    <cellStyle name="60% - 强调文字颜色 5 2 3 2 2 2" xfId="1711"/>
    <cellStyle name="注释 2 5 4 2 2 3" xfId="1712"/>
    <cellStyle name="超链接 2 4 2 2 2" xfId="1713"/>
    <cellStyle name="20% - 强调文字颜色 5 2 2 2 2 2 2 2" xfId="1714"/>
    <cellStyle name="汇总 2 2 3 4 5 2" xfId="1715"/>
    <cellStyle name="计算 2 7 2 5 2 2" xfId="1716"/>
    <cellStyle name="20% - 强调文字颜色 6 2 5 3 2 2 2" xfId="1717"/>
    <cellStyle name="超链接 2 4 3 3 2" xfId="1718"/>
    <cellStyle name="60% - 强调文字颜色 1 3 3 4 2" xfId="1719"/>
    <cellStyle name="适中 2 2 3" xfId="1720"/>
    <cellStyle name="输出 4 2 2" xfId="1721"/>
    <cellStyle name="40% - 强调文字颜色 2 2 2 2 2 5" xfId="1722"/>
    <cellStyle name="常规 2 2 2" xfId="1723"/>
    <cellStyle name="输出 2 3 4" xfId="1724"/>
    <cellStyle name="汇总 2 2 4 4 2 2" xfId="1725"/>
    <cellStyle name="强调文字颜色 3 2 3 4 4" xfId="1726"/>
    <cellStyle name="计算 2 3 3 2 4 3" xfId="1727"/>
    <cellStyle name="20% - 强调文字颜色 6 2 2 2 2 4 3 2 2" xfId="1728"/>
    <cellStyle name="好 3 2" xfId="1729"/>
    <cellStyle name="输入 2 5 2 10 2" xfId="1730"/>
    <cellStyle name="汇总 5 2 2 2" xfId="1731"/>
    <cellStyle name="20% - 强调文字颜色 6 2 3 2 2 4 3" xfId="1732"/>
    <cellStyle name="标题 4 2 5 2 2" xfId="1733"/>
    <cellStyle name="20% - 强调文字颜色 1 2 2 2 2 2 4" xfId="1734"/>
    <cellStyle name="40% - 强调文字颜色 1 4 3 2 2 2" xfId="1735"/>
    <cellStyle name="标题 5 2 3 2 2 3" xfId="1736"/>
    <cellStyle name="20% - 强调文字颜色 3 2 6 3" xfId="1737"/>
    <cellStyle name="输入 2 2 9 2 5" xfId="1738"/>
    <cellStyle name="警告文本 2 7 2 3" xfId="1739"/>
    <cellStyle name="60% - 强调文字颜色 1 2 2 2 2 2" xfId="1740"/>
    <cellStyle name="计算 2 2 5 2 4 5" xfId="1741"/>
    <cellStyle name="20% - 强调文字颜色 1 5 2 2 2 2" xfId="1742"/>
    <cellStyle name="强调文字颜色 2 2 2 4 2 2 2 2" xfId="1743"/>
    <cellStyle name="常规 12 2 2 3 2" xfId="1744"/>
    <cellStyle name="20% - 强调文字颜色 5 3 2 2 2 2" xfId="1745"/>
    <cellStyle name="计算 2 2 3 2 3 4 2" xfId="1746"/>
    <cellStyle name="20% - 强调文字颜色 2 4 5 2" xfId="1747"/>
    <cellStyle name="60% - 强调文字颜色 3 2 3 2 5 2" xfId="1748"/>
    <cellStyle name="40% - 强调文字颜色 4 6 2 2" xfId="1749"/>
    <cellStyle name="输入 2 2 4 4 4 2" xfId="1750"/>
    <cellStyle name="计算 4 2 8" xfId="1751"/>
    <cellStyle name="40% - 强调文字颜色 4 2 10" xfId="1752"/>
    <cellStyle name="汇总 2 2 4 2 9 2" xfId="1753"/>
    <cellStyle name="标题 4 2 3 2 5 3" xfId="1754"/>
    <cellStyle name="超链接 2 2 3 3 2 3" xfId="1755"/>
    <cellStyle name="警告文本 2 3 2" xfId="1756"/>
    <cellStyle name="输入 2 2 5 3 2 2 2 2" xfId="1757"/>
    <cellStyle name="强调文字颜色 5 2 3 4 2" xfId="1758"/>
    <cellStyle name="注释 2 2 2 3 6" xfId="1759"/>
    <cellStyle name="40% - 强调文字颜色 3 2 2 2 5" xfId="1760"/>
    <cellStyle name="标题 2 2 2 2 6" xfId="1761"/>
    <cellStyle name="常规 4 2 3 4 4 2" xfId="1762"/>
    <cellStyle name="标题 4 2 3 2 3 3" xfId="1763"/>
    <cellStyle name="40% - 强调文字颜色 3 2 2 6 2 2" xfId="1764"/>
    <cellStyle name="百分比 2 2 2 2 2 2" xfId="1765"/>
    <cellStyle name="60% - 强调文字颜色 1 2 2 7 2" xfId="1766"/>
    <cellStyle name="百分比 2 3 2 2 2 2" xfId="1767"/>
    <cellStyle name="注释 2 3 2 2 2 4 2" xfId="1768"/>
    <cellStyle name="20% - 强调文字颜色 2 2 2 2 2 2 2 3 2" xfId="1769"/>
    <cellStyle name="20% - 强调文字颜色 3 2 2 2 2 2 2" xfId="1770"/>
    <cellStyle name="强调文字颜色 5 2 4" xfId="1771"/>
    <cellStyle name="20% - 强调文字颜色 4 2 6 2" xfId="1772"/>
    <cellStyle name="20% - 强调文字颜色 6 2 2 2 2 2 4 2" xfId="1773"/>
    <cellStyle name="20% - 强调文字颜色 2 2 3 4 2 2 2" xfId="1774"/>
    <cellStyle name="检查单元格 2 3 2 2" xfId="1775"/>
    <cellStyle name="计算 2 10 2 3 2 2" xfId="1776"/>
    <cellStyle name="40% - 强调文字颜色 3 4 2 4 2" xfId="1777"/>
    <cellStyle name="20% - 强调文字颜色 2 2 5 4 2 2" xfId="1778"/>
    <cellStyle name="输入 2 4 2 3 5" xfId="1779"/>
    <cellStyle name="汇总 2 2 2 8" xfId="1780"/>
    <cellStyle name="标题 2 2 2 9" xfId="1781"/>
    <cellStyle name="汇总 2 2 5 4 2 2" xfId="1782"/>
    <cellStyle name="40% - 强调文字颜色 4 2 2 3 3 3" xfId="1783"/>
    <cellStyle name="汇总 2 2 4 3 3 4" xfId="1784"/>
    <cellStyle name="60% - 强调文字颜色 6 2 3 2 6" xfId="1785"/>
    <cellStyle name="60% - 强调文字颜色 6 2 2 6 3 3" xfId="1786"/>
    <cellStyle name="百分比 2 2 2 3 4" xfId="1787"/>
    <cellStyle name="警告文本 3 3" xfId="1788"/>
    <cellStyle name="强调文字颜色 1 2 2 3 2 2 2 2 2" xfId="1789"/>
    <cellStyle name="计算 2 5 5 3 3" xfId="1790"/>
    <cellStyle name="汇总 2 2 6 5 2 2 2" xfId="1791"/>
    <cellStyle name="强调文字颜色 2 3 2 2 2 2" xfId="1792"/>
    <cellStyle name="汇总 2 13 3" xfId="1793"/>
    <cellStyle name="20% - 强调文字颜色 6 3 2 3 2 2" xfId="1794"/>
    <cellStyle name="百分比 2 2 5 2 2" xfId="1795"/>
    <cellStyle name="40% - 强调文字颜色 5 2 2 4 2 3" xfId="1796"/>
    <cellStyle name="40% - 强调文字颜色 5 2 6" xfId="1797"/>
    <cellStyle name="汇总 2 2 5 2 9" xfId="1798"/>
    <cellStyle name="20% - 强调文字颜色 6 2 5 3 3 2" xfId="1799"/>
    <cellStyle name="输入 2 5 5 2 2 3" xfId="1800"/>
    <cellStyle name="20% - 强调文字颜色 5 2 2 2 4 3" xfId="1801"/>
    <cellStyle name="常规 2 4 4 3 2" xfId="1802"/>
    <cellStyle name="计算 2 7 2 2 2" xfId="1803"/>
    <cellStyle name="输出 2 2 9 2 2 2" xfId="1804"/>
    <cellStyle name="汇总 2 2 4 2 2 2 4 3" xfId="1805"/>
    <cellStyle name="40% - 强调文字颜色 5 2 4 5" xfId="1806"/>
    <cellStyle name="60% - 强调文字颜色 6 2 3 2 2 2 2" xfId="1807"/>
    <cellStyle name="60% - 强调文字颜色 6 2 5 2 2" xfId="1808"/>
    <cellStyle name="输出 2 2 5 5" xfId="1809"/>
    <cellStyle name="注释 2 2 5 6 3" xfId="1810"/>
    <cellStyle name="20% - 强调文字颜色 1 2 3 2 2 4 3 2" xfId="1811"/>
    <cellStyle name="40% - 强调文字颜色 3 2 5 5 2" xfId="1812"/>
    <cellStyle name="60% - 强调文字颜色 5 2 2 4 3 3 2" xfId="1813"/>
    <cellStyle name="百分比 2 2 5 2 3" xfId="1814"/>
    <cellStyle name="常规 2 2 3" xfId="1815"/>
    <cellStyle name="输出 2 3 5" xfId="1816"/>
    <cellStyle name="40% - 强调文字颜色 4 2 4 2 2 2" xfId="1817"/>
    <cellStyle name="强调文字颜色 5 2 2 2 4 2" xfId="1818"/>
    <cellStyle name="标题 2 2 2 3 4 2 2" xfId="1819"/>
    <cellStyle name="40% - 强调文字颜色 3 2 3 7" xfId="1820"/>
    <cellStyle name="百分比 2 2 3 3" xfId="1821"/>
    <cellStyle name="标题 1 2 2 5 2 3" xfId="1822"/>
    <cellStyle name="40% - 强调文字颜色 1 2 4 4 2 2" xfId="1823"/>
    <cellStyle name="40% - 强调文字颜色 4 2 2 2 5" xfId="1824"/>
    <cellStyle name="强调文字颜色 2 2 2 3 4 2" xfId="1825"/>
    <cellStyle name="20% - 强调文字颜色 1 4 4 2" xfId="1826"/>
    <cellStyle name="20% - 强调文字颜色 6 2 4 2 2 2 2 2" xfId="1827"/>
    <cellStyle name="汇总 2 2 2 6 2 3" xfId="1828"/>
    <cellStyle name="强调文字颜色 5 3 4 2" xfId="1829"/>
    <cellStyle name="20% - 强调文字颜色 3 2 2 2 2 3 2 2" xfId="1830"/>
    <cellStyle name="20% - 强调文字颜色 4 2 6" xfId="1831"/>
    <cellStyle name="60% - 强调文字颜色 5 3 3 3 2 2 2" xfId="1832"/>
    <cellStyle name="20% - 强调文字颜色 6 2 2 2 2 2 4" xfId="1833"/>
    <cellStyle name="汇总 2 9 8" xfId="1834"/>
    <cellStyle name="20% - 强调文字颜色 5 3 2 3 2" xfId="1835"/>
    <cellStyle name="常规 7 2 2 2 3 2 2 2" xfId="1836"/>
    <cellStyle name="20% - 强调文字颜色 3 2 4 2 2 2 2" xfId="1837"/>
    <cellStyle name="40% - 强调文字颜色 2 3 2 5 2" xfId="1838"/>
    <cellStyle name="强调文字颜色 6 2 3 2 7" xfId="1839"/>
    <cellStyle name="40% - 强调文字颜色 6 2 2 5 3 2 2" xfId="1840"/>
    <cellStyle name="标题 2 2 3 2 3 3 2 2" xfId="1841"/>
    <cellStyle name="60% - 强调文字颜色 4 2 2 2 2 5 2 2" xfId="1842"/>
    <cellStyle name="标题 2 2 2 4 2 2 3" xfId="1843"/>
    <cellStyle name="20% - 强调文字颜色 6 2 2 2 2 5 2 2" xfId="1844"/>
    <cellStyle name="输入 3 2 4 2 2" xfId="1845"/>
    <cellStyle name="汇总 2 2 8 7" xfId="1846"/>
    <cellStyle name="注释 3 2 2 6 3" xfId="1847"/>
    <cellStyle name="40% - 强调文字颜色 4 2 2 5 2" xfId="1848"/>
    <cellStyle name="标题 4 2 3 4 2 2" xfId="1849"/>
    <cellStyle name="常规 4 3 2 2" xfId="1850"/>
    <cellStyle name="百分比 2 2 2 3 3 3" xfId="1851"/>
    <cellStyle name="警告文本 3 2 3" xfId="1852"/>
    <cellStyle name="60% - 强调文字颜色 1 2 4 4 2 2 2" xfId="1853"/>
    <cellStyle name="20% - 强调文字颜色 5 2 3 4 2 2 2" xfId="1854"/>
    <cellStyle name="20% - 强调文字颜色 1 2 7" xfId="1855"/>
    <cellStyle name="标题 4 2 6 4" xfId="1856"/>
    <cellStyle name="常规 6 3 2 4 3 2 2" xfId="1857"/>
    <cellStyle name="标题 1 2 3 2 4 3" xfId="1858"/>
    <cellStyle name="常规 4 3 3 3" xfId="1859"/>
    <cellStyle name="注释 2 5 2 4" xfId="1860"/>
    <cellStyle name="20% - 强调文字颜色 3 2 3 2 2 3 2 2 2" xfId="1861"/>
    <cellStyle name="20% - 强调文字颜色 6 2 4 5 2 2" xfId="1862"/>
    <cellStyle name="40% - 强调文字颜色 4 2 2 2 2 2 3 2 2 2" xfId="1863"/>
    <cellStyle name="注释 2 4 2 9" xfId="1864"/>
    <cellStyle name="标题 2 3 5 2 2 2" xfId="1865"/>
    <cellStyle name="标题 2 2 2 2 2 3 3" xfId="1866"/>
    <cellStyle name="注释 2 8 3 2 2" xfId="1867"/>
    <cellStyle name="40% - 强调文字颜色 3 5 2 2 2 2" xfId="1868"/>
    <cellStyle name="20% - 强调文字颜色 2 2 3 2 2 3" xfId="1869"/>
    <cellStyle name="20% - 强调文字颜色 3 2 2 2 2 5 2 2 2" xfId="1870"/>
    <cellStyle name="20% - 强调文字颜色 1 2 4 4 2 2 2" xfId="1871"/>
    <cellStyle name="60% - 强调文字颜色 2 2 3 2 4" xfId="1872"/>
    <cellStyle name="60% - 强调文字颜色 3 2 4 4" xfId="1873"/>
    <cellStyle name="标题 5 3 2 3 2 3" xfId="1874"/>
    <cellStyle name="20% - 强调文字颜色 1 2 2 3 4 2 2 2" xfId="1875"/>
    <cellStyle name="计算 2 10 2 4" xfId="1876"/>
    <cellStyle name="40% - 强调文字颜色 6 2 4 4 2 2 2" xfId="1877"/>
    <cellStyle name="60% - 强调文字颜色 6 2 2 2 6 3" xfId="1878"/>
    <cellStyle name="汇总 2 2 4 2 3 4 3" xfId="1879"/>
    <cellStyle name="常规 10 2 6 2 2" xfId="1880"/>
    <cellStyle name="40% - 强调文字颜色 1 2 2 2 7 2" xfId="1881"/>
    <cellStyle name="计算 2 2 3 4 2 5" xfId="1882"/>
    <cellStyle name="60% - 强调文字颜色 1 3 3 2 2 2" xfId="1883"/>
    <cellStyle name="汇总 2 6 4 2 5 2" xfId="1884"/>
    <cellStyle name="输入 2 5 4 2 2" xfId="1885"/>
    <cellStyle name="百分比 2 3 2 2 2 3" xfId="1886"/>
    <cellStyle name="常规 7 2 2 2 3 3" xfId="1887"/>
    <cellStyle name="60% - 强调文字颜色 6 2 2 2 3 4" xfId="1888"/>
    <cellStyle name="常规 5 2 2 7" xfId="1889"/>
    <cellStyle name="60% - 强调文字颜色 6 2 2 6 2" xfId="1890"/>
    <cellStyle name="计算 2 7 4 2 3 3" xfId="1891"/>
    <cellStyle name="注释 2 2 2 2 3 4" xfId="1892"/>
    <cellStyle name="标题 1 2 2 2 2 2 2 2 2 3" xfId="1893"/>
    <cellStyle name="40% - 强调文字颜色 6 2 2 4 2 2 2 2" xfId="1894"/>
    <cellStyle name="40% - 强调文字颜色 5 2 4 2" xfId="1895"/>
    <cellStyle name="强调文字颜色 4 2 2 2 2 2 3" xfId="1896"/>
    <cellStyle name="好 2 2 2 8" xfId="1897"/>
    <cellStyle name="强调文字颜色 1 2 7 2 2 2" xfId="1898"/>
    <cellStyle name="40% - 强调文字颜色 6 4 2 4 2" xfId="1899"/>
    <cellStyle name="20% - 强调文字颜色 4 2 5 2 2 2 2" xfId="1900"/>
    <cellStyle name="常规 9 3 2 2" xfId="1901"/>
    <cellStyle name="20% - 强调文字颜色 4 2 6 3 2" xfId="1902"/>
    <cellStyle name="20% - 强调文字颜色 2 2 2 2 7" xfId="1903"/>
    <cellStyle name="计算 2 2 4 4" xfId="1904"/>
    <cellStyle name="标题 5 4 8" xfId="1905"/>
    <cellStyle name="注释 2 5 2 5 2 2" xfId="1906"/>
    <cellStyle name="40% - 强调文字颜色 2 2 3 2 3 3 2" xfId="1907"/>
    <cellStyle name="常规 4 5 2 2 2" xfId="1908"/>
    <cellStyle name="20% - 强调文字颜色 1 2 3 2 3 3" xfId="1909"/>
    <cellStyle name="标题 3 2 2 4 5 3" xfId="1910"/>
    <cellStyle name="40% - 强调文字颜色 5 2 2 2 2 2 4 2 2 2" xfId="1911"/>
    <cellStyle name="40% - 强调文字颜色 5 2 3 5" xfId="1912"/>
    <cellStyle name="20% - 强调文字颜色 2 2 3 2 3 2 2 2 2" xfId="1913"/>
    <cellStyle name="超链接 3 3 4 3 2 2" xfId="1914"/>
    <cellStyle name="标题 4 2 2 2 5 2 2 2" xfId="1915"/>
    <cellStyle name="汇总 2 2 6 5 3" xfId="1916"/>
    <cellStyle name="20% - 强调文字颜色 6 2 2 3 4" xfId="1917"/>
    <cellStyle name="强调文字颜色 6 2 2 2 8" xfId="1918"/>
    <cellStyle name="计算 2 2 4 5 2 3 2" xfId="1919"/>
    <cellStyle name="40% - 强调文字颜色 3 2 3 3 2 2 2 2" xfId="1920"/>
    <cellStyle name="注释 3 13" xfId="1921"/>
    <cellStyle name="输出 2 2 3 2 4 2 3" xfId="1922"/>
    <cellStyle name="标题 4 2 2 2 2 6" xfId="1923"/>
    <cellStyle name="标题 6 2 4 2 2 2" xfId="1924"/>
    <cellStyle name="20% - 强调文字颜色 3 2 4 4 3" xfId="1925"/>
    <cellStyle name="常规 20 3" xfId="1926"/>
    <cellStyle name="常规 15 3" xfId="1927"/>
    <cellStyle name="百分比 2 7" xfId="1928"/>
    <cellStyle name="汇总 2 3 3 2 2" xfId="1929"/>
    <cellStyle name="标题 1 2 2 2 2 2 2 2 2 2" xfId="1930"/>
    <cellStyle name="标题 3 2 2 4 3 2 2 2" xfId="1931"/>
    <cellStyle name="汇总 2 5 3 5 2" xfId="1932"/>
    <cellStyle name="计算 2 2 8 3 2 5" xfId="1933"/>
    <cellStyle name="汇总 2 2 4 6 2 2 2" xfId="1934"/>
    <cellStyle name="汇总 2 8 5 4" xfId="1935"/>
    <cellStyle name="60% - 强调文字颜色 3 2 3 2 3 3 2 2" xfId="1936"/>
    <cellStyle name="注释 2 2 2 2 2 2 5" xfId="1937"/>
    <cellStyle name="常规 11 2 2 2 3 3" xfId="1938"/>
    <cellStyle name="强调文字颜色 3 2 3 4 2" xfId="1939"/>
    <cellStyle name="40% - 强调文字颜色 5 2 2 2 5 2 2 2" xfId="1940"/>
    <cellStyle name="汇总 2" xfId="1941"/>
    <cellStyle name="60% - 强调文字颜色 1 3 2 2 3" xfId="1942"/>
    <cellStyle name="标题 7 2 3 2 3" xfId="1943"/>
    <cellStyle name="60% - 强调文字颜色 6 3 3 2 2 2 2" xfId="1944"/>
    <cellStyle name="标题 5 2 3 2 2 2" xfId="1945"/>
    <cellStyle name="强调文字颜色 3 2 5 4" xfId="1946"/>
    <cellStyle name="标题 6 3 2 2" xfId="1947"/>
    <cellStyle name="20% - 强调文字颜色 5 3 3 3" xfId="1948"/>
    <cellStyle name="40% - 强调文字颜色 5 3 2 2 3 2" xfId="1949"/>
    <cellStyle name="汇总 2 2 6 4 4 2 2" xfId="1950"/>
    <cellStyle name="常规 3 3 5 2" xfId="1951"/>
    <cellStyle name="20% - 强调文字颜色 2 2 2 3 2 2" xfId="1952"/>
    <cellStyle name="20% - 强调文字颜色 6 2 2 2 2 2 5 2" xfId="1953"/>
    <cellStyle name="计算 2 2 4 3 2 2 2" xfId="1954"/>
    <cellStyle name="标题 5 3 2 4 2 2" xfId="1955"/>
    <cellStyle name="标题 5 3 2 4 2" xfId="1956"/>
    <cellStyle name="输入 2 2 10 2 2 2" xfId="1957"/>
    <cellStyle name="标题 5 2 5 4" xfId="1958"/>
    <cellStyle name="输出 2 2 3 3 2 2 2" xfId="1959"/>
    <cellStyle name="40% - 强调文字颜色 1 3 2 2 2" xfId="1960"/>
    <cellStyle name="20% - 强调文字颜色 6 2 3 3 2 2 2" xfId="1961"/>
    <cellStyle name="20% - 强调文字颜色 1 2 2 3 7" xfId="1962"/>
    <cellStyle name="标题 4 2 2 3 2 2 2 2 2" xfId="1963"/>
    <cellStyle name="注释 2 2 3 2 8 2" xfId="1964"/>
    <cellStyle name="适中 3 2 2 3" xfId="1965"/>
    <cellStyle name="计算 2 5 2 9" xfId="1966"/>
    <cellStyle name="输入 2 2 6 3 5" xfId="1967"/>
    <cellStyle name="好 2 2 2 2 2 2 2" xfId="1968"/>
    <cellStyle name="40% - 强调文字颜色 6 2 4 5 2 2" xfId="1969"/>
    <cellStyle name="标题 2 2 3 2 2 5" xfId="1970"/>
    <cellStyle name="标题 1 3 2 2 2 2 3" xfId="1971"/>
    <cellStyle name="输出 3 3 2 3 2" xfId="1972"/>
    <cellStyle name="20% - 强调文字颜色 6 2 2 2 2 2 2 3" xfId="1973"/>
    <cellStyle name="常规 2 2 2 6 2 2 2" xfId="1974"/>
    <cellStyle name="标题 2 4 3 3" xfId="1975"/>
    <cellStyle name="常规 4 6 2 3 2 2" xfId="1976"/>
    <cellStyle name="40% - 强调文字颜色 3 2 2 2 2 4" xfId="1977"/>
    <cellStyle name="汇总 2 2 5 2 6 3" xfId="1978"/>
    <cellStyle name="计算 2 10" xfId="1979"/>
    <cellStyle name="警告文本 2 4 6" xfId="1980"/>
    <cellStyle name="20% - 强调文字颜色 4 2 2 2 2 2 5 2 2" xfId="1981"/>
    <cellStyle name="解释性文本 2 4 2 2 3" xfId="1982"/>
    <cellStyle name="60% - 强调文字颜色 2 2 2 2 6" xfId="1983"/>
    <cellStyle name="差 2 2 3 4 3 2" xfId="1984"/>
    <cellStyle name="强调文字颜色 2 2 2 5 3 3" xfId="1985"/>
    <cellStyle name="60% - 强调文字颜色 6 4 2 3 3" xfId="1986"/>
    <cellStyle name="汇总 2 2 3 2 2 4 2" xfId="1987"/>
    <cellStyle name="注释 7 2 2" xfId="1988"/>
    <cellStyle name="常规 3 3 2 2 2" xfId="1989"/>
    <cellStyle name="标题 3 3 2 2 4" xfId="1990"/>
    <cellStyle name="注释 2 7 4 4" xfId="1991"/>
    <cellStyle name="40% - 强调文字颜色 5 2 3 3 3 2" xfId="1992"/>
    <cellStyle name="警告文本 2 2 3 9" xfId="1993"/>
    <cellStyle name="20% - 强调文字颜色 2 2 2 2 2 2 5" xfId="1994"/>
    <cellStyle name="输出 2 2 4 2 5" xfId="1995"/>
    <cellStyle name="计算 2 2 2 2 2 2 4 3" xfId="1996"/>
    <cellStyle name="适中 2 2 2 2" xfId="1997"/>
    <cellStyle name="60% - 强调文字颜色 6 2 3 3 2 2" xfId="1998"/>
    <cellStyle name="60% - 强调文字颜色 6 2 3 3 7" xfId="1999"/>
    <cellStyle name="标题 1 2 3 2" xfId="2000"/>
    <cellStyle name="标题 5 4 4 4" xfId="2001"/>
    <cellStyle name="输出 2 4 2 3 4" xfId="2002"/>
    <cellStyle name="20% - 强调文字颜色 5 2 3 3 2" xfId="2003"/>
    <cellStyle name="输出 2 2 6 2 3" xfId="2004"/>
    <cellStyle name="强调文字颜色 4 2 2 7" xfId="2005"/>
    <cellStyle name="40% - 强调文字颜色 2 2 5 2 2 2 2" xfId="2006"/>
    <cellStyle name="汇总 2 5 10 2 2" xfId="2007"/>
    <cellStyle name="标题 1 4 2 3" xfId="2008"/>
    <cellStyle name="20% - 强调文字颜色 6 2 6" xfId="2009"/>
    <cellStyle name="20% - 强调文字颜色 2 2 3 2 2 2 2" xfId="2010"/>
    <cellStyle name="好 4 2 3 2 2 2" xfId="2011"/>
    <cellStyle name="20% - 强调文字颜色 6 2 7 2 2" xfId="2012"/>
    <cellStyle name="汇总 2 2 12 4 2" xfId="2013"/>
    <cellStyle name="注释 2 2 2 5 2" xfId="2014"/>
    <cellStyle name="汇总 2 2 3 4 2 3 2 2" xfId="2015"/>
    <cellStyle name="标题 3 2 5 3 2 2" xfId="2016"/>
    <cellStyle name="40% - 强调文字颜色 1 2 5" xfId="2017"/>
    <cellStyle name="输出 2 4 5 2 2 3" xfId="2018"/>
    <cellStyle name="计算 2 3 4 5" xfId="2019"/>
    <cellStyle name="60% - 强调文字颜色 3 2 3 3 2" xfId="2020"/>
    <cellStyle name="40% - 强调文字颜色 4 2 2 2 2 2 4 2" xfId="2021"/>
    <cellStyle name="常规 11 2 2 3 3 3" xfId="2022"/>
    <cellStyle name="40% - 强调文字颜色 1 2 2 3" xfId="2023"/>
    <cellStyle name="60% - 强调文字颜色 5 2 2 3 2" xfId="2024"/>
    <cellStyle name="汇总 2 5 3 2 5 2 2" xfId="2025"/>
    <cellStyle name="链接单元格 3 7" xfId="2026"/>
    <cellStyle name="40% - 强调文字颜色 4 3 2 3 2 2 2" xfId="2027"/>
    <cellStyle name="常规 9 2 2 2 2 2 3" xfId="2028"/>
    <cellStyle name="60% - 强调文字颜色 4 2 2 3 3 2 2 2" xfId="2029"/>
    <cellStyle name="输出 3 2 2 2 2 3" xfId="2030"/>
    <cellStyle name="标题 4 2 3 2 3 3 2" xfId="2031"/>
    <cellStyle name="百分比 2 2 2 2 2 2 2" xfId="2032"/>
    <cellStyle name="汇总 2 6 2 3 4 2" xfId="2033"/>
    <cellStyle name="40% - 强调文字颜色 3 2 2 6 2 2 2" xfId="2034"/>
    <cellStyle name="40% - 强调文字颜色 3 2 2 3" xfId="2035"/>
    <cellStyle name="60% - 强调文字颜色 5 4 2 3 2" xfId="2036"/>
    <cellStyle name="60% - 强调文字颜色 6 2 3 2 3 2" xfId="2037"/>
    <cellStyle name="计算 2 2 6 15" xfId="2038"/>
    <cellStyle name="常规 2 3 5 3 2 2" xfId="2039"/>
    <cellStyle name="40% - 强调文字颜色 3 2 2 4 5 2 2" xfId="2040"/>
    <cellStyle name="链接单元格 2 3 2 3 3 2" xfId="2041"/>
    <cellStyle name="输出 3 4" xfId="2042"/>
    <cellStyle name="40% - 强调文字颜色 1 2 2 2 2 2 3 3 2 2" xfId="2043"/>
    <cellStyle name="汇总 2 6 2 3 5" xfId="2044"/>
    <cellStyle name="输入 2 3 5 2" xfId="2045"/>
    <cellStyle name="标题 4 2 2 3 5 2 2" xfId="2046"/>
    <cellStyle name="40% - 强调文字颜色 3 2 8" xfId="2047"/>
    <cellStyle name="40% - 强调文字颜色 5 2 2 2 2 5" xfId="2048"/>
    <cellStyle name="检查单元格 2 3 2 5 3" xfId="2049"/>
    <cellStyle name="20% - 强调文字颜色 1 2 3 4 3" xfId="2050"/>
    <cellStyle name="注释 2 2 2 2 3 3" xfId="2051"/>
    <cellStyle name="注释 4 7 3" xfId="2052"/>
    <cellStyle name="标题 3 2 2 2 2 2 2 2 3" xfId="2053"/>
    <cellStyle name="20% - 强调文字颜色 2 2 2 2 3 2 2 2" xfId="2054"/>
    <cellStyle name="输入 2 2 4 4 2 2 3" xfId="2055"/>
    <cellStyle name="标题 5 4 4 2" xfId="2056"/>
    <cellStyle name="40% - 强调文字颜色 4 2 2 3 2 2" xfId="2057"/>
    <cellStyle name="好 2 5 2 2" xfId="2058"/>
    <cellStyle name="20% - 强调文字颜色 6 2 2 7" xfId="2059"/>
    <cellStyle name="60% - 强调文字颜色 6 2 5 3 3" xfId="2060"/>
    <cellStyle name="警告文本 2 3 2 3" xfId="2061"/>
    <cellStyle name="强调文字颜色 5 2 3 3 2 2 2" xfId="2062"/>
    <cellStyle name="好 2 2 4 3 2 2 2" xfId="2063"/>
    <cellStyle name="计算 2 3 2 5" xfId="2064"/>
    <cellStyle name="20% - 强调文字颜色 4 4 2 3 2" xfId="2065"/>
    <cellStyle name="注释 2 5 4 2 2" xfId="2066"/>
    <cellStyle name="标题 2 3 2 3 2 2" xfId="2067"/>
    <cellStyle name="汇总 2 5 2 2 2 2 2 3" xfId="2068"/>
    <cellStyle name="40% - 强调文字颜色 1 2 2 2 3 5" xfId="2069"/>
    <cellStyle name="注释 2 2 3 2 6" xfId="2070"/>
    <cellStyle name="20% - 强调文字颜色 2 2 3 5 2 2 2" xfId="2071"/>
    <cellStyle name="计算 2 2 4 2 2 2 2 4 2" xfId="2072"/>
    <cellStyle name="标题 3 2 3 2 4 3 2" xfId="2073"/>
    <cellStyle name="汇总 2 5 2 2 6 2" xfId="2074"/>
    <cellStyle name="60% - 强调文字颜色 5 4 5 2" xfId="2075"/>
    <cellStyle name="常规 5 2 2 4 3" xfId="2076"/>
    <cellStyle name="60% - 强调文字颜色 4 2 3 3" xfId="2077"/>
    <cellStyle name="20% - 强调文字颜色 6 2 2 6 2" xfId="2078"/>
    <cellStyle name="常规 9 3 7 2 2" xfId="2079"/>
    <cellStyle name="20% - 强调文字颜色 2 2 2 2 2 5" xfId="2080"/>
    <cellStyle name="输出 2 5 2 6" xfId="2081"/>
    <cellStyle name="强调文字颜色 5 2 2 2 3 5" xfId="2082"/>
    <cellStyle name="输出 2 2 5 2 3 2 2" xfId="2083"/>
    <cellStyle name="60% - 强调文字颜色 6 3 2 4 2 3" xfId="2084"/>
    <cellStyle name="计算 2 5 3 2 4" xfId="2085"/>
    <cellStyle name="常规 5 5 5 2" xfId="2086"/>
    <cellStyle name="计算 2 4 2 2 8" xfId="2087"/>
    <cellStyle name="20% - 强调文字颜色 2 4" xfId="2088"/>
    <cellStyle name="强调文字颜色 2 2 3 3" xfId="2089"/>
    <cellStyle name="40% - 强调文字颜色 1 2 2 2 3" xfId="2090"/>
    <cellStyle name="60% - 强调文字颜色 2 2 3 4" xfId="2091"/>
    <cellStyle name="20% - 强调文字颜色 3 2 2 2 6 2 2" xfId="2092"/>
    <cellStyle name="60% - 强调文字颜色 1 2 4 8" xfId="2093"/>
    <cellStyle name="常规 5 6 2 3 3" xfId="2094"/>
    <cellStyle name="20% - 强调文字颜色 4 3 3 2 2" xfId="2095"/>
    <cellStyle name="汇总 2 3 3 3" xfId="2096"/>
    <cellStyle name="输出 2 2 6 3 2 3" xfId="2097"/>
    <cellStyle name="计算 2 4 2 2 2 3" xfId="2098"/>
    <cellStyle name="汇总 2 3 3 3 4 2" xfId="2099"/>
    <cellStyle name="40% - 强调文字颜色 1 2 2 2 2 3" xfId="2100"/>
    <cellStyle name="20% - 强调文字颜色 3 3 3 2 2 2" xfId="2101"/>
    <cellStyle name="40% - 强调文字颜色 6 2 3" xfId="2102"/>
    <cellStyle name="适中 2 2 2 5 2 2" xfId="2103"/>
    <cellStyle name="差 2 3 2 3 3 3" xfId="2104"/>
    <cellStyle name="警告文本 2 2 2 5 2 2 2" xfId="2105"/>
    <cellStyle name="百分比 2 4 2" xfId="2106"/>
    <cellStyle name="20% - 强调文字颜色 3 4 3 2 2 2" xfId="2107"/>
    <cellStyle name="20% - 强调文字颜色 6 2 2 4 3 3" xfId="2108"/>
    <cellStyle name="计算 3 2 2 2 3 2" xfId="2109"/>
    <cellStyle name="输入 3 7 2" xfId="2110"/>
    <cellStyle name="百分比 2 2 3 2 2 2" xfId="2111"/>
    <cellStyle name="20% - 强调文字颜色 4 2 3 7 2" xfId="2112"/>
    <cellStyle name="60% - 强调文字颜色 5 6" xfId="2113"/>
    <cellStyle name="强调文字颜色 3 2 4" xfId="2114"/>
    <cellStyle name="标题 4 2 2 5 2 2 2" xfId="2115"/>
    <cellStyle name="20% - 强调文字颜色 3 2 3 6 2 2 2" xfId="2116"/>
    <cellStyle name="汇总 2 2 2 2 2 2 6 2" xfId="2117"/>
    <cellStyle name="标题 2 2 2 2 3 2 2" xfId="2118"/>
    <cellStyle name="警告文本 4 4 2" xfId="2119"/>
    <cellStyle name="常规 2 4 3 2" xfId="2120"/>
    <cellStyle name="输出 2 2 7 3 2 4" xfId="2121"/>
    <cellStyle name="强调文字颜色 2 2 5 4" xfId="2122"/>
    <cellStyle name="标题 3 2 3 7 2" xfId="2123"/>
    <cellStyle name="20% - 强调文字颜色 1 2 2 2 2 2 4 2 2 2" xfId="2124"/>
    <cellStyle name="输出 2 2 4 4 3 3" xfId="2125"/>
    <cellStyle name="注释 2 3 8 2 2" xfId="2126"/>
    <cellStyle name="计算 2 2 4 2 2 2 2 5 2" xfId="2127"/>
    <cellStyle name="60% - 强调文字颜色 1 4 3 2 2 2" xfId="2128"/>
    <cellStyle name="输出 2 2 6 2 2 4" xfId="2129"/>
    <cellStyle name="40% - 强调文字颜色 4 2 2 2 2 3 2 2" xfId="2130"/>
    <cellStyle name="好 2 2 5 2 2 2" xfId="2131"/>
    <cellStyle name="标题 4 3 2 2 3 2 2 2" xfId="2132"/>
    <cellStyle name="20% - 强调文字颜色 6 2 3 2 2 2 2" xfId="2133"/>
    <cellStyle name="标题 1 2 2 2 2 2 5" xfId="2134"/>
    <cellStyle name="输出 2 3 2 2 2 2 2" xfId="2135"/>
    <cellStyle name="40% - 强调文字颜色 2 2 2 2 2 3 2 2 2 2" xfId="2136"/>
    <cellStyle name="强调文字颜色 2 2 2 4 2 2" xfId="2137"/>
    <cellStyle name="标题 3 2 3 4 2 2 2" xfId="2138"/>
    <cellStyle name="标题 3 2 2 6 2 3" xfId="2139"/>
    <cellStyle name="40% - 强调文字颜色 1 3 2 2 2 2" xfId="2140"/>
    <cellStyle name="注释 2 4 7" xfId="2141"/>
    <cellStyle name="输入 2 6 4 5" xfId="2142"/>
    <cellStyle name="强调文字颜色 2 6" xfId="2143"/>
    <cellStyle name="标题 1 2 4 3 3 2" xfId="2144"/>
    <cellStyle name="强调文字颜色 5 2 2 5" xfId="2145"/>
    <cellStyle name="60% - 强调文字颜色 4 4 2 2 2 2" xfId="2146"/>
    <cellStyle name="40% - 强调文字颜色 6 2 2 7" xfId="2147"/>
    <cellStyle name="汇总 2 2 4 3 3 2 2" xfId="2148"/>
    <cellStyle name="常规 4 3 9" xfId="2149"/>
    <cellStyle name="20% - 强调文字颜色 4 4 5" xfId="2150"/>
    <cellStyle name="20% - 强调文字颜色 6 2 2 2 2 4 3" xfId="2151"/>
    <cellStyle name="好 5" xfId="2152"/>
    <cellStyle name="输入 2 5 2 12" xfId="2153"/>
    <cellStyle name="汇总 2 5 2 2 2 3 3" xfId="2154"/>
    <cellStyle name="40% - 强调文字颜色 5 2 5 3 2 2" xfId="2155"/>
    <cellStyle name="注释 2 2 2 4 2 2 2 2" xfId="2156"/>
    <cellStyle name="40% - 强调文字颜色 6 2 7 3 2 2" xfId="2157"/>
    <cellStyle name="常规 11 7" xfId="2158"/>
    <cellStyle name="20% - 强调文字颜色 1 2 5 5 2 2" xfId="2159"/>
    <cellStyle name="强调文字颜色 3 2 5 3" xfId="2160"/>
    <cellStyle name="40% - 强调文字颜色 2 2 2 2 2 3 2 2 2" xfId="2161"/>
    <cellStyle name="注释 2 3 2 3 3 2" xfId="2162"/>
    <cellStyle name="20% - 强调文字颜色 5 2 4 5" xfId="2163"/>
    <cellStyle name="40% - 强调文字颜色 3 3 2 2 2 2" xfId="2164"/>
    <cellStyle name="20% - 强调文字颜色 2 2 4 4 2" xfId="2165"/>
    <cellStyle name="20% - 强调文字颜色 2 2 2 2 2 3 2 2" xfId="2166"/>
    <cellStyle name="输入 2 2 4 3 3 2 3" xfId="2167"/>
    <cellStyle name="常规 7 2 2 3" xfId="2168"/>
    <cellStyle name="40% - 强调文字颜色 1 2 3 3 2 2 2 2" xfId="2169"/>
    <cellStyle name="40% - 强调文字颜色 2 2 2 3 2 2 2" xfId="2170"/>
    <cellStyle name="20% - 强调文字颜色 6 2 2 2 2 2 4 3" xfId="2171"/>
    <cellStyle name="40% - 强调文字颜色 2 2 2 5 3" xfId="2172"/>
    <cellStyle name="计算 2 2 7 2 5" xfId="2173"/>
    <cellStyle name="计算 2 2 2 5 2 2" xfId="2174"/>
    <cellStyle name="常规 6 4 2 2" xfId="2175"/>
    <cellStyle name="60% - 强调文字颜色 6 2 6 3 2" xfId="2176"/>
    <cellStyle name="40% - 强调文字颜色 6 2 3 2 2 3 3 2" xfId="2177"/>
    <cellStyle name="警告文本 2 4 2 2" xfId="2178"/>
    <cellStyle name="百分比 2 3 4 2 3" xfId="2179"/>
    <cellStyle name="20% - 强调文字颜色 2 2 2 5 3 2 2" xfId="2180"/>
    <cellStyle name="强调文字颜色 2 2 2 2 2 3 2 2 2" xfId="2181"/>
    <cellStyle name="超链接 3 5 3 3 2" xfId="2182"/>
    <cellStyle name="超链接 3 2 2 2 2 2 3" xfId="2183"/>
    <cellStyle name="警告文本 2 2 6 3 2 2" xfId="2184"/>
    <cellStyle name="60% - 强调文字颜色 2 2 2 2 3 4" xfId="2185"/>
    <cellStyle name="40% - 强调文字颜色 4 2 2 2 3" xfId="2186"/>
    <cellStyle name="输入 2 2 4 2 2 6 2" xfId="2187"/>
    <cellStyle name="输出 2 2 3 2 2 2 6" xfId="2188"/>
    <cellStyle name="40% - 强调文字颜色 2 2 2 2 2 2 2 2 2 2 2" xfId="2189"/>
    <cellStyle name="40% - 强调文字颜色 4 2 2 4 2 2 2" xfId="2190"/>
    <cellStyle name="汇总 2 2 5 3 2" xfId="2191"/>
    <cellStyle name="40% - 强调文字颜色 2 2 2 2 3 3 2 2" xfId="2192"/>
    <cellStyle name="输入 2 6 2 3 2 3" xfId="2193"/>
    <cellStyle name="注释 2 2 5 2 3" xfId="2194"/>
    <cellStyle name="标题 5 2 5 2 2" xfId="2195"/>
    <cellStyle name="40% - 强调文字颜色 1 2 2 4 3 2 2" xfId="2196"/>
    <cellStyle name="20% - 强调文字颜色 6 2 3 2 4 3" xfId="2197"/>
    <cellStyle name="40% - 强调文字颜色 6 2 2 2 2 2 3" xfId="2198"/>
    <cellStyle name="40% - 强调文字颜色 4 3 2 5" xfId="2199"/>
    <cellStyle name="计算 2 3 2 2 6" xfId="2200"/>
    <cellStyle name="常规 3 3 2 2 4" xfId="2201"/>
    <cellStyle name="40% - 强调文字颜色 5 3 3 4" xfId="2202"/>
    <cellStyle name="60% - 强调文字颜色 3 2 2 2 6 2 2 2" xfId="2203"/>
    <cellStyle name="20% - 强调文字颜色 6 2 5 2 2" xfId="2204"/>
    <cellStyle name="解释性文本 2 2 4 4 3" xfId="2205"/>
    <cellStyle name="输入 2 3 3 2 2 3" xfId="2206"/>
    <cellStyle name="常规 5 3 2 3 2 2" xfId="2207"/>
    <cellStyle name="60% - 强调文字颜色 5 2 2 2 2" xfId="2208"/>
    <cellStyle name="计算 2 2 7 2 5 2 2" xfId="2209"/>
    <cellStyle name="40% - 强调文字颜色 5 2 3 2 3 3" xfId="2210"/>
    <cellStyle name="60% - 强调文字颜色 4 2 2 3 2 2 2" xfId="2211"/>
    <cellStyle name="汇总 2 2 6 3 8" xfId="2212"/>
    <cellStyle name="40% - 强调文字颜色 2 2 2 4 2 2 2" xfId="2213"/>
    <cellStyle name="差 2 2 2 2 2 3" xfId="2214"/>
    <cellStyle name="好 2 7 2 2" xfId="2215"/>
    <cellStyle name="60% - 强调文字颜色 6 2 2 5 2" xfId="2216"/>
    <cellStyle name="20% - 强调文字颜色 1 3 2 5" xfId="2217"/>
    <cellStyle name="强调文字颜色 2 2 2 2 2 5" xfId="2218"/>
    <cellStyle name="40% - 强调文字颜色 5 2 8 2 2" xfId="2219"/>
    <cellStyle name="标题 2 3 3 2 2 2 2" xfId="2220"/>
    <cellStyle name="20% - 强调文字颜色 1 2 2 3 2" xfId="2221"/>
    <cellStyle name="40% - 强调文字颜色 4 2 2 4 3 2 2" xfId="2222"/>
    <cellStyle name="标题 2 2 2 6 4" xfId="2223"/>
    <cellStyle name="40% - 强调文字颜色 6 2 2 5" xfId="2224"/>
    <cellStyle name="标题 4 2 4 3 3" xfId="2225"/>
    <cellStyle name="常规 12 2 2 3 5" xfId="2226"/>
    <cellStyle name="强调文字颜色 3 3 2 3 2" xfId="2227"/>
    <cellStyle name="输出 2 2 2 2 2 2 3 2" xfId="2228"/>
    <cellStyle name="40% - 强调文字颜色 3 2 2 2 2 2 5 2" xfId="2229"/>
    <cellStyle name="计算 2 7 2 2 5 2" xfId="2230"/>
    <cellStyle name="计算 2 4 4 2 4" xfId="2231"/>
    <cellStyle name="60% - 强调文字颜色 3 3 3" xfId="2232"/>
    <cellStyle name="40% - 强调文字颜色 2 2 3 3 3 2 2" xfId="2233"/>
    <cellStyle name="40% - 强调文字颜色 6 2 3 2 2 3 3" xfId="2234"/>
    <cellStyle name="强调文字颜色 5 2 4 4" xfId="2235"/>
    <cellStyle name="输入 2 2 5 3 2 3 2" xfId="2236"/>
    <cellStyle name="20% - 强调文字颜色 2 2 4 3 3 2" xfId="2237"/>
    <cellStyle name="适中 2 2 2 5 2 3" xfId="2238"/>
    <cellStyle name="差 2 8 2" xfId="2239"/>
    <cellStyle name="40% - 强调文字颜色 6 2 4" xfId="2240"/>
    <cellStyle name="汇总 2 8 4 3" xfId="2241"/>
    <cellStyle name="输入 2 2 7 2 2 2 2" xfId="2242"/>
    <cellStyle name="强调文字颜色 5 2 2 5 3 2" xfId="2243"/>
    <cellStyle name="强调文字颜色 2 2 4 2 2 3" xfId="2244"/>
    <cellStyle name="强调文字颜色 5 2 2 3 3 3" xfId="2245"/>
    <cellStyle name="标题 4 4 2 2 2 3" xfId="2246"/>
    <cellStyle name="60% - 强调文字颜色 1 2 2 4 3 3" xfId="2247"/>
    <cellStyle name="注释 2 2 7 3 6" xfId="2248"/>
    <cellStyle name="输出 2 4 2 8" xfId="2249"/>
    <cellStyle name="好 2 2 2 2 2 2 2 3" xfId="2250"/>
    <cellStyle name="汇总 2 5 2 5 2" xfId="2251"/>
    <cellStyle name="强调文字颜色 1 2 2 2 2 2 2 2 2 2" xfId="2252"/>
    <cellStyle name="40% - 强调文字颜色 3 2 2 4 3" xfId="2253"/>
    <cellStyle name="计算 2 4 2 2 2 3 2 2" xfId="2254"/>
    <cellStyle name="链接单元格 4 4" xfId="2255"/>
    <cellStyle name="计算 3 2 9" xfId="2256"/>
    <cellStyle name="标题 3 2 2 4 5 2" xfId="2257"/>
    <cellStyle name="常规 2 3 2 2 4 2" xfId="2258"/>
    <cellStyle name="Normal 2 4" xfId="2259"/>
    <cellStyle name="输出 2 2" xfId="2260"/>
    <cellStyle name="60% - 强调文字颜色 4 2 2 2 2 3 3 2" xfId="2261"/>
    <cellStyle name="40% - 强调文字颜色 4 2 3 3 2 2 2 2" xfId="2262"/>
    <cellStyle name="输出 3 5" xfId="2263"/>
    <cellStyle name="20% - 强调文字颜色 6 2 3 3 3" xfId="2264"/>
    <cellStyle name="输入 2 3 4 8" xfId="2265"/>
    <cellStyle name="60% - 强调文字颜色 4 2 3 3 2 2 2 2 2" xfId="2266"/>
    <cellStyle name="输入 2 6 2 2 5 3" xfId="2267"/>
    <cellStyle name="计算 4 2 4 2 2" xfId="2268"/>
    <cellStyle name="20% - 强调文字颜色 4 3 2 2 4 2" xfId="2269"/>
    <cellStyle name="注释 2 2 4 5 3" xfId="2270"/>
    <cellStyle name="40% - 强调文字颜色 3 2 4 4 2" xfId="2271"/>
    <cellStyle name="20% - 强调文字颜色 1 2 3 2 2 3 2 2" xfId="2272"/>
    <cellStyle name="汇总 2 2 2 2 4 4 2" xfId="2273"/>
    <cellStyle name="20% - 强调文字颜色 4 2 2 2 2 2 4 3 2" xfId="2274"/>
    <cellStyle name="标题 1 2 3 2 2" xfId="2275"/>
    <cellStyle name="40% - 强调文字颜色 1 2 3 2 2 4" xfId="2276"/>
    <cellStyle name="计算 2 2 9 4 3" xfId="2277"/>
    <cellStyle name="输出 2 4 2 2 2 3 3" xfId="2278"/>
    <cellStyle name="汇总 2 2 6 4 2 2" xfId="2279"/>
    <cellStyle name="标题 1 2 2 2 2 2 3" xfId="2280"/>
    <cellStyle name="注释 2 7 6 3" xfId="2281"/>
    <cellStyle name="标题 3 3 2 4 3" xfId="2282"/>
    <cellStyle name="输入 2 5 2 2 3" xfId="2283"/>
    <cellStyle name="适中 2 2 2 2 5 2" xfId="2284"/>
    <cellStyle name="汇总 2 7 9 2 2" xfId="2285"/>
    <cellStyle name="输入 2 2 7 2 4" xfId="2286"/>
    <cellStyle name="超链接 2 3 2 3 3 2" xfId="2287"/>
    <cellStyle name="常规 11 4 2 2 2" xfId="2288"/>
    <cellStyle name="20% - 强调文字颜色 6 2 3 2 3 3" xfId="2289"/>
    <cellStyle name="20% - 强调文字颜色 6 2 5 3 3" xfId="2290"/>
    <cellStyle name="汇总 2 2 4 3 7 2" xfId="2291"/>
    <cellStyle name="汇总 2 3 4 2 4" xfId="2292"/>
    <cellStyle name="差 2 2 6 3 3" xfId="2293"/>
    <cellStyle name="20% - 强调文字颜色 2 2 2 5 2" xfId="2294"/>
    <cellStyle name="汇总 3 2 7 3" xfId="2295"/>
    <cellStyle name="20% - 强调文字颜色 5 2 2 2 2 2 4 2" xfId="2296"/>
    <cellStyle name="输出 2 4 2 3 5" xfId="2297"/>
    <cellStyle name="40% - 强调文字颜色 4 2 2 2 7 2" xfId="2298"/>
    <cellStyle name="40% - 强调文字颜色 5 2 2 6" xfId="2299"/>
    <cellStyle name="20% - 强调文字颜色 4 2 3 2 2 4 2 2 2" xfId="2300"/>
    <cellStyle name="40% - 强调文字颜色 3 2 3 2 2 2 2 2" xfId="2301"/>
    <cellStyle name="注释 2 2 3 3 3 2 2 2" xfId="2302"/>
    <cellStyle name="20% - 强调文字颜色 2 2 2 6 2 2 2" xfId="2303"/>
    <cellStyle name="超链接 3 3 3 4 2" xfId="2304"/>
    <cellStyle name="20% - 强调文字颜色 3 2 2 2 2 4 2 2 2" xfId="2305"/>
    <cellStyle name="计算 2 6 2 2 3 2 2" xfId="2306"/>
    <cellStyle name="60% - 强调文字颜色 4 4 4 2 2 2" xfId="2307"/>
    <cellStyle name="输出 2 4 2 4 6" xfId="2308"/>
    <cellStyle name="计算 2 5 3 3 3 2" xfId="2309"/>
    <cellStyle name="20% - 强调文字颜色 6 2 5 2 3 2" xfId="2310"/>
    <cellStyle name="汇总 2 2 4 3 6 2 2" xfId="2311"/>
    <cellStyle name="检查单元格 2 2 2 2 2 2 2 2 2" xfId="2312"/>
    <cellStyle name="60% - 强调文字颜色 6 2 4 6" xfId="2313"/>
    <cellStyle name="60% - 强调文字颜色 5 2 4 4 2 2 2" xfId="2314"/>
    <cellStyle name="注释 2 2 3 5 3 3" xfId="2315"/>
    <cellStyle name="警告文本 2 2 5" xfId="2316"/>
    <cellStyle name="20% - 强调文字颜色 4 2 3 2 3 2 2" xfId="2317"/>
    <cellStyle name="标题 1 2 2 3" xfId="2318"/>
    <cellStyle name="60% - 强调文字颜色 6 2 2 6 3 2 2" xfId="2319"/>
    <cellStyle name="链接单元格 2 3 3 5" xfId="2320"/>
    <cellStyle name="输入 2 2 4 2 5 2" xfId="2321"/>
    <cellStyle name="40% - 强调文字颜色 4 4 3 2" xfId="2322"/>
    <cellStyle name="60% - 强调文字颜色 2 2 2 4 2 2 2 2" xfId="2323"/>
    <cellStyle name="20% - 强调文字颜色 6 2 2 2 2 4 3 2" xfId="2324"/>
    <cellStyle name="输入 2 5 2 2 2 7" xfId="2325"/>
    <cellStyle name="输出 2 2 3 3 2 3" xfId="2326"/>
    <cellStyle name="40% - 强调文字颜色 6 2 2 2 3 2 2 2" xfId="2327"/>
    <cellStyle name="注释 4 6 2" xfId="2328"/>
    <cellStyle name="注释 2 2 2 2 2 2" xfId="2329"/>
    <cellStyle name="输出 2 3 3 6" xfId="2330"/>
    <cellStyle name="注释 2 2 6 4 4" xfId="2331"/>
    <cellStyle name="60% - 强调文字颜色 5 2 2 3 5 2 2" xfId="2332"/>
    <cellStyle name="标题 1 4 2 5" xfId="2333"/>
    <cellStyle name="常规 9 5 3 3" xfId="2334"/>
    <cellStyle name="常规 2 3 3 2 2" xfId="2335"/>
    <cellStyle name="60% - 强调文字颜色 4 2 2 2 2 2 3 2" xfId="2336"/>
    <cellStyle name="20% - 强调文字颜色 4 2 6 3" xfId="2337"/>
    <cellStyle name="常规 9 3 2" xfId="2338"/>
    <cellStyle name="汇总 2 2 5 3 2 3 2 2" xfId="2339"/>
    <cellStyle name="60% - 强调文字颜色 6 2 7 2 3" xfId="2340"/>
    <cellStyle name="20% - 强调文字颜色 1 2 2 2 2 5 2 2" xfId="2341"/>
    <cellStyle name="20% - 强调文字颜色 3 2 4 4 3 2" xfId="2342"/>
    <cellStyle name="20% - 强调文字颜色 6 2 3 3 3 2 2" xfId="2343"/>
    <cellStyle name="注释 2 2 2 2 2 7" xfId="2344"/>
    <cellStyle name="标题 4 2 2 2 2 3 2 2 2" xfId="2345"/>
    <cellStyle name="计算 2 6 2 2 2 7" xfId="2346"/>
    <cellStyle name="计算 2 5 4 5" xfId="2347"/>
    <cellStyle name="注释 2 4 2 6 3" xfId="2348"/>
    <cellStyle name="60% - 强调文字颜色 3 2 2 2 2 3" xfId="2349"/>
    <cellStyle name="40% - 强调文字颜色 5 3 3 2 2 2" xfId="2350"/>
    <cellStyle name="计算 2 6 2" xfId="2351"/>
    <cellStyle name="注释 2 4 4 2 2 2 2" xfId="2352"/>
    <cellStyle name="注释 2 7" xfId="2353"/>
    <cellStyle name="解释性文本 2 3 3 4" xfId="2354"/>
    <cellStyle name="输入 2 2 4 2 4 2" xfId="2355"/>
    <cellStyle name="标题 4 2 2 4 3 2 3" xfId="2356"/>
    <cellStyle name="40% - 强调文字颜色 4 4 2 2" xfId="2357"/>
    <cellStyle name="汇总 2 7 6 2 2 2" xfId="2358"/>
    <cellStyle name="40% - 强调文字颜色 5 2 5 2" xfId="2359"/>
    <cellStyle name="20% - 强调文字颜色 4 2 2 2 2 2" xfId="2360"/>
    <cellStyle name="输入 2 5 2 2 3 3" xfId="2361"/>
    <cellStyle name="20% - 强调文字颜色 2 2 3 2 2 3 2 2" xfId="2362"/>
    <cellStyle name="输出 2 2 5 2 5 3" xfId="2363"/>
    <cellStyle name="20% - 强调文字颜色 5 2 2 3 4 3" xfId="2364"/>
    <cellStyle name="计算 2 7 3 2 2" xfId="2365"/>
    <cellStyle name="输出 2 7 3 5" xfId="2366"/>
    <cellStyle name="60% - 强调文字颜色 6 2 2 2 2 3 2 2 2" xfId="2367"/>
    <cellStyle name="汇总 2 11" xfId="2368"/>
    <cellStyle name="汇总 2 2 2 2 2 2 2 2 2 2" xfId="2369"/>
    <cellStyle name="40% - 强调文字颜色 6 3 4 2" xfId="2370"/>
    <cellStyle name="40% - 强调文字颜色 4 2 3 2 2 4 3 2" xfId="2371"/>
    <cellStyle name="60% - 强调文字颜色 6 3 2 2 3 3" xfId="2372"/>
    <cellStyle name="汇总 3 3 7" xfId="2373"/>
    <cellStyle name="20% - 强调文字颜色 1 2 2 6 3" xfId="2374"/>
    <cellStyle name="60% - 强调文字颜色 6 3 2 4 2 2" xfId="2375"/>
    <cellStyle name="强调文字颜色 5 2 2 2 3 4" xfId="2376"/>
    <cellStyle name="输入 2 7 4 2 2" xfId="2377"/>
    <cellStyle name="强调文字颜色 1 2 2 2 2 2 2" xfId="2378"/>
    <cellStyle name="强调文字颜色 4 2 3 2 2 3" xfId="2379"/>
    <cellStyle name="强调文字颜色 5 2 4 3 3" xfId="2380"/>
    <cellStyle name="标题 4 4 4 2 2" xfId="2381"/>
    <cellStyle name="60% - 强调文字颜色 1 2 4 4 3" xfId="2382"/>
    <cellStyle name="汇总 2 5 2 2 2 2 4 2" xfId="2383"/>
    <cellStyle name="20% - 强调文字颜色 5 3 2" xfId="2384"/>
    <cellStyle name="60% - 强调文字颜色 6 2 2 2 3 3" xfId="2385"/>
    <cellStyle name="汇总 2 2 7 2 2 3 2 2" xfId="2386"/>
    <cellStyle name="60% - 强调文字颜色 6 6 2 3" xfId="2387"/>
    <cellStyle name="40% - 强调文字颜色 5 2 2 4 2 2" xfId="2388"/>
    <cellStyle name="40% - 强调文字颜色 5 2 5" xfId="2389"/>
    <cellStyle name="20% - 强调文字颜色 4 2 2 4 2" xfId="2390"/>
    <cellStyle name="20% - 强调文字颜色 5 3 3 2" xfId="2391"/>
    <cellStyle name="注释 2 6 3 5" xfId="2392"/>
    <cellStyle name="60% - 强调文字颜色 2 2 3 3 2 2 2" xfId="2393"/>
    <cellStyle name="计算 2 5 3 5 2" xfId="2394"/>
    <cellStyle name="40% - 强调文字颜色 3 2 4" xfId="2395"/>
    <cellStyle name="汇总 4 2 5 3" xfId="2396"/>
    <cellStyle name="适中 2 2 2 2 2 3" xfId="2397"/>
    <cellStyle name="20% - 强调文字颜色 5 2 2 2 2 3 3" xfId="2398"/>
    <cellStyle name="60% - 强调文字颜色 3 2 5 2 2 2" xfId="2399"/>
    <cellStyle name="注释 2 2 7 5" xfId="2400"/>
    <cellStyle name="计算 2 2 4 4 2 2 2 2" xfId="2401"/>
    <cellStyle name="20% - 强调文字颜色 2 2 4 5 2" xfId="2402"/>
    <cellStyle name="60% - 强调文字颜色 2 2 2 3 4 2 2 2" xfId="2403"/>
    <cellStyle name="40% - 强调文字颜色 3 2 2 3 3 2 2" xfId="2404"/>
    <cellStyle name="百分比 2 3 2 3 2 2" xfId="2405"/>
    <cellStyle name="输出 2 3 2 5 2 2" xfId="2406"/>
    <cellStyle name="60% - 强调文字颜色 6 2 2 3 8" xfId="2407"/>
    <cellStyle name="40% - 强调文字颜色 3 2 2 3 4 3" xfId="2408"/>
    <cellStyle name="计算 2 2 4 4 2 5" xfId="2409"/>
    <cellStyle name="60% - 强调文字颜色 6 2 2 2 4 2" xfId="2410"/>
    <cellStyle name="40% - 强调文字颜色 6 2 3 4 2 2" xfId="2411"/>
    <cellStyle name="标题 1 2 2 3 2 2 3" xfId="2412"/>
    <cellStyle name="常规 8 4 2" xfId="2413"/>
    <cellStyle name="40% - 强调文字颜色 5 2 2 4 3 3 2" xfId="2414"/>
    <cellStyle name="汇总 2 8 3 4" xfId="2415"/>
    <cellStyle name="标题 3 2 2 2 2 4 2 2 2" xfId="2416"/>
    <cellStyle name="40% - 强调文字颜色 6 2 3 3 6" xfId="2417"/>
    <cellStyle name="汇总 2 2 2 2 2 2 2 3 2 2" xfId="2418"/>
    <cellStyle name="60% - 强调文字颜色 1 3 4" xfId="2419"/>
    <cellStyle name="标题 7 2 5" xfId="2420"/>
    <cellStyle name="计算 2 2 5 5 2 2" xfId="2421"/>
    <cellStyle name="常规 3 3 3 7" xfId="2422"/>
    <cellStyle name="60% - 强调文字颜色 3 2 2 4 2 2 2" xfId="2423"/>
    <cellStyle name="常规 6 2 2 3 2" xfId="2424"/>
    <cellStyle name="输入 2 2 5 3 4 3" xfId="2425"/>
    <cellStyle name="标题 4 2 3 3 3 2" xfId="2426"/>
    <cellStyle name="40% - 强调文字颜色 4 3" xfId="2427"/>
    <cellStyle name="输入 2 2 8 2 5" xfId="2428"/>
    <cellStyle name="20% - 强调文字颜色 2 2 7 2" xfId="2429"/>
    <cellStyle name="常规 5 3 3 3 2 2" xfId="2430"/>
    <cellStyle name="输入 2 3 4 2 2 3" xfId="2431"/>
    <cellStyle name="输入 2 2 10 4" xfId="2432"/>
    <cellStyle name="强调文字颜色 6 2 3 2 5 2 2" xfId="2433"/>
    <cellStyle name="汇总 2 4 3 3 5" xfId="2434"/>
    <cellStyle name="标题 3 2 2 3 5 2" xfId="2435"/>
    <cellStyle name="计算 2 2 9" xfId="2436"/>
    <cellStyle name="20% - 强调文字颜色 4 2 8 2 2" xfId="2437"/>
    <cellStyle name="常规 2 2 3 3" xfId="2438"/>
    <cellStyle name="20% - 强调文字颜色 3 3 4 2 2" xfId="2439"/>
    <cellStyle name="常规 4 6 3 3 3" xfId="2440"/>
    <cellStyle name="20% - 强调文字颜色 1 3 2 3" xfId="2441"/>
    <cellStyle name="输出 2 3 5 3" xfId="2442"/>
    <cellStyle name="强调文字颜色 2 2 2 2 2 3" xfId="2443"/>
    <cellStyle name="输出 3 2 2 4" xfId="2444"/>
    <cellStyle name="40% - 强调文字颜色 1 2 3 3 2 2 2" xfId="2445"/>
    <cellStyle name="40% - 强调文字颜色 2 2 2 3 2 2" xfId="2446"/>
    <cellStyle name="40% - 强调文字颜色 6 3 2 2 3 2" xfId="2447"/>
    <cellStyle name="40% - 强调文字颜色 3 3 2 2 3" xfId="2448"/>
    <cellStyle name="40% - 强调文字颜色 3 2 2 5 3 2 2" xfId="2449"/>
    <cellStyle name="注释 2 3 2 3 4" xfId="2450"/>
    <cellStyle name="20% - 强调文字颜色 2 2 4 5" xfId="2451"/>
    <cellStyle name="20% - 强调文字颜色 2 3 2 2 2 2 2 2" xfId="2452"/>
    <cellStyle name="40% - 强调文字颜色 2 2 3 2 2 2 2 2 2" xfId="2453"/>
    <cellStyle name="注释 2 6 2 5 2" xfId="2454"/>
    <cellStyle name="20% - 强调文字颜色 5 2 6 3" xfId="2455"/>
    <cellStyle name="常规 3 3 2 2 5 2" xfId="2456"/>
    <cellStyle name="注释 3 2 2 6 2" xfId="2457"/>
    <cellStyle name="汇总 2 2 8 6" xfId="2458"/>
    <cellStyle name="标题 2 2 3 3" xfId="2459"/>
    <cellStyle name="计算 2 2 5 2 2 5 2" xfId="2460"/>
    <cellStyle name="20% - 强调文字颜色 1 2 8" xfId="2461"/>
    <cellStyle name="常规 4 4 4 2 2" xfId="2462"/>
    <cellStyle name="40% - 强调文字颜色 6 2 3 2 2 2" xfId="2463"/>
    <cellStyle name="汇总 2 2 3 2 2 3 2 3" xfId="2464"/>
    <cellStyle name="输入 2 6 2 7 2" xfId="2465"/>
    <cellStyle name="注释 2 2 9 2" xfId="2466"/>
    <cellStyle name="60% - 强调文字颜色 1 4 2 3 2" xfId="2467"/>
    <cellStyle name="适中 2 2 4 4 2 2" xfId="2468"/>
    <cellStyle name="计算 2 8 2 4 2 2" xfId="2469"/>
    <cellStyle name="60% - 强调文字颜色 2 2 2 3 4" xfId="2470"/>
    <cellStyle name="常规 9 3 4 2 2 2 2" xfId="2471"/>
    <cellStyle name="标题 1 2 3 4 2 2 2" xfId="2472"/>
    <cellStyle name="60% - 强调文字颜色 1 3 2 2 2" xfId="2473"/>
    <cellStyle name="标题 7 2 3 2 2" xfId="2474"/>
    <cellStyle name="20% - 强调文字颜色 4 2 4 2 2 2" xfId="2475"/>
    <cellStyle name="汇总 2 2 2 2 2 3 2" xfId="2476"/>
    <cellStyle name="解释性文本 3 2 2" xfId="2477"/>
    <cellStyle name="20% - 强调文字颜色 6 3 3 3 2 2" xfId="2478"/>
    <cellStyle name="汇总 2 2 6 6 2 2 2" xfId="2479"/>
    <cellStyle name="汇总 2 2 10 3 3" xfId="2480"/>
    <cellStyle name="检查单元格 2 4 2 2 2 3" xfId="2481"/>
    <cellStyle name="20% - 强调文字颜色 4 2 3 3 2 2 2 2" xfId="2482"/>
    <cellStyle name="40% - 强调文字颜色 3 2 4 5" xfId="2483"/>
    <cellStyle name="60% - 强调文字颜色 5 2 3 2 5 2 2" xfId="2484"/>
    <cellStyle name="40% - 强调文字颜色 3 3 5 2 2" xfId="2485"/>
    <cellStyle name="强调文字颜色 1 2 3 2 4 2 3" xfId="2486"/>
    <cellStyle name="60% - 强调文字颜色 6 3 2 2 2 3" xfId="2487"/>
    <cellStyle name="百分比 2 3 5 2" xfId="2488"/>
    <cellStyle name="计算 2 2 5 2 4 3 3" xfId="2489"/>
    <cellStyle name="60% - 强调文字颜色 1 4 2 3" xfId="2490"/>
    <cellStyle name="输入 2 6 2 7" xfId="2491"/>
    <cellStyle name="注释 2 2 9" xfId="2492"/>
    <cellStyle name="20% - 强调文字颜色 1 2 8 2 2" xfId="2493"/>
    <cellStyle name="计算 2 2 3 4 5 3" xfId="2494"/>
    <cellStyle name="常规 6 2 4 3" xfId="2495"/>
    <cellStyle name="常规 5 2 3 2 4 2" xfId="2496"/>
    <cellStyle name="40% - 强调文字颜色 4 3 2 3" xfId="2497"/>
    <cellStyle name="60% - 强调文字颜色 6 2 3 3 2 2 2" xfId="2498"/>
    <cellStyle name="40% - 强调文字颜色 6 2 4 5" xfId="2499"/>
    <cellStyle name="40% - 强调文字颜色 1 2 3 2 2 2 3 2" xfId="2500"/>
    <cellStyle name="20% - 强调文字颜色 4 3 2 3 2 2 2" xfId="2501"/>
    <cellStyle name="汇总 2 7 2 2 3 2 2" xfId="2502"/>
    <cellStyle name="好 2 2 4 3 4" xfId="2503"/>
    <cellStyle name="标题 5 2 2 3 6" xfId="2504"/>
    <cellStyle name="40% - 强调文字颜色 5 2 2 2 2 2 5" xfId="2505"/>
    <cellStyle name="强调文字颜色 2 2 3 2 7" xfId="2506"/>
    <cellStyle name="20% - 强调文字颜色 1 2 2 2 2 2 2 3" xfId="2507"/>
    <cellStyle name="计算 2 3 4 4 2 2" xfId="2508"/>
    <cellStyle name="40% - 强调文字颜色 3 2 7 2" xfId="2509"/>
    <cellStyle name="60% - 强调文字颜色 4 2 2 3 7" xfId="2510"/>
    <cellStyle name="20% - 强调文字颜色 2 2 4 2 2 2 2" xfId="2511"/>
    <cellStyle name="20% - 强调文字颜色 1 2 4 2 2 2" xfId="2512"/>
    <cellStyle name="输入 2 2 8 2 2 4" xfId="2513"/>
    <cellStyle name="60% - 强调文字颜色 1 2 3 7 2" xfId="2514"/>
    <cellStyle name="常规 9 3 2 2 2 3" xfId="2515"/>
    <cellStyle name="20% - 强调文字颜色 6 2 2 2 2 2 2 2 2 2 2" xfId="2516"/>
    <cellStyle name="40% - 强调文字颜色 6 2 2 6 2 2" xfId="2517"/>
    <cellStyle name="常规 4 3 8 2 2" xfId="2518"/>
    <cellStyle name="20% - 强调文字颜色 2 4 3 2" xfId="2519"/>
    <cellStyle name="标题 1 4 3 2 2 2" xfId="2520"/>
    <cellStyle name="60% - 强调文字颜色 1 2 7" xfId="2521"/>
    <cellStyle name="强调文字颜色 2 2 3 3 3 2" xfId="2522"/>
    <cellStyle name="计算 2 2 3 2 3 2 2" xfId="2523"/>
    <cellStyle name="计算 2 10 9" xfId="2524"/>
    <cellStyle name="20% - 强调文字颜色 1 2 5 4" xfId="2525"/>
    <cellStyle name="注释 2 2 2 4 3" xfId="2526"/>
    <cellStyle name="60% - 强调文字颜色 5 4 2 3 2 2" xfId="2527"/>
    <cellStyle name="40% - 强调文字颜色 3 2 2 3 2" xfId="2528"/>
    <cellStyle name="60% - 强调文字颜色 5 2 3 3" xfId="2529"/>
    <cellStyle name="汇总 2 5 3 2 6 2" xfId="2530"/>
    <cellStyle name="链接单元格 2 2 3 5 2 2" xfId="2531"/>
    <cellStyle name="40% - 强调文字颜色 6 3 2 3 2" xfId="2532"/>
    <cellStyle name="汇总 2 2 12 3 3" xfId="2533"/>
    <cellStyle name="常规 5 3 5 2" xfId="2534"/>
    <cellStyle name="计算 2 3 10 2 2" xfId="2535"/>
    <cellStyle name="60% - 强调文字颜色 6 2 3 4 2" xfId="2536"/>
    <cellStyle name="20% - 强调文字颜色 5 2 2 2 3" xfId="2537"/>
    <cellStyle name="输入 2 5 2 2 2 3" xfId="2538"/>
    <cellStyle name="标题 2 2 2 4 3 4" xfId="2539"/>
    <cellStyle name="汇总 2 6 3 4 2" xfId="2540"/>
    <cellStyle name="计算 6 2 2" xfId="2541"/>
    <cellStyle name="计算 2 5 3 2 6" xfId="2542"/>
    <cellStyle name="汇总 2 2 5 2 3 3" xfId="2543"/>
    <cellStyle name="强调文字颜色 5 2 2 2 3 7" xfId="2544"/>
    <cellStyle name="汇总 2 2 4 2 3 2 2" xfId="2545"/>
    <cellStyle name="百分比 2 2 3 4" xfId="2546"/>
    <cellStyle name="60% - 强调文字颜色 6 2 2 4 4 3" xfId="2547"/>
    <cellStyle name="汇总 2 2 4 2 5 2 3" xfId="2548"/>
    <cellStyle name="好 2 2 3 7" xfId="2549"/>
    <cellStyle name="强调文字颜色 5 2 2 2 2 2 5" xfId="2550"/>
    <cellStyle name="20% - 强调文字颜色 1 3 4 2 2" xfId="2551"/>
    <cellStyle name="20% - 强调文字颜色 5 2" xfId="2552"/>
    <cellStyle name="汇总 3 5 4 2" xfId="2553"/>
    <cellStyle name="汇总 2 5 2 2 2 2 3" xfId="2554"/>
    <cellStyle name="计算 2 2 6 2 2 3 3" xfId="2555"/>
    <cellStyle name="常规 9 2 5 2 2" xfId="2556"/>
    <cellStyle name="20% - 强调文字颜色 5 2 3 2 2 5 2" xfId="2557"/>
    <cellStyle name="20% - 强调文字颜色 5 2 5 2 3" xfId="2558"/>
    <cellStyle name="20% - 强调文字颜色 1 2 2 3 3 3 2" xfId="2559"/>
    <cellStyle name="常规 6 5 3 2 2" xfId="2560"/>
    <cellStyle name="输出 2 4 4 2 5" xfId="2561"/>
    <cellStyle name="输出 2 2 7 7 2" xfId="2562"/>
    <cellStyle name="常规 2 3 2 2 5" xfId="2563"/>
    <cellStyle name="标题 3 2 2 3 5 3" xfId="2564"/>
    <cellStyle name="注释 6" xfId="2565"/>
    <cellStyle name="强调文字颜色 5 4 2 3 2" xfId="2566"/>
    <cellStyle name="计算 2 3 2 2 2 2 3 2 2" xfId="2567"/>
    <cellStyle name="汇总 2 7 4 8" xfId="2568"/>
    <cellStyle name="计算 2 5 3 8" xfId="2569"/>
    <cellStyle name="强调文字颜色 1 2 2 2 2 2 2 2 2" xfId="2570"/>
    <cellStyle name="标题 4 2 3 7 2" xfId="2571"/>
    <cellStyle name="链接单元格 2 2 2 3 3 2" xfId="2572"/>
    <cellStyle name="输入 2 2 6 4 4" xfId="2573"/>
    <cellStyle name="40% - 强调文字颜色 6 6 2" xfId="2574"/>
    <cellStyle name="40% - 强调文字颜色 3 2 2 5 2 2" xfId="2575"/>
    <cellStyle name="计算 5" xfId="2576"/>
    <cellStyle name="汇总 3 3 3 2 2" xfId="2577"/>
    <cellStyle name="常规 6 2 2 3 3 2" xfId="2578"/>
    <cellStyle name="60% - 强调文字颜色 4 2 3 2 3 3 2 2" xfId="2579"/>
    <cellStyle name="输出 2 5 2 6 3" xfId="2580"/>
    <cellStyle name="常规 5 9 2" xfId="2581"/>
    <cellStyle name="注释 2 2 5 5 2 2" xfId="2582"/>
    <cellStyle name="计算 2 2 8 10" xfId="2583"/>
    <cellStyle name="输出 2 2 4 4 2" xfId="2584"/>
    <cellStyle name="计算 2 2 2 5 3" xfId="2585"/>
    <cellStyle name="40% - 强调文字颜色 5 4 4" xfId="2586"/>
    <cellStyle name="输入 2 2 5 2 6" xfId="2587"/>
    <cellStyle name="输出 2 5 2 2 8" xfId="2588"/>
    <cellStyle name="20% - 强调文字颜色 2 2 6 2" xfId="2589"/>
    <cellStyle name="常规 4 3 7" xfId="2590"/>
    <cellStyle name="60% - 强调文字颜色 5 2 2 2 2 4 2 2" xfId="2591"/>
    <cellStyle name="检查单元格 2 4 3 2 3" xfId="2592"/>
    <cellStyle name="常规 10 2 3 3" xfId="2593"/>
    <cellStyle name="20% - 强调文字颜色 1 3 2 3 2" xfId="2594"/>
    <cellStyle name="强调文字颜色 2 2 2 2 2 3 2" xfId="2595"/>
    <cellStyle name="汇总 2 6 8 3" xfId="2596"/>
    <cellStyle name="注释 2 2 12 2 2" xfId="2597"/>
    <cellStyle name="40% - 强调文字颜色 3 2 2 2 4" xfId="2598"/>
    <cellStyle name="注释 4 2 4 2" xfId="2599"/>
    <cellStyle name="输入 2 8 2 2 2" xfId="2600"/>
    <cellStyle name="计算 2 2 9 3 5" xfId="2601"/>
    <cellStyle name="输入 2 2 3 4 6" xfId="2602"/>
    <cellStyle name="60% - 强调文字颜色 3 2 2 2 7" xfId="2603"/>
    <cellStyle name="输出 9 2" xfId="2604"/>
    <cellStyle name="强调文字颜色 3 2 2 3 5 2 2" xfId="2605"/>
    <cellStyle name="差 2 4 6 2" xfId="2606"/>
    <cellStyle name="标题 2 2 2 2 2 3 4" xfId="2607"/>
    <cellStyle name="60% - 强调文字颜色 2 3 6 2" xfId="2608"/>
    <cellStyle name="计算 2 2 6 5 7" xfId="2609"/>
    <cellStyle name="标题 3 2 3 7" xfId="2610"/>
    <cellStyle name="20% - 强调文字颜色 2 2 2 4 2" xfId="2611"/>
    <cellStyle name="计算 2 4 5 3" xfId="2612"/>
    <cellStyle name="60% - 强调文字颜色 2 2 7 2 2" xfId="2613"/>
    <cellStyle name="强调文字颜色 2 2 4 3" xfId="2614"/>
    <cellStyle name="输入 2 5 2 4 2 2 2" xfId="2615"/>
    <cellStyle name="解释性文本 2 3 4 3" xfId="2616"/>
    <cellStyle name="注释 3 6" xfId="2617"/>
    <cellStyle name="40% - 强调文字颜色 1 2 2 9 2" xfId="2618"/>
    <cellStyle name="60% - 强调文字颜色 2 2 2 3 3 2 2" xfId="2619"/>
    <cellStyle name="汇总 3 3 2 5" xfId="2620"/>
    <cellStyle name="计算 2 5 5 2 3 2 2" xfId="2621"/>
    <cellStyle name="输入 2 5 3 3 2" xfId="2622"/>
    <cellStyle name="警告文本 2 2 2 2 4" xfId="2623"/>
    <cellStyle name="20% - 强调文字颜色 1 2 2 2 3 4" xfId="2624"/>
    <cellStyle name="40% - 强调文字颜色 6 2 3 2 2 3 2 2 2" xfId="2625"/>
    <cellStyle name="适中 3 8" xfId="2626"/>
    <cellStyle name="40% - 强调文字颜色 5 4 2 3 2" xfId="2627"/>
    <cellStyle name="输入 3 2 2 2 2 3" xfId="2628"/>
    <cellStyle name="20% - 强调文字颜色 5 2 2 6 2 2 2" xfId="2629"/>
    <cellStyle name="标题 4 3 2 2" xfId="2630"/>
    <cellStyle name="注释 2 4 2 2 4" xfId="2631"/>
    <cellStyle name="标题 3 2 2 2 6 2 2 2" xfId="2632"/>
    <cellStyle name="汇总 2 2 4 5 5" xfId="2633"/>
    <cellStyle name="输入 2 2 8 4 2 2" xfId="2634"/>
    <cellStyle name="40% - 强调文字颜色 1 3 3 2 2 2" xfId="2635"/>
    <cellStyle name="20% - 强调文字颜色 6 2 2 2 3 3 2" xfId="2636"/>
    <cellStyle name="差 2 5 3" xfId="2637"/>
    <cellStyle name="60% - 强调文字颜色 6 2 3 2 7" xfId="2638"/>
    <cellStyle name="标题 1 2 2 2" xfId="2639"/>
    <cellStyle name="汇总 2 4 5 4 2" xfId="2640"/>
    <cellStyle name="输入 2 13 2" xfId="2641"/>
    <cellStyle name="计算 4 3 6" xfId="2642"/>
    <cellStyle name="汇总 2 2 4 3 3 5" xfId="2643"/>
    <cellStyle name="40% - 强调文字颜色 2 2 2 2 3 2" xfId="2644"/>
    <cellStyle name="注释 2 3 4 4 2" xfId="2645"/>
    <cellStyle name="差 2 9 2" xfId="2646"/>
    <cellStyle name="常规 4 4 4 4" xfId="2647"/>
    <cellStyle name="20% - 强调文字颜色 1 2" xfId="2648"/>
    <cellStyle name="输出 2 2 4 4 2 2 3" xfId="2649"/>
    <cellStyle name="计算 2 3 3 2 2" xfId="2650"/>
    <cellStyle name="20% - 强调文字颜色 2 2 2 4 2 2 2" xfId="2651"/>
    <cellStyle name="计算 2 2 5 4 2 5" xfId="2652"/>
    <cellStyle name="60% - 强调文字颜色 6 2 3 2 4 2" xfId="2653"/>
    <cellStyle name="60% - 强调文字颜色 2 3 2" xfId="2654"/>
    <cellStyle name="标题 8 2 3" xfId="2655"/>
    <cellStyle name="计算 2 7 6 5" xfId="2656"/>
    <cellStyle name="40% - 强调文字颜色 6 2 3 2 3 2" xfId="2657"/>
    <cellStyle name="常规 4 4 4 3 2" xfId="2658"/>
    <cellStyle name="常规 9 3 3 3" xfId="2659"/>
    <cellStyle name="标题 1 2 2 5" xfId="2660"/>
    <cellStyle name="20% - 强调文字颜色 4 3" xfId="2661"/>
    <cellStyle name="计算 2 7 6 3 2" xfId="2662"/>
    <cellStyle name="好 2 3 4 2 2 2" xfId="2663"/>
    <cellStyle name="40% - 强调文字颜色 4 2 3 2 2 4" xfId="2664"/>
    <cellStyle name="输出 2 4 3 2 2" xfId="2665"/>
    <cellStyle name="40% - 强调文字颜色 2 2 2 3 3 2 2" xfId="2666"/>
    <cellStyle name="强调文字颜色 3 2 2 2 5 2 3" xfId="2667"/>
    <cellStyle name="强调文字颜色 6 2 2 2 7" xfId="2668"/>
    <cellStyle name="输出 2 4 2 4 5" xfId="2669"/>
    <cellStyle name="注释 2 2 7 3 2 5" xfId="2670"/>
    <cellStyle name="注释 2 2 2 2 2 2 4 2" xfId="2671"/>
    <cellStyle name="常规 9 2 2 2 3 2 2 2" xfId="2672"/>
    <cellStyle name="注释 5 4 3" xfId="2673"/>
    <cellStyle name="60% - 强调文字颜色 6 3 2 2 4" xfId="2674"/>
    <cellStyle name="常规 3 7 4" xfId="2675"/>
    <cellStyle name="强调文字颜色 3 5" xfId="2676"/>
    <cellStyle name="输出 2 2 2 2 4" xfId="2677"/>
    <cellStyle name="40% - 强调文字颜色 1 2 2 2 2 5 2 2" xfId="2678"/>
    <cellStyle name="20% - 强调文字颜色 5 2 2 2 2 2" xfId="2679"/>
    <cellStyle name="汇总 2 2 6 2 6 3" xfId="2680"/>
    <cellStyle name="40% - 强调文字颜色 3 2 3 2 2 4" xfId="2681"/>
    <cellStyle name="注释 2 2 3 3 3 4" xfId="2682"/>
    <cellStyle name="输出 2 2 3 5 7" xfId="2683"/>
    <cellStyle name="40% - 强调文字颜色 3 3 2 2 3 2 2 2" xfId="2684"/>
    <cellStyle name="60% - 强调文字颜色 4 2 2 2 3 4" xfId="2685"/>
    <cellStyle name="60% - 强调文字颜色 4 3 3 3 2 2 2" xfId="2686"/>
    <cellStyle name="汇总 2 4 4 4 3" xfId="2687"/>
    <cellStyle name="计算 3 3 7" xfId="2688"/>
    <cellStyle name="40% - 强调文字颜色 1 2 3 2 3" xfId="2689"/>
    <cellStyle name="60% - 强调文字颜色 2 2 2 2 2 3 2" xfId="2690"/>
    <cellStyle name="40% - 强调文字颜色 4 3 3 2 2 2 2" xfId="2691"/>
    <cellStyle name="常规 2 4 2 2" xfId="2692"/>
    <cellStyle name="汇总 2 5 3 8" xfId="2693"/>
    <cellStyle name="常规 4 2 2 2 2 3 3" xfId="2694"/>
    <cellStyle name="60% - 强调文字颜色 4 2 7 2 2 2" xfId="2695"/>
    <cellStyle name="适中 2 3 2 4 3" xfId="2696"/>
    <cellStyle name="40% - 强调文字颜色 6 2 2 2 2 3 3 2" xfId="2697"/>
    <cellStyle name="60% - 强调文字颜色 2 2 3 2 4 2" xfId="2698"/>
    <cellStyle name="计算 2 2 4 4 2 4 3" xfId="2699"/>
    <cellStyle name="20% - 强调文字颜色 6 2 3 2 2 2 2 2 2" xfId="2700"/>
    <cellStyle name="20% - 强调文字颜色 1 4 2" xfId="2701"/>
    <cellStyle name="60% - 强调文字颜色 6 2 2 2 3 2" xfId="2702"/>
    <cellStyle name="汇总 2 2 4 2 5 2 2 2" xfId="2703"/>
    <cellStyle name="计算 2 5 2 3 3 3 3" xfId="2704"/>
    <cellStyle name="60% - 强调文字颜色 6 2 2 4 4 2 2" xfId="2705"/>
    <cellStyle name="输出 3 2 3 2 2 2" xfId="2706"/>
    <cellStyle name="汇总 2 4 4 5 3" xfId="2707"/>
    <cellStyle name="计算 3 4 7" xfId="2708"/>
    <cellStyle name="常规 8 2 4 3 2" xfId="2709"/>
    <cellStyle name="20% - 强调文字颜色 4 2 2 3 6" xfId="2710"/>
    <cellStyle name="计算 2 2 3 2 6 2" xfId="2711"/>
    <cellStyle name="输入 2 2 3 3 2 2 2 2" xfId="2712"/>
    <cellStyle name="40% - 强调文字颜色 1 2 2 4 4 2" xfId="2713"/>
    <cellStyle name="40% - 强调文字颜色 1 2 3 2 2 2 3" xfId="2714"/>
    <cellStyle name="20% - 强调文字颜色 4 3 2 3 2 2" xfId="2715"/>
    <cellStyle name="输出 2 2 2 5" xfId="2716"/>
    <cellStyle name="注释 2 2 5 3 3" xfId="2717"/>
    <cellStyle name="40% - 强调文字颜色 3 2 5 2 2" xfId="2718"/>
    <cellStyle name="汇总 2 2 3 4 2 6" xfId="2719"/>
    <cellStyle name="20% - 强调文字颜色 5 2 2 2 2 2 4 2 2 2" xfId="2720"/>
    <cellStyle name="汇总 2 2 8 3 2 3 2 2" xfId="2721"/>
    <cellStyle name="40% - 强调文字颜色 3 3 2 2 2" xfId="2722"/>
    <cellStyle name="注释 2 3 2 3 3" xfId="2723"/>
    <cellStyle name="20% - 强调文字颜色 2 2 4 4" xfId="2724"/>
    <cellStyle name="计算 2 3 2 3 5" xfId="2725"/>
    <cellStyle name="常规 3 3 2 3 3" xfId="2726"/>
    <cellStyle name="40% - 强调文字颜色 3 3 2 2 3 2" xfId="2727"/>
    <cellStyle name="60% - 强调文字颜色 2 4 2 4" xfId="2728"/>
    <cellStyle name="差 3 2 2" xfId="2729"/>
    <cellStyle name="40% - 强调文字颜色 3 3 2 4 2 2 2" xfId="2730"/>
    <cellStyle name="40% - 强调文字颜色 4 2 2 2 2 3 3 2" xfId="2731"/>
    <cellStyle name="强调文字颜色 4 2 6 3 2 2" xfId="2732"/>
    <cellStyle name="输入 2 2 5 7 2 2" xfId="2733"/>
    <cellStyle name="标题 5 2 4 2" xfId="2734"/>
    <cellStyle name="适中 2 7 3 2 2" xfId="2735"/>
    <cellStyle name="20% - 强调文字颜色 5 2 3 2 2 4 2 2 2" xfId="2736"/>
    <cellStyle name="输出 2 2 2 2 2 2 3 2 2" xfId="2737"/>
    <cellStyle name="常规 6 3 2 2 4" xfId="2738"/>
    <cellStyle name="20% - 强调文字颜色 1 2 2 3 3 3" xfId="2739"/>
    <cellStyle name="60% - 强调文字颜色 6 2 2 2 6 2 2 2" xfId="2740"/>
    <cellStyle name="链接单元格 2 2 3 4 3 2" xfId="2741"/>
    <cellStyle name="汇总 4 3 2 3" xfId="2742"/>
    <cellStyle name="输出 2 2 3 2 7" xfId="2743"/>
    <cellStyle name="警告文本 2 2 3 2 2 3" xfId="2744"/>
    <cellStyle name="计算 2 2 2 3 6 2" xfId="2745"/>
    <cellStyle name="40% - 强调文字颜色 3 2 3 2 3 3 2" xfId="2746"/>
    <cellStyle name="强调文字颜色 1 2 2 6 2 2" xfId="2747"/>
    <cellStyle name="检查单元格 2 2 5 3 2" xfId="2748"/>
    <cellStyle name="强调文字颜色 2 2 2 2 5 2 3" xfId="2749"/>
    <cellStyle name="40% - 强调文字颜色 1 3 2 2 3 2 2 2" xfId="2750"/>
    <cellStyle name="输入 2 3 2 3 4" xfId="2751"/>
    <cellStyle name="汇总 2 8 4 3 2" xfId="2752"/>
    <cellStyle name="20% - 强调文字颜色 1 2 3 2 2 3 3" xfId="2753"/>
    <cellStyle name="标题 2 2 3 2 7" xfId="2754"/>
    <cellStyle name="汇总 2 2 8 4 2 3" xfId="2755"/>
    <cellStyle name="40% - 强调文字颜色 4 3 2" xfId="2756"/>
    <cellStyle name="差 3 11" xfId="2757"/>
    <cellStyle name="40% - 强调文字颜色 1 3 5 2" xfId="2758"/>
    <cellStyle name="输出 2 2 3 2 3 2 2 3" xfId="2759"/>
    <cellStyle name="计算 2 5 3 4 2 2" xfId="2760"/>
    <cellStyle name="40% - 强调文字颜色 1 2 2 2 2 2 2 3" xfId="2761"/>
    <cellStyle name="强调文字颜色 5 2 5 2 3" xfId="2762"/>
    <cellStyle name="汇总 2 4 3 4 2 2" xfId="2763"/>
    <cellStyle name="计算 2 3 6 2" xfId="2764"/>
    <cellStyle name="20% - 强调文字颜色 5 2 2 3 4 2 2" xfId="2765"/>
    <cellStyle name="标题 1 5 2 2" xfId="2766"/>
    <cellStyle name="20% - 强调文字颜色 1 2 3 2 4 3 2 2" xfId="2767"/>
    <cellStyle name="20% - 强调文字颜色 5 2 2 3 6" xfId="2768"/>
    <cellStyle name="输出 2 2 5 2 7" xfId="2769"/>
    <cellStyle name="链接单元格 2 3 3 4" xfId="2770"/>
    <cellStyle name="20% - 强调文字颜色 4 2 2 4 4 2 2" xfId="2771"/>
    <cellStyle name="输入 2 6 3 8" xfId="2772"/>
    <cellStyle name="标题 3 3 2 2 4 2" xfId="2773"/>
    <cellStyle name="20% - 强调文字颜色 1 3 2 4 2 2" xfId="2774"/>
    <cellStyle name="强调文字颜色 2 2 2 2 2 4 2 2" xfId="2775"/>
    <cellStyle name="好 2 4 6" xfId="2776"/>
    <cellStyle name="超链接 2 7 3" xfId="2777"/>
    <cellStyle name="计算 2 3 2" xfId="2778"/>
    <cellStyle name="计算 2 5 9" xfId="2779"/>
    <cellStyle name="警告文本 2 4" xfId="2780"/>
    <cellStyle name="百分比 2 2 2 2 5" xfId="2781"/>
    <cellStyle name="20% - 强调文字颜色 3 2 2 3 4 2 2 2" xfId="2782"/>
    <cellStyle name="汇总 2 2 9 2 3" xfId="2783"/>
    <cellStyle name="计算 3 2 10" xfId="2784"/>
    <cellStyle name="标题 6 3 4 2" xfId="2785"/>
    <cellStyle name="计算 2 2 3 4 2 2 2 2" xfId="2786"/>
    <cellStyle name="输入 2 2 6 8 2 2" xfId="2787"/>
    <cellStyle name="40% - 强调文字颜色 2 2 2 2 3 3" xfId="2788"/>
    <cellStyle name="输出 2 4 2" xfId="2789"/>
    <cellStyle name="60% - 强调文字颜色 5 2 5 2 2 2" xfId="2790"/>
    <cellStyle name="计算 2 2 7 2 2 3 2" xfId="2791"/>
    <cellStyle name="汇总 2 5 3 2 2 2 2" xfId="2792"/>
    <cellStyle name="标题 3 2 6 3 2 2" xfId="2793"/>
    <cellStyle name="40% - 强调文字颜色 5 2 2 6 3 2 2" xfId="2794"/>
    <cellStyle name="注释 2 4 2 4 3 2" xfId="2795"/>
    <cellStyle name="计算 2 5 2 5 2" xfId="2796"/>
    <cellStyle name="标题 5 2 6 2 3" xfId="2797"/>
    <cellStyle name="20% - 强调文字颜色 1 2 2 3 6" xfId="2798"/>
    <cellStyle name="输入 2 2 3 2 3 2 3" xfId="2799"/>
    <cellStyle name="40% - 强调文字颜色 3 2 2 4 5 2" xfId="2800"/>
    <cellStyle name="40% - 强调文字颜色 3 4 3 2 2" xfId="2801"/>
    <cellStyle name="输入 2 2 3 2 5 2 2" xfId="2802"/>
    <cellStyle name="汇总 3 3 2 5 2" xfId="2803"/>
    <cellStyle name="20% - 强调文字颜色 2 3 2 2 4" xfId="2804"/>
    <cellStyle name="适中 2 7 3 3" xfId="2805"/>
    <cellStyle name="标题 5 2 5" xfId="2806"/>
    <cellStyle name="常规 9" xfId="2807"/>
    <cellStyle name="40% - 强调文字颜色 4 2 2 2 2 4 2 2" xfId="2808"/>
    <cellStyle name="60% - 强调文字颜色 6 6 3" xfId="2809"/>
    <cellStyle name="计算 2 18" xfId="2810"/>
    <cellStyle name="常规 8 3 3 2 2" xfId="2811"/>
    <cellStyle name="输入 2 2 3 2 4 2 2" xfId="2812"/>
    <cellStyle name="40% - 强调文字颜色 3 4 2 2 2" xfId="2813"/>
    <cellStyle name="注释 2 4 2 3 3" xfId="2814"/>
    <cellStyle name="40% - 强调文字颜色 3 2 2 3 5 2" xfId="2815"/>
    <cellStyle name="标题 4 3 2 2 3 2 3" xfId="2816"/>
    <cellStyle name="标题 6 3 3 2 3" xfId="2817"/>
    <cellStyle name="40% - 强调文字颜色 5 2 7 2 2" xfId="2818"/>
    <cellStyle name="标题 5 3 2 2 2 2 2" xfId="2819"/>
    <cellStyle name="标题 5 2 2 2 2 2 2 2 2" xfId="2820"/>
    <cellStyle name="标题 6 2 4 2 2" xfId="2821"/>
    <cellStyle name="20% - 强调文字颜色 2 2 3 2 2 4 3" xfId="2822"/>
    <cellStyle name="40% - 强调文字颜色 4 2 2 2 2 5 2" xfId="2823"/>
    <cellStyle name="60% - 强调文字颜色 1 4 2 3 2 2" xfId="2824"/>
    <cellStyle name="注释 2 2 9 2 2" xfId="2825"/>
    <cellStyle name="标题 4 3 2 2 4 2" xfId="2826"/>
    <cellStyle name="汇总 2 2 4 2 3 9" xfId="2827"/>
    <cellStyle name="60% - 强调文字颜色 1 3 3 2 2" xfId="2828"/>
    <cellStyle name="计算 2 4 2 2 7" xfId="2829"/>
    <cellStyle name="20% - 强调文字颜色 2 3" xfId="2830"/>
    <cellStyle name="汇总 2 2 3 2 4 4 2" xfId="2831"/>
    <cellStyle name="强调文字颜色 2 2 3 2" xfId="2832"/>
    <cellStyle name="注释 2 4 2 2 8" xfId="2833"/>
    <cellStyle name="40% - 强调文字颜色 3 2 3 2 2 5 2 2" xfId="2834"/>
    <cellStyle name="汇总 2 6 2 2 3 3" xfId="2835"/>
    <cellStyle name="40% - 强调文字颜色 1 4 2 2 2" xfId="2836"/>
    <cellStyle name="汇总 2 7 3 2 2 2 2" xfId="2837"/>
    <cellStyle name="40% - 强调文字颜色 6 2 2 3 4 2 2 2" xfId="2838"/>
    <cellStyle name="20% - 强调文字颜色 4 4 2 3" xfId="2839"/>
    <cellStyle name="计算 2 2 4 5 9" xfId="2840"/>
    <cellStyle name="标题 2 2 3 4 3 2" xfId="2841"/>
    <cellStyle name="常规 6 3 3 2 2" xfId="2842"/>
    <cellStyle name="适中 2 2 3 2 2 2 3" xfId="2843"/>
    <cellStyle name="链接单元格 2 2 2 4 2 2 2" xfId="2844"/>
    <cellStyle name="40% - 强调文字颜色 5 4 2 4" xfId="2845"/>
    <cellStyle name="20% - 强调文字颜色 6 2 3 6 2 2" xfId="2846"/>
    <cellStyle name="输入 2 2 2 7" xfId="2847"/>
    <cellStyle name="标题 3 5 2 2 2 2" xfId="2848"/>
    <cellStyle name="20% - 强调文字颜色 2 2 2 3 4 3" xfId="2849"/>
    <cellStyle name="汇总 2 3 2 3 2" xfId="2850"/>
    <cellStyle name="注释 2 2 2 7 3" xfId="2851"/>
    <cellStyle name="计算 4 2 2 4 2" xfId="2852"/>
    <cellStyle name="链接单元格 2 2 3 3 2 3" xfId="2853"/>
    <cellStyle name="计算 2 2 5 2 2 2 6" xfId="2854"/>
    <cellStyle name="60% - 强调文字颜色 5 2 2 2 3 2 2 2 2" xfId="2855"/>
    <cellStyle name="百分比 2 2 2 2 2" xfId="2856"/>
    <cellStyle name="40% - 强调文字颜色 3 2 2 6 2" xfId="2857"/>
    <cellStyle name="标题 5 2 3 3 4" xfId="2858"/>
    <cellStyle name="60% - 强调文字颜色 4 2 7" xfId="2859"/>
    <cellStyle name="输入 2 2 3 2 2 2 2 2" xfId="2860"/>
    <cellStyle name="40% - 强调文字颜色 2 2 2 3 3 2" xfId="2861"/>
    <cellStyle name="输出 3 2 3 4" xfId="2862"/>
    <cellStyle name="60% - 强调文字颜色 3 2 2 2 2 3 2 2 2" xfId="2863"/>
    <cellStyle name="20% - 强调文字颜色 5 4 3 2 2" xfId="2864"/>
    <cellStyle name="20% - 强调文字颜色 4 2 2 5 2 2" xfId="2865"/>
    <cellStyle name="汇总 2 2 7 4 6" xfId="2866"/>
    <cellStyle name="40% - 强调文字颜色 4 2 2 6" xfId="2867"/>
    <cellStyle name="输出 2 3 2 3 5" xfId="2868"/>
    <cellStyle name="60% - 强调文字颜色 2 2 2 4 5 2 2" xfId="2869"/>
    <cellStyle name="输出 2 2 5 2 9" xfId="2870"/>
    <cellStyle name="输入 2 7 4 5" xfId="2871"/>
    <cellStyle name="强调文字颜色 1 2 2 2 2 5" xfId="2872"/>
    <cellStyle name="60% - 强调文字颜色 5 2 2 2 2 4 3 2" xfId="2873"/>
    <cellStyle name="汇总 2 2 8 2 2 5" xfId="2874"/>
    <cellStyle name="40% - 强调文字颜色 2 2 2 2 6 2 2" xfId="2875"/>
    <cellStyle name="汇总 2 6 2 2 4 2 2" xfId="2876"/>
    <cellStyle name="输出 2 8 4 2" xfId="2877"/>
    <cellStyle name="60% - 强调文字颜色 5 2 2 2 5 2 2 2" xfId="2878"/>
    <cellStyle name="Normal 6" xfId="2879"/>
    <cellStyle name="汇总 2 5 3 3" xfId="2880"/>
    <cellStyle name="汇总 2 2 7 3 2 2 2 2" xfId="2881"/>
    <cellStyle name="20% - 强调文字颜色 6 2 3 5 2" xfId="2882"/>
    <cellStyle name="20% - 强调文字颜色 3 2 3 2 2 2 2 2" xfId="2883"/>
    <cellStyle name="计算 2 2 4 2 3 7 2" xfId="2884"/>
    <cellStyle name="标题 1 2 2 2 3 2 2 2" xfId="2885"/>
    <cellStyle name="注释 2 2 3 2 3 2 6" xfId="2886"/>
    <cellStyle name="差 2 2 2 3 2 2 3" xfId="2887"/>
    <cellStyle name="40% - 强调文字颜色 2 2 2 2 2 2 3 2 2" xfId="2888"/>
    <cellStyle name="标题 5 2 4 3 3 2" xfId="2889"/>
    <cellStyle name="警告文本 2 2 3 4 2 2" xfId="2890"/>
    <cellStyle name="计算 2 2 4 2 4 2 3 2 2" xfId="2891"/>
    <cellStyle name="汇总 3 5 5" xfId="2892"/>
    <cellStyle name="常规 4 6 2 2" xfId="2893"/>
    <cellStyle name="计算 2 4 4 2 3 2 2" xfId="2894"/>
    <cellStyle name="60% - 强调文字颜色 6 2 2 2 5 2 2 3" xfId="2895"/>
    <cellStyle name="链接单元格 2 2 2 4 3 3" xfId="2896"/>
    <cellStyle name="适中 3 2 2 3 2" xfId="2897"/>
    <cellStyle name="20% - 强调文字颜色 2 3 3 2 2 2" xfId="2898"/>
    <cellStyle name="汇总 2 3 11 2" xfId="2899"/>
    <cellStyle name="差 4 5" xfId="2900"/>
    <cellStyle name="注释 2 2 2 3 4 2 2" xfId="2901"/>
    <cellStyle name="40% - 强调文字颜色 5 2 3 2 3 2 2" xfId="2902"/>
    <cellStyle name="40% - 强调文字颜色 3 2 2 2 3 2 2" xfId="2903"/>
    <cellStyle name="常规 5 4 5" xfId="2904"/>
    <cellStyle name="链接单元格 2 2 3 6 2" xfId="2905"/>
    <cellStyle name="40% - 强调文字颜色 6 3 3 3" xfId="2906"/>
    <cellStyle name="常规 4 3 3 2 4" xfId="2907"/>
    <cellStyle name="标题 3 3 2 4 2 2 2" xfId="2908"/>
    <cellStyle name="40% - 强调文字颜色 6 2 5 2" xfId="2909"/>
    <cellStyle name="常规 4 6 4" xfId="2910"/>
    <cellStyle name="标题 8 3" xfId="2911"/>
    <cellStyle name="输出 3 2 3 3 2" xfId="2912"/>
    <cellStyle name="60% - 强调文字颜色 1 2 3 5 2 2 2" xfId="2913"/>
    <cellStyle name="常规 2 2 2 5 3 2 2" xfId="2914"/>
    <cellStyle name="汇总 2 4 8 2" xfId="2915"/>
    <cellStyle name="20% - 强调文字颜色 3 2 5 4 2" xfId="2916"/>
    <cellStyle name="40% - 强调文字颜色 3 4 2 3 2 2" xfId="2917"/>
    <cellStyle name="40% - 强调文字颜色 1 2" xfId="2918"/>
    <cellStyle name="40% - 强调文字颜色 4 2 2 2 5 2 2 2" xfId="2919"/>
    <cellStyle name="输出 2 2 4 3 2 2 2" xfId="2920"/>
    <cellStyle name="60% - 强调文字颜色 6 2 3 3 2 3" xfId="2921"/>
    <cellStyle name="注释 2 3 4 3" xfId="2922"/>
    <cellStyle name="输入 2 6 3 2 3" xfId="2923"/>
    <cellStyle name="40% - 强调文字颜色 2 2 2 2 2" xfId="2924"/>
    <cellStyle name="超链接 3 2 2 2 3" xfId="2925"/>
    <cellStyle name="输入 2 2 4 3 2 2" xfId="2926"/>
    <cellStyle name="60% - 强调文字颜色 1 2 3 2 2 2 2 2 2" xfId="2927"/>
    <cellStyle name="常规 10 3 2 3 3 2" xfId="2928"/>
    <cellStyle name="60% - 强调文字颜色 1 2 3 5 2" xfId="2929"/>
    <cellStyle name="标题 4 3 5" xfId="2930"/>
    <cellStyle name="输入 2 2 3 4 5 2" xfId="2931"/>
    <cellStyle name="计算 2 2 9 3 4 2" xfId="2932"/>
    <cellStyle name="标题 4 3 8" xfId="2933"/>
    <cellStyle name="20% - 强调文字颜色 6 2 2 3 2 2 2 2" xfId="2934"/>
    <cellStyle name="60% - 强调文字颜色 5 2 2 2 2 3" xfId="2935"/>
    <cellStyle name="计算 2 2 4 2 4 4 2 2" xfId="2936"/>
    <cellStyle name="警告文本 2 2 5 3 2" xfId="2937"/>
    <cellStyle name="60% - 强调文字颜色 6 2 7 2" xfId="2938"/>
    <cellStyle name="40% - 强调文字颜色 6 2 8 2 2" xfId="2939"/>
    <cellStyle name="输入 2 3 3 2 5" xfId="2940"/>
    <cellStyle name="汇总 2 8 5 2 3" xfId="2941"/>
    <cellStyle name="百分比 2 3 3 2" xfId="2942"/>
    <cellStyle name="标题 1 2 2 6 2 2" xfId="2943"/>
    <cellStyle name="输出 2 5 2 3 3 2" xfId="2944"/>
    <cellStyle name="汇总 2 2 5 8 2" xfId="2945"/>
    <cellStyle name="汇总 2 2 5 2 10" xfId="2946"/>
    <cellStyle name="差 2 2 2 2 2 2 2 2 2" xfId="2947"/>
    <cellStyle name="20% - 强调文字颜色 6 2 5 3" xfId="2948"/>
    <cellStyle name="输入 2 4 3 8" xfId="2949"/>
    <cellStyle name="注释 2 7 2 4 2" xfId="2950"/>
    <cellStyle name="40% - 强调文字颜色 4 2 3 5 2" xfId="2951"/>
    <cellStyle name="40% - 强调文字颜色 4 2 3 4 3 2" xfId="2952"/>
    <cellStyle name="40% - 强调文字颜色 6 2 2 2 3 3 2" xfId="2953"/>
    <cellStyle name="常规 5 2 2 2 2 2 4 2" xfId="2954"/>
    <cellStyle name="60% - 强调文字颜色 2 4 2 3 2 2 2" xfId="2955"/>
    <cellStyle name="标题 1 2 3 5 2 2 2" xfId="2956"/>
    <cellStyle name="计算 4 2 2 2 3" xfId="2957"/>
    <cellStyle name="40% - 强调文字颜色 4 2 3 6 2" xfId="2958"/>
    <cellStyle name="输出 2 5 2 5 2" xfId="2959"/>
    <cellStyle name="20% - 强调文字颜色 2 3 2 4 2 2" xfId="2960"/>
    <cellStyle name="40% - 强调文字颜色 1 2 7" xfId="2961"/>
    <cellStyle name="60% - 强调文字颜色 6 2 3 2 4" xfId="2962"/>
    <cellStyle name="强调文字颜色 2 2 4 4 2 3" xfId="2963"/>
    <cellStyle name="汇总 2 3 3 2 3 2" xfId="2964"/>
    <cellStyle name="差 2 2 5 3 2 2" xfId="2965"/>
    <cellStyle name="汇总 2 2 4 3 3 2" xfId="2966"/>
    <cellStyle name="60% - 强调文字颜色 6 2 2 4 5 2 2" xfId="2967"/>
    <cellStyle name="汇总 2 2 4 2 5 3 2 2" xfId="2968"/>
    <cellStyle name="输入 2 2 3 4 2 2 3" xfId="2969"/>
    <cellStyle name="输入 2 2 3 2 9" xfId="2970"/>
    <cellStyle name="60% - 强调文字颜色 4 2 2 2 2 3 3" xfId="2971"/>
    <cellStyle name="强调文字颜色 6 2 2 2 2 2 2 2 2" xfId="2972"/>
    <cellStyle name="汇总 2 2 3 3 3 2 2 2" xfId="2973"/>
    <cellStyle name="60% - 强调文字颜色 3 2 3 2 2 2 2 2" xfId="2974"/>
    <cellStyle name="输出 2 4 5 2 2" xfId="2975"/>
    <cellStyle name="60% - 强调文字颜色 3 2 2 6 3" xfId="2976"/>
    <cellStyle name="强调文字颜色 2 2 2 3 2 2 2" xfId="2977"/>
    <cellStyle name="常规 3 3 7 6" xfId="2978"/>
    <cellStyle name="汇总 2 7 2 3 2 2 2" xfId="2979"/>
    <cellStyle name="强调文字颜色 6 2 2 4 3 2 2 2" xfId="2980"/>
    <cellStyle name="计算 2 2 6 2 3 2 2" xfId="2981"/>
    <cellStyle name="常规 5 2 3 2" xfId="2982"/>
    <cellStyle name="60% - 强调文字颜色 6 2 2 2 2 2 3" xfId="2983"/>
    <cellStyle name="计算 2 6 4" xfId="2984"/>
    <cellStyle name="40% - 强调文字颜色 5 2 2 5 3" xfId="2985"/>
    <cellStyle name="计算 2 2 3 2 2 6" xfId="2986"/>
    <cellStyle name="20% - 强调文字颜色 2 2 2 4" xfId="2987"/>
    <cellStyle name="20% - 强调文字颜色 1 2 2 2" xfId="2988"/>
    <cellStyle name="强调文字颜色 4 2 3 4 4" xfId="2989"/>
    <cellStyle name="适中 2 4 4 4" xfId="2990"/>
    <cellStyle name="标题 2 3 6" xfId="2991"/>
    <cellStyle name="计算 2 4 3 2 4 3" xfId="2992"/>
    <cellStyle name="20% - 强调文字颜色 5 2 5" xfId="2993"/>
    <cellStyle name="输入 4 3 2 2" xfId="2994"/>
    <cellStyle name="40% - 强调文字颜色 2 2 2 6 3" xfId="2995"/>
    <cellStyle name="计算 2 2 9 3 3 3" xfId="2996"/>
    <cellStyle name="输入 2 2 3 4 4 3" xfId="2997"/>
    <cellStyle name="20% - 强调文字颜色 4 2 5 2 2 2" xfId="2998"/>
    <cellStyle name="计算 2 2 3 8 3" xfId="2999"/>
    <cellStyle name="40% - 强调文字颜色 1 2 3 2 4 3" xfId="3000"/>
    <cellStyle name="输入 2 6 2 5 2 2" xfId="3001"/>
    <cellStyle name="注释 2 2 7 2 2" xfId="3002"/>
    <cellStyle name="60% - 强调文字颜色 1 3 2 4" xfId="3003"/>
    <cellStyle name="适中 2 7 2 2" xfId="3004"/>
    <cellStyle name="40% - 强调文字颜色 4 3 3 2" xfId="3005"/>
    <cellStyle name="标题 4 2 2 4 2 3 3" xfId="3006"/>
    <cellStyle name="解释性文本 2 2 4 4" xfId="3007"/>
    <cellStyle name="好 2 2 9" xfId="3008"/>
    <cellStyle name="20% - 强调文字颜色 5 2 2 2 2 3 2 2 2 2" xfId="3009"/>
    <cellStyle name="计算 2 5 3 4" xfId="3010"/>
    <cellStyle name="注释 2 4 2 5 2" xfId="3011"/>
    <cellStyle name="好 2 7 3" xfId="3012"/>
    <cellStyle name="60% - 强调文字颜色 6 2 2 6" xfId="3013"/>
    <cellStyle name="40% - 强调文字颜色 6 2 10 2" xfId="3014"/>
    <cellStyle name="计算 2 3 2 2 8" xfId="3015"/>
    <cellStyle name="好 2 2 2 5 2" xfId="3016"/>
    <cellStyle name="注释 2 2 7 2 3 2 2" xfId="3017"/>
    <cellStyle name="计算 2 2 5 2 4 2 2" xfId="3018"/>
    <cellStyle name="20% - 强调文字颜色 4 2 3 2 2 2 3 2" xfId="3019"/>
    <cellStyle name="标题 4 2 4 4 2 2" xfId="3020"/>
    <cellStyle name="汇总 3 2 2 2 3 3" xfId="3021"/>
    <cellStyle name="60% - 强调文字颜色 6 2 2 5 3" xfId="3022"/>
    <cellStyle name="好 2 7 2 3" xfId="3023"/>
    <cellStyle name="计算 2 5 5 2 4 2 2" xfId="3024"/>
    <cellStyle name="输入 2 5 4 3 2" xfId="3025"/>
    <cellStyle name="汇总 2 8 5 5" xfId="3026"/>
    <cellStyle name="输入 2 2 4 8 3" xfId="3027"/>
    <cellStyle name="标题 5 4 4 2 3" xfId="3028"/>
    <cellStyle name="强调文字颜色 6 2 4 3 4" xfId="3029"/>
    <cellStyle name="60% - 强调文字颜色 1 3 2 2 4 2" xfId="3030"/>
    <cellStyle name="汇总 4 3 4 3" xfId="3031"/>
    <cellStyle name="输出 2 2 3 4 7" xfId="3032"/>
    <cellStyle name="计算 3 2 2 4 2 2" xfId="3033"/>
    <cellStyle name="60% - 强调文字颜色 5 3 2 5 2" xfId="3034"/>
    <cellStyle name="40% - 强调文字颜色 2 2 4 3" xfId="3035"/>
    <cellStyle name="60% - 强调文字颜色 1 2 4 2 2 2" xfId="3036"/>
    <cellStyle name="计算 2 2 3 9 2 2" xfId="3037"/>
    <cellStyle name="20% - 强调文字颜色 4 3 3 2 2 2 2" xfId="3038"/>
    <cellStyle name="40% - 强调文字颜色 2 2 2 2 2 3 2" xfId="3039"/>
    <cellStyle name="输入 2 2 5 11" xfId="3040"/>
    <cellStyle name="输出 2 3 2 2" xfId="3041"/>
    <cellStyle name="汇总 2 2 2 16" xfId="3042"/>
    <cellStyle name="20% - 强调文字颜色 4 2 2 2 2 5 2 2 2" xfId="3043"/>
    <cellStyle name="60% - 强调文字颜色 6 2 3 2 3 2 3" xfId="3044"/>
    <cellStyle name="注释 2 3 13" xfId="3045"/>
    <cellStyle name="汇总 2 2 8 2 3 2 2" xfId="3046"/>
    <cellStyle name="计算 2 2 2 2 4 2 2 2" xfId="3047"/>
    <cellStyle name="计算 2 2 4 4 5 2 2" xfId="3048"/>
    <cellStyle name="标题 2 2" xfId="3049"/>
    <cellStyle name="40% - 强调文字颜色 3 2 4 7" xfId="3050"/>
    <cellStyle name="标题 1 2 2 5 3 3" xfId="3051"/>
    <cellStyle name="40% - 强调文字颜色 5 2 5 2 2" xfId="3052"/>
    <cellStyle name="注释 2 5 3 7" xfId="3053"/>
    <cellStyle name="差 4 2 2 2 3" xfId="3054"/>
    <cellStyle name="计算 2 5 4 5 2" xfId="3055"/>
    <cellStyle name="计算 2 2 4 3 2 5" xfId="3056"/>
    <cellStyle name="20% - 强调文字颜色 2 2 3 5" xfId="3057"/>
    <cellStyle name="标题 3 2 2 2 5 2 2 2" xfId="3058"/>
    <cellStyle name="注释 2 3 2 2 4" xfId="3059"/>
    <cellStyle name="计算 2 2 3 2 2 2" xfId="3060"/>
    <cellStyle name="强调文字颜色 6 2 3 2 3 4" xfId="3061"/>
    <cellStyle name="计算 2 3 4 2 5" xfId="3062"/>
    <cellStyle name="计算 2 5 2 2 2 5 2" xfId="3063"/>
    <cellStyle name="强调文字颜色 2 2 3 3 6" xfId="3064"/>
    <cellStyle name="20% - 强调文字颜色 1 2 2 2 2 2 3 2" xfId="3065"/>
    <cellStyle name="40% - 强调文字颜色 6 2 2 2 2 3 2 2" xfId="3066"/>
    <cellStyle name="20% - 强调文字颜色 6 2 3 2 5 2 2" xfId="3067"/>
    <cellStyle name="计算 2 2 3 2 3 5" xfId="3068"/>
    <cellStyle name="计算 2 8 2 2 3 3" xfId="3069"/>
    <cellStyle name="注释 3 2 2 4" xfId="3070"/>
    <cellStyle name="计算 2 2 7 3 5" xfId="3071"/>
    <cellStyle name="计算 2 2 2 5 3 2" xfId="3072"/>
    <cellStyle name="20% - 强调文字颜色 6 2 2 2 2 4 2 2 2" xfId="3073"/>
    <cellStyle name="20% - 强调文字颜色 2 2 2 4 4" xfId="3074"/>
    <cellStyle name="汇总 2 2 4 3 2 2" xfId="3075"/>
    <cellStyle name="40% - 强调文字颜色 5 2 2 9" xfId="3076"/>
    <cellStyle name="40% - 强调文字颜色 4 3 5 2" xfId="3077"/>
    <cellStyle name="强调文字颜色 6 2 6 2 2 2" xfId="3078"/>
    <cellStyle name="输入 2 2 4 2 2 2 2 2 3" xfId="3079"/>
    <cellStyle name="20% - 强调文字颜色 4 2 2 2 2" xfId="3080"/>
    <cellStyle name="输入 2 4 2 2 4" xfId="3081"/>
    <cellStyle name="汇总 2 9 4 2 2" xfId="3082"/>
    <cellStyle name="40% - 强调文字颜色 4 2 3 5" xfId="3083"/>
    <cellStyle name="60% - 强调文字颜色 5 2 2 2 2 2 4" xfId="3084"/>
    <cellStyle name="常规 3 3 3 5 2 2" xfId="3085"/>
    <cellStyle name="汇总 2 3 4 2 4 3" xfId="3086"/>
    <cellStyle name="60% - 强调文字颜色 2 4" xfId="3087"/>
    <cellStyle name="警告文本 2 5 2 2 2" xfId="3088"/>
    <cellStyle name="适中 3 3 4" xfId="3089"/>
    <cellStyle name="计算 3 9 2" xfId="3090"/>
    <cellStyle name="输出 5 3 3" xfId="3091"/>
    <cellStyle name="汇总 2 2 4 4 4" xfId="3092"/>
    <cellStyle name="20% - 强调文字颜色 5 4 2 2 2 2 2" xfId="3093"/>
    <cellStyle name="标题 1 2 2 2 2 3 2 2 3" xfId="3094"/>
    <cellStyle name="强调文字颜色 4 5 2 2" xfId="3095"/>
    <cellStyle name="输出 2 2 2 3 4 2 2" xfId="3096"/>
    <cellStyle name="40% - 强调文字颜色 6 2 2 8 2" xfId="3097"/>
    <cellStyle name="汇总 2 5 4 6 2 2" xfId="3098"/>
    <cellStyle name="标题 1 3 3 2 2" xfId="3099"/>
    <cellStyle name="输入 2 2 3 2 2 2 5" xfId="3100"/>
    <cellStyle name="强调文字颜色 6 2 2 9" xfId="3101"/>
    <cellStyle name="汇总 2 7 7" xfId="3102"/>
    <cellStyle name="60% - 强调文字颜色 3 3 2 3 2 2 2" xfId="3103"/>
    <cellStyle name="计算 2 3 3 4 2" xfId="3104"/>
    <cellStyle name="常规 7 2 2 4 3 2" xfId="3105"/>
    <cellStyle name="20% - 强调文字颜色 3 2 6 2 2" xfId="3106"/>
    <cellStyle name="60% - 强调文字颜色 2 2 3 2 2 3 2" xfId="3107"/>
    <cellStyle name="20% - 强调文字颜色 6 2 10 2" xfId="3108"/>
    <cellStyle name="计算 2 3 4 7" xfId="3109"/>
    <cellStyle name="40% - 强调文字颜色 5 2 2 2 2 2 3 3 2" xfId="3110"/>
    <cellStyle name="输入 2 10 2 5" xfId="3111"/>
    <cellStyle name="40% - 强调文字颜色 5 2 2 2 3 2 2 2 2 2" xfId="3112"/>
    <cellStyle name="汇总 3 5 2 3" xfId="3113"/>
    <cellStyle name="40% - 强调文字颜色 2 6" xfId="3114"/>
    <cellStyle name="强调文字颜色 6 2 2 6 4" xfId="3115"/>
    <cellStyle name="汇总 2 7 4 4" xfId="3116"/>
    <cellStyle name="强调文字颜色 3 2 7 2 2 2" xfId="3117"/>
    <cellStyle name="检查单元格 2 3 2 2 2" xfId="3118"/>
    <cellStyle name="汇总 2 2 5 4 4 3" xfId="3119"/>
    <cellStyle name="40% - 强调文字颜色 5 2 2 2 4" xfId="3120"/>
    <cellStyle name="注释 2 2 3 9" xfId="3121"/>
    <cellStyle name="标题 3 2 2 2 2 4 2 3" xfId="3122"/>
    <cellStyle name="注释 2 4 4 8" xfId="3123"/>
    <cellStyle name="40% - 强调文字颜色 5 2 4 3 3" xfId="3124"/>
    <cellStyle name="输出 2 2 5 7 3" xfId="3125"/>
    <cellStyle name="20% - 强调文字颜色 5 2 2 8 2" xfId="3126"/>
    <cellStyle name="汇总 2 2 4 2 2 2 4 2 2" xfId="3127"/>
    <cellStyle name="标题 1 2 2 2 2 2 2 3" xfId="3128"/>
    <cellStyle name="40% - 强调文字颜色 1 3" xfId="3129"/>
    <cellStyle name="输出 2 2 2 2 4 2 2" xfId="3130"/>
    <cellStyle name="强调文字颜色 3 5 2 2" xfId="3131"/>
    <cellStyle name="汇总 2 3 2 2 2 2 3 2 2" xfId="3132"/>
    <cellStyle name="汇总 4 2 4 2 2" xfId="3133"/>
    <cellStyle name="计算 2 7 4 2 4" xfId="3134"/>
    <cellStyle name="常规 3 7 4 2 2" xfId="3135"/>
    <cellStyle name="标题 1 2 2 2 2 2 2 2 3" xfId="3136"/>
    <cellStyle name="输入 2 7 7" xfId="3137"/>
    <cellStyle name="标题 3 4 2" xfId="3138"/>
    <cellStyle name="强调文字颜色 1 2 2 2 5" xfId="3139"/>
    <cellStyle name="输出 2 2 5 2 2 3" xfId="3140"/>
    <cellStyle name="60% - 强调文字颜色 6 4 2 4 2" xfId="3141"/>
    <cellStyle name="输出 2 7 6 2 2" xfId="3142"/>
    <cellStyle name="注释 2 2 2 7 2" xfId="3143"/>
    <cellStyle name="汇总 3 2 2 5" xfId="3144"/>
    <cellStyle name="输入 2 2 4 2 3 3 3" xfId="3145"/>
    <cellStyle name="计算 2 2 3 3 2 2 3" xfId="3146"/>
    <cellStyle name="常规 3 3 5 3" xfId="3147"/>
    <cellStyle name="20% - 强调文字颜色 1 2 3 2 2 4 3" xfId="3148"/>
    <cellStyle name="40% - 强调文字颜色 3 2 5 5" xfId="3149"/>
    <cellStyle name="汇总 2 8 4 4 2" xfId="3150"/>
    <cellStyle name="标题 1 2 2 4 3 3" xfId="3151"/>
    <cellStyle name="60% - 强调文字颜色 2 2 2 3 2 2 2" xfId="3152"/>
    <cellStyle name="60% - 强调文字颜色 6 2 2 2 3 2 2 2" xfId="3153"/>
    <cellStyle name="常规 8 2 2 4 2 2 2" xfId="3154"/>
    <cellStyle name="输入 2 5 2 3 2" xfId="3155"/>
    <cellStyle name="计算 2 5 5 2 2 2 2" xfId="3156"/>
    <cellStyle name="汇总 2 6 5 5" xfId="3157"/>
    <cellStyle name="好 2 5 2 3" xfId="3158"/>
    <cellStyle name="标题 1 2 3 4 3 3" xfId="3159"/>
    <cellStyle name="解释性文本 2 3 5" xfId="3160"/>
    <cellStyle name="计算 2 2 5 2 2 2 4 3" xfId="3161"/>
    <cellStyle name="标题 4 3 5 2 2 2" xfId="3162"/>
    <cellStyle name="超链接 2 5 3" xfId="3163"/>
    <cellStyle name="输出 2 3 4 5" xfId="3164"/>
    <cellStyle name="计算 4 2 6 2 2" xfId="3165"/>
    <cellStyle name="注释 2 2 6 5 3" xfId="3166"/>
    <cellStyle name="60% - 强调文字颜色 1 2 4 5 2 2" xfId="3167"/>
    <cellStyle name="检查单元格 2 3 2 2 4" xfId="3168"/>
    <cellStyle name="40% - 强调文字颜色 5 2 2 2 6" xfId="3169"/>
    <cellStyle name="40% - 强调文字颜色 2 2 3 2 2 2 2 2" xfId="3170"/>
    <cellStyle name="汇总 2 4 4 2 2" xfId="3171"/>
    <cellStyle name="常规 10 2 4 4 2" xfId="3172"/>
    <cellStyle name="强调文字颜色 1 2 2 2 2 3 3 2 2" xfId="3173"/>
    <cellStyle name="20% - 强调文字颜色 3 2 3 4 3" xfId="3174"/>
    <cellStyle name="常规 9 5 4" xfId="3175"/>
    <cellStyle name="汇总 2 2 4 4 2 6" xfId="3176"/>
    <cellStyle name="注释 2 4 2 2 3 3" xfId="3177"/>
    <cellStyle name="汇总 2 2 9 5 2" xfId="3178"/>
    <cellStyle name="差 2 3 4 4" xfId="3179"/>
    <cellStyle name="常规 4 3 4 2 5" xfId="3180"/>
    <cellStyle name="标题 4 2 2 2 2 4 2 2 2" xfId="3181"/>
    <cellStyle name="40% - 强调文字颜色 6 2 2 2 2 5" xfId="3182"/>
    <cellStyle name="输入 3 3 2 2" xfId="3183"/>
    <cellStyle name="标题 5 4 4 3" xfId="3184"/>
    <cellStyle name="注释 2 6 6 3" xfId="3185"/>
    <cellStyle name="40% - 强调文字颜色 2 2 5 4 2" xfId="3186"/>
    <cellStyle name="检查单元格 2 3 2 2 5" xfId="3187"/>
    <cellStyle name="40% - 强调文字颜色 5 2 2 2 7" xfId="3188"/>
    <cellStyle name="输出 3 4 2" xfId="3189"/>
    <cellStyle name="40% - 强调文字颜色 2 2 2 3 3 3" xfId="3190"/>
    <cellStyle name="计算 2 10 2 5" xfId="3191"/>
    <cellStyle name="计算 2 3 2 6 2" xfId="3192"/>
    <cellStyle name="汇总 2 6 3 2 5" xfId="3193"/>
    <cellStyle name="汇总 2 4 2 4 3 2" xfId="3194"/>
    <cellStyle name="标题 2 2 2 3 3" xfId="3195"/>
    <cellStyle name="60% - 强调文字颜色 3 2 2 2 2 2" xfId="3196"/>
    <cellStyle name="计算 2 2 3 5 3" xfId="3197"/>
    <cellStyle name="输出 2 2 5 2 3 3" xfId="3198"/>
    <cellStyle name="链接单元格 2 5 3 2 2" xfId="3199"/>
    <cellStyle name="20% - 强调文字颜色 6 3 6 2" xfId="3200"/>
    <cellStyle name="40% - 强调文字颜色 4 2 2 3 7" xfId="3201"/>
    <cellStyle name="40% - 强调文字颜色 5 2 2 4" xfId="3202"/>
    <cellStyle name="输入 2 2 4 3 3 2 2 2" xfId="3203"/>
    <cellStyle name="20% - 强调文字颜色 1 2 2 3 4 3 2" xfId="3204"/>
    <cellStyle name="40% - 强调文字颜色 2 2 2 4 3" xfId="3205"/>
    <cellStyle name="标题 2 2 10" xfId="3206"/>
    <cellStyle name="检查单元格 2 2 4 2 3 2" xfId="3207"/>
    <cellStyle name="注释 2 2 5 7" xfId="3208"/>
    <cellStyle name="计算 2 2 6 6 2 3" xfId="3209"/>
    <cellStyle name="标题 3 2 4 2 3" xfId="3210"/>
    <cellStyle name="汇总 2 5 2 6 2 2" xfId="3211"/>
    <cellStyle name="60% - 强调文字颜色 6 2 2 3 2 2 2 2" xfId="3212"/>
    <cellStyle name="常规 11 2 3 3" xfId="3213"/>
    <cellStyle name="20% - 强调文字颜色 1 4 2 3 2" xfId="3214"/>
    <cellStyle name="注释 2 3 2 4 3" xfId="3215"/>
    <cellStyle name="常规 6 3 2 2 3 3 2 2" xfId="3216"/>
    <cellStyle name="20% - 强调文字颜色 6 2 4 2 2" xfId="3217"/>
    <cellStyle name="解释性文本 2 2 3 4 3" xfId="3218"/>
    <cellStyle name="解释性文本 2 2 5 2 2" xfId="3219"/>
    <cellStyle name="强调文字颜色 1 2" xfId="3220"/>
    <cellStyle name="输入 2 3 2 2 3" xfId="3221"/>
    <cellStyle name="注释 2 2 5 2 7" xfId="3222"/>
    <cellStyle name="常规 12 2 2 5 2 2" xfId="3223"/>
    <cellStyle name="20% - 强调文字颜色 6 2 2 2 3 2" xfId="3224"/>
    <cellStyle name="20% - 强调文字颜色 5 4 3 2" xfId="3225"/>
    <cellStyle name="60% - 强调文字颜色 3 2 2 2 2 3 2 2" xfId="3226"/>
    <cellStyle name="输入 2 4 2 3 4" xfId="3227"/>
    <cellStyle name="汇总 2 2 2 7" xfId="3228"/>
    <cellStyle name="40% - 强调文字颜色 5 2 2 6 2 2 2" xfId="3229"/>
    <cellStyle name="20% - 强调文字颜色 4 4 4 2 2 2" xfId="3230"/>
    <cellStyle name="注释 2 2 3 3 2 5" xfId="3231"/>
    <cellStyle name="40% - 强调文字颜色 6 2 5 3 2" xfId="3232"/>
    <cellStyle name="注释 2 2 3 4 2 2 2" xfId="3233"/>
    <cellStyle name="汇总 2 8 2 3 3" xfId="3234"/>
    <cellStyle name="强调文字颜色 6 2 3 4 3 3" xfId="3235"/>
    <cellStyle name="汇总 2 5 2 3" xfId="3236"/>
    <cellStyle name="注释 2 2 7 3 3" xfId="3237"/>
    <cellStyle name="输出 2 4 2 5" xfId="3238"/>
    <cellStyle name="强调文字颜色 2 3 2 4 2" xfId="3239"/>
    <cellStyle name="标题 3 2 4 4 2 2" xfId="3240"/>
    <cellStyle name="汇总 2 8 4 7" xfId="3241"/>
    <cellStyle name="20% - 强调文字颜色 3 2 2 2 2 2 5 2 2" xfId="3242"/>
    <cellStyle name="60% - 强调文字颜色 4 2 2 2 4 2 2 2" xfId="3243"/>
    <cellStyle name="强调文字颜色 5 2 6 4" xfId="3244"/>
    <cellStyle name="好 2 2 2 2 5 2" xfId="3245"/>
    <cellStyle name="注释 2 10 3 2" xfId="3246"/>
    <cellStyle name="适中 2 2 2 3 2 2 2" xfId="3247"/>
    <cellStyle name="20% - 强调文字颜色 5 2 2 2 3 3 2 2" xfId="3248"/>
    <cellStyle name="输出 2 3 2 2 2 3" xfId="3249"/>
    <cellStyle name="20% - 强调文字颜色 2 3 5" xfId="3250"/>
    <cellStyle name="汇总 2 2 5 5 2 2" xfId="3251"/>
    <cellStyle name="60% - 强调文字颜色 1 2 2 2 5 2 2 2" xfId="3252"/>
    <cellStyle name="汇总 2 2 2 6 5" xfId="3253"/>
    <cellStyle name="输入 2 2 8 2 3 2" xfId="3254"/>
    <cellStyle name="60% - 强调文字颜色 2 3 8" xfId="3255"/>
    <cellStyle name="好 2 3 2 4 3 2" xfId="3256"/>
    <cellStyle name="输入 2 5 2 5 3" xfId="3257"/>
    <cellStyle name="40% - 强调文字颜色 6 2 6 2" xfId="3258"/>
    <cellStyle name="计算 2 2 6 2 2 6 2" xfId="3259"/>
    <cellStyle name="计算 2 2 3 2 8" xfId="3260"/>
    <cellStyle name="60% - 强调文字颜色 1 2 5" xfId="3261"/>
    <cellStyle name="计算 3 3 3 3 2" xfId="3262"/>
    <cellStyle name="检查单元格 2 3 2 2 2 2 2 2" xfId="3263"/>
    <cellStyle name="计算 3 2 2 5 2" xfId="3264"/>
    <cellStyle name="40% - 强调文字颜色 5 2 7 3 2" xfId="3265"/>
    <cellStyle name="40% - 强调文字颜色 5 2 3 3 3 2 2" xfId="3266"/>
    <cellStyle name="20% - 强调文字颜色 6 2 9" xfId="3267"/>
    <cellStyle name="强调文字颜色 4 2 2 4 2 3 2" xfId="3268"/>
    <cellStyle name="注释 2 6 4 2 2" xfId="3269"/>
    <cellStyle name="标题 2 3 3 3 2 2" xfId="3270"/>
    <cellStyle name="标题 3 2 2 5 3 2" xfId="3271"/>
    <cellStyle name="输入 2 10 5" xfId="3272"/>
    <cellStyle name="标题 4 2" xfId="3273"/>
    <cellStyle name="40% - 强调文字颜色 4 4 2 2 2" xfId="3274"/>
    <cellStyle name="输入 2 2 4 2 4 2 2" xfId="3275"/>
    <cellStyle name="输入 2 4 3 7" xfId="3276"/>
    <cellStyle name="常规 8 2 4 3" xfId="3277"/>
    <cellStyle name="输出 2 3 2 3 2" xfId="3278"/>
    <cellStyle name="40% - 强调文字颜色 2 2 2 2 2 3 3 2" xfId="3279"/>
    <cellStyle name="汇总 2 5 2 3 2 4 3" xfId="3280"/>
    <cellStyle name="注释 2 4 3 7" xfId="3281"/>
    <cellStyle name="强调文字颜色 1 3 4 2" xfId="3282"/>
    <cellStyle name="汇总 2 2 9 2 2 3" xfId="3283"/>
    <cellStyle name="40% - 强调文字颜色 5 2 4 2 2" xfId="3284"/>
    <cellStyle name="常规 9 2 2 5 2 2" xfId="3285"/>
    <cellStyle name="汇总 2 2 3 4 6 2" xfId="3286"/>
    <cellStyle name="强调文字颜色 5 2 5 3" xfId="3287"/>
    <cellStyle name="好 2 3 2 2 2 2 2" xfId="3288"/>
    <cellStyle name="20% - 强调文字颜色 3 2 2 2 2 2 3 3" xfId="3289"/>
    <cellStyle name="40% - 强调文字颜色 4 2 2 2 2 4 2 2 2" xfId="3290"/>
    <cellStyle name="注释 2 3 3 4 2" xfId="3291"/>
    <cellStyle name="60% - 强调文字颜色 6 2 2 2 7" xfId="3292"/>
    <cellStyle name="汇总 2 2 4 2 3 5" xfId="3293"/>
    <cellStyle name="计算 2 2 10 5" xfId="3294"/>
    <cellStyle name="输入 2 2 3 3 3 2 2" xfId="3295"/>
    <cellStyle name="计算 2 2 9 2 2 2 2" xfId="3296"/>
    <cellStyle name="汇总 2 2 5 2 2 2 8" xfId="3297"/>
    <cellStyle name="20% - 强调文字颜色 2 2 2 2 6 2 2 2" xfId="3298"/>
    <cellStyle name="汇总 2 4 3 4" xfId="3299"/>
    <cellStyle name="40% - 强调文字颜色 4 3 3 4 2" xfId="3300"/>
    <cellStyle name="40% - 强调文字颜色 6 4 3 2" xfId="3301"/>
    <cellStyle name="输入 2 2 6 2 5 2" xfId="3302"/>
    <cellStyle name="常规 5 2 2 2 2 3 2 2" xfId="3303"/>
    <cellStyle name="常规 5 4 2 5 2 2" xfId="3304"/>
    <cellStyle name="60% - 强调文字颜色 6 2 4 2 2" xfId="3305"/>
    <cellStyle name="40% - 强调文字颜色 2 2 4 7" xfId="3306"/>
    <cellStyle name="40% - 强调文字颜色 5 4 2 2 2 2 2" xfId="3307"/>
    <cellStyle name="40% - 强调文字颜色 3 2 2 2 2 4 2 2 2" xfId="3308"/>
    <cellStyle name="标题 4 2 2 2 2 7" xfId="3309"/>
    <cellStyle name="输出 2 2 3 2 4 2 4" xfId="3310"/>
    <cellStyle name="强调文字颜色 2 2 2 2 7" xfId="3311"/>
    <cellStyle name="20% - 强调文字颜色 1 3 7" xfId="3312"/>
    <cellStyle name="输出 2 5 4 2 2" xfId="3313"/>
    <cellStyle name="常规 2 4 2 2 2" xfId="3314"/>
    <cellStyle name="20% - 强调文字颜色 5 4 2 2 2 2" xfId="3315"/>
    <cellStyle name="40% - 强调文字颜色 5 3 2 4 2 2 2" xfId="3316"/>
    <cellStyle name="汇总 2 6 2 3 3 2 2" xfId="3317"/>
    <cellStyle name="40% - 强调文字颜色 2 2 2 3 5 2 2" xfId="3318"/>
    <cellStyle name="20% - 强调文字颜色 2 3 2 3 2 2 2" xfId="3319"/>
    <cellStyle name="20% - 强调文字颜色 5 3 2 2 2" xfId="3320"/>
    <cellStyle name="超链接 2 3 2 4" xfId="3321"/>
    <cellStyle name="适中 2 3 2 2 2 2 3" xfId="3322"/>
    <cellStyle name="好 3" xfId="3323"/>
    <cellStyle name="60% - 强调文字颜色 2 2 3 2 2 3" xfId="3324"/>
    <cellStyle name="输入 2 5 2 10" xfId="3325"/>
    <cellStyle name="40% - 强调文字颜色 4 3 4 2 2 2" xfId="3326"/>
    <cellStyle name="20% - 强调文字颜色 2 3 2 4 2" xfId="3327"/>
    <cellStyle name="注释 2 2 8 3 3" xfId="3328"/>
    <cellStyle name="输出 2 5 2 5" xfId="3329"/>
    <cellStyle name="汇总 2 2 8 5 4" xfId="3330"/>
    <cellStyle name="标题 5 9 2" xfId="3331"/>
    <cellStyle name="Normal 2 4 2" xfId="3332"/>
    <cellStyle name="常规 2 3 2 2 4 2 2" xfId="3333"/>
    <cellStyle name="输出 2 5 2 9" xfId="3334"/>
    <cellStyle name="20% - 强调文字颜色 1 2 5 3 3 2" xfId="3335"/>
    <cellStyle name="40% - 强调文字颜色 5 2 5 4 2" xfId="3336"/>
    <cellStyle name="注释 2 2 2 4 2 3 2" xfId="3337"/>
    <cellStyle name="计算 2 2 5 2 3 7" xfId="3338"/>
    <cellStyle name="标题 1 2 2 3 3 2 2" xfId="3339"/>
    <cellStyle name="强调文字颜色 3 2 2 5 2" xfId="3340"/>
    <cellStyle name="差 4 2 2 2" xfId="3341"/>
    <cellStyle name="计算 2 5 4 2 2 2 2" xfId="3342"/>
    <cellStyle name="输入 3 3 2 4" xfId="3343"/>
    <cellStyle name="20% - 强调文字颜色 3 2 3 2 4 2 2 2" xfId="3344"/>
    <cellStyle name="输入 2 5 2 6 3" xfId="3345"/>
    <cellStyle name="注释 2 2 2 3 3 2 2" xfId="3346"/>
    <cellStyle name="标题 6 2 2 3 3" xfId="3347"/>
    <cellStyle name="40% - 强调文字颜色 5 2 3 2 2 2 2" xfId="3348"/>
    <cellStyle name="常规 8 3 3 3" xfId="3349"/>
    <cellStyle name="输入 2 2 4 2 2 2 4 2" xfId="3350"/>
    <cellStyle name="60% - 强调文字颜色 3 2 3 5 2 2 2" xfId="3351"/>
    <cellStyle name="汇总 2 2 14" xfId="3352"/>
    <cellStyle name="计算 2 9 5" xfId="3353"/>
    <cellStyle name="适中 2 3 7" xfId="3354"/>
    <cellStyle name="20% - 强调文字颜色 5 2 2 2 5 2 2" xfId="3355"/>
    <cellStyle name="40% - 强调文字颜色 5 2 4 7" xfId="3356"/>
    <cellStyle name="40% - 强调文字颜色 1 3 5" xfId="3357"/>
    <cellStyle name="40% - 强调文字颜色 1 2 3 5 2 2" xfId="3358"/>
    <cellStyle name="汇总 2 6 4 2 2 2 2" xfId="3359"/>
    <cellStyle name="20% - 强调文字颜色 5 2 2 3 3 2" xfId="3360"/>
    <cellStyle name="输出 2 2 5 2 4 2" xfId="3361"/>
    <cellStyle name="20% - 强调文字颜色 4 2 2 5 3 2 2" xfId="3362"/>
    <cellStyle name="汇总 2 2 5 3 5 2 2" xfId="3363"/>
    <cellStyle name="强调文字颜色 2 2 9" xfId="3364"/>
    <cellStyle name="40% - 强调文字颜色 6 2 2 2 2 2 5" xfId="3365"/>
    <cellStyle name="60% - 强调文字颜色 5 2 2 4 5 2 2" xfId="3366"/>
    <cellStyle name="标题 4 2 2 2 4 2 2" xfId="3367"/>
    <cellStyle name="20% - 强调文字颜色 4 2 2 2 3 2 2 2" xfId="3368"/>
    <cellStyle name="标题 1 2 2 4 5 2" xfId="3369"/>
    <cellStyle name="强调文字颜色 1 2 4 2 2" xfId="3370"/>
    <cellStyle name="检查单元格 2 4 2 2 2" xfId="3371"/>
    <cellStyle name="汇总 2 2 6 4 4 3" xfId="3372"/>
    <cellStyle name="40% - 强调文字颜色 5 3 2 2 4" xfId="3373"/>
    <cellStyle name="常规 3 3 6" xfId="3374"/>
    <cellStyle name="输入 2 2 2 4 2 2" xfId="3375"/>
    <cellStyle name="40% - 强调文字颜色 2 2 2 3 2 2 2 2 2" xfId="3376"/>
    <cellStyle name="计算 3 7 3" xfId="3377"/>
    <cellStyle name="强调文字颜色 5 2 3 2 2 2 2 3" xfId="3378"/>
    <cellStyle name="常规 4 4 4 3 2 2" xfId="3379"/>
    <cellStyle name="60% - 强调文字颜色 6 3" xfId="3380"/>
    <cellStyle name="40% - 强调文字颜色 5 2 3 2 2 2 3" xfId="3381"/>
    <cellStyle name="强调文字颜色 6 2 2 4 5" xfId="3382"/>
    <cellStyle name="汇总 2 7 2 5" xfId="3383"/>
    <cellStyle name="汇总 2 2 4 10 2 2" xfId="3384"/>
    <cellStyle name="20% - 强调文字颜色 6 2 2 8 2" xfId="3385"/>
    <cellStyle name="标题 4 2 2 3 2 2 2" xfId="3386"/>
    <cellStyle name="汇总 2 2 4 2 3 2 4 2 2" xfId="3387"/>
    <cellStyle name="标题 1 2 2 3 2 2 2 3" xfId="3388"/>
    <cellStyle name="计算 2 2 10 2 5" xfId="3389"/>
    <cellStyle name="60% - 强调文字颜色 6 2 2 2 6 2 2" xfId="3390"/>
    <cellStyle name="汇总 2 2 4 2 3 4 2 2" xfId="3391"/>
    <cellStyle name="计算 2 2 10 4 2 2" xfId="3392"/>
    <cellStyle name="汇总 2 2 3 2 2 5" xfId="3393"/>
    <cellStyle name="注释 2 2 3 3 2" xfId="3394"/>
    <cellStyle name="输入 2 2 2 14" xfId="3395"/>
    <cellStyle name="强调文字颜色 5 2 2 5 4" xfId="3396"/>
    <cellStyle name="40% - 强调文字颜色 2 3 2 2 4" xfId="3397"/>
    <cellStyle name="输入 2 7 3 2 5" xfId="3398"/>
    <cellStyle name="40% - 强调文字颜色 2 2 3 4 3 2 2" xfId="3399"/>
    <cellStyle name="20% - 强调文字颜色 5 3 2 4 2 2 2" xfId="3400"/>
    <cellStyle name="20% - 强调文字颜色 5 2 2 3 2 2 2" xfId="3401"/>
    <cellStyle name="计算 2 4 4 2 4 2 2" xfId="3402"/>
    <cellStyle name="标题 4 3 9" xfId="3403"/>
    <cellStyle name="计算 2 4 3 2 2" xfId="3404"/>
    <cellStyle name="40% - 强调文字颜色 1 2 2 3 5 2" xfId="3405"/>
    <cellStyle name="输入 2 6 2 2 4 3" xfId="3406"/>
    <cellStyle name="20% - 强调文字颜色 4 3 2 2 3 2" xfId="3407"/>
    <cellStyle name="注释 2 2 4 4 3" xfId="3408"/>
    <cellStyle name="常规 11 2 2 3" xfId="3409"/>
    <cellStyle name="标题 5 3 2 2 3 3" xfId="3410"/>
    <cellStyle name="40% - 强调文字颜色 3 2 4 3 2" xfId="3411"/>
    <cellStyle name="强调文字颜色 2 2 2 2 2 2 2 2 2 2" xfId="3412"/>
    <cellStyle name="百分比 2 3 4 2 2" xfId="3413"/>
    <cellStyle name="40% - 强调文字颜色 6 2 3 2" xfId="3414"/>
    <cellStyle name="常规 4 4 4" xfId="3415"/>
    <cellStyle name="注释 2 3 10" xfId="3416"/>
    <cellStyle name="适中 2 2 2 5 2 2 2" xfId="3417"/>
    <cellStyle name="常规 6 2 2 4" xfId="3418"/>
    <cellStyle name="20% - 强调文字颜色 4 4 2 2 2" xfId="3419"/>
    <cellStyle name="注释 2 2 8 2 5" xfId="3420"/>
    <cellStyle name="汇总 2 2 2 2 9 2" xfId="3421"/>
    <cellStyle name="20% - 强调文字颜色 4 2 2 3 3 3 2" xfId="3422"/>
    <cellStyle name="20% - 强调文字颜色 6 2 3 2 2 2 3 2" xfId="3423"/>
    <cellStyle name="计算 3 3 4 2 2" xfId="3424"/>
    <cellStyle name="20% - 强调文字颜色 4 2 3 2 4 2" xfId="3425"/>
    <cellStyle name="60% - 强调文字颜色 5 2 4 4 3 2" xfId="3426"/>
    <cellStyle name="常规 2 2 2 4 2 2 2" xfId="3427"/>
    <cellStyle name="20% - 强调文字颜色 3 4 2 2 2 2" xfId="3428"/>
    <cellStyle name="强调文字颜色 3 2 2 2 2 2 2 2" xfId="3429"/>
    <cellStyle name="60% - 强调文字颜色 6 3 3 3 2 2" xfId="3430"/>
    <cellStyle name="60% - 强调文字颜色 2 2 2 2 3 2 2 2 2 2" xfId="3431"/>
    <cellStyle name="注释 2 6 2 2 2 2" xfId="3432"/>
    <cellStyle name="注释 2 2 3 9 2" xfId="3433"/>
    <cellStyle name="40% - 强调文字颜色 3 4 5" xfId="3434"/>
    <cellStyle name="输入 2 2 3 2 7" xfId="3435"/>
    <cellStyle name="40% - 强调文字颜色 5 2 2 2 4 2" xfId="3436"/>
    <cellStyle name="检查单元格 2 3 2 2 2 2" xfId="3437"/>
    <cellStyle name="40% - 强调文字颜色 6 2 3 5 2" xfId="3438"/>
    <cellStyle name="60% - 强调文字颜色 5 2 2 7" xfId="3439"/>
    <cellStyle name="计算 2 2 4 3 2 2" xfId="3440"/>
    <cellStyle name="汇总 2 2 7 4 4 2" xfId="3441"/>
    <cellStyle name="计算 2 2 8 4 2" xfId="3442"/>
    <cellStyle name="输入 2 2 2 5 3" xfId="3443"/>
    <cellStyle name="60% - 强调文字颜色 6 2" xfId="3444"/>
    <cellStyle name="计算 2 4 2 3 7" xfId="3445"/>
    <cellStyle name="20% - 强调文字颜色 3 3" xfId="3446"/>
    <cellStyle name="好 2 2 2 5" xfId="3447"/>
    <cellStyle name="注释 2 2 7 2 3 2" xfId="3448"/>
    <cellStyle name="强调文字颜色 2 2 4 2" xfId="3449"/>
    <cellStyle name="注释 2 4 2 3 8" xfId="3450"/>
    <cellStyle name="常规 10 3 5 2" xfId="3451"/>
    <cellStyle name="40% - 强调文字颜色 3 2 4 4" xfId="3452"/>
    <cellStyle name="20% - 强调文字颜色 1 2 3 2 2 3 2" xfId="3453"/>
    <cellStyle name="40% - 强调文字颜色 3 2 2 2 2 2 3 2 2 2" xfId="3454"/>
    <cellStyle name="汇总 2 2 5 4 6" xfId="3455"/>
    <cellStyle name="输入 2 5 2 3 3 3" xfId="3456"/>
    <cellStyle name="40% - 强调文字颜色 1 2 2 2 2 2 3" xfId="3457"/>
    <cellStyle name="20% - 强调文字颜色 4 2 2 3 2 2" xfId="3458"/>
    <cellStyle name="20% - 强调文字颜色 2 2 4" xfId="3459"/>
    <cellStyle name="40% - 强调文字颜色 6 2 3 6 2 2" xfId="3460"/>
    <cellStyle name="60% - 强调文字颜色 5 2 3 7 2" xfId="3461"/>
    <cellStyle name="20% - 强调文字颜色 4 2 2 5 3" xfId="3462"/>
    <cellStyle name="强调文字颜色 6 2 2 2 4 2 2 2" xfId="3463"/>
    <cellStyle name="计算 2 2 4 3 3 2 2" xfId="3464"/>
    <cellStyle name="超链接 3 4 2 2 2 2" xfId="3465"/>
    <cellStyle name="60% - 强调文字颜色 4 2 2 4 5 2 2" xfId="3466"/>
    <cellStyle name="输出 2 4 2 3 3 3" xfId="3467"/>
    <cellStyle name="40% - 强调文字颜色 4 2 3 6 2 2 2" xfId="3468"/>
    <cellStyle name="强调文字颜色 3 2 4 2 2 3" xfId="3469"/>
    <cellStyle name="计算 3 2 3 2" xfId="3470"/>
    <cellStyle name="40% - 强调文字颜色 1 2 3 2 3 2 2 2" xfId="3471"/>
    <cellStyle name="20% - 强调文字颜色 6 3 4 2" xfId="3472"/>
    <cellStyle name="20% - 强调文字颜色 6 2 2 2 4 3 2 2" xfId="3473"/>
    <cellStyle name="常规 6 3 2 2 4 3 2" xfId="3474"/>
    <cellStyle name="20% - 强调文字颜色 4 3 2 5 2" xfId="3475"/>
    <cellStyle name="解释性文本 2 3 3" xfId="3476"/>
    <cellStyle name="40% - 强调文字颜色 2 2 5 2 3 2" xfId="3477"/>
    <cellStyle name="40% - 强调文字颜色 5 2 3 4 3 2" xfId="3478"/>
    <cellStyle name="20% - 强调文字颜色 4 2 2 3 5" xfId="3479"/>
    <cellStyle name="计算 3 2 5 3" xfId="3480"/>
    <cellStyle name="60% - 强调文字颜色 2 3 5 2 2" xfId="3481"/>
    <cellStyle name="计算 2 2 7 3 2 7" xfId="3482"/>
    <cellStyle name="40% - 强调文字颜色 6 2 4 2 2" xfId="3483"/>
    <cellStyle name="常规 4 5 4 2" xfId="3484"/>
    <cellStyle name="强调文字颜色 6 2 2 7" xfId="3485"/>
    <cellStyle name="汇总 2 7 5" xfId="3486"/>
    <cellStyle name="注释 2 4 2 5" xfId="3487"/>
    <cellStyle name="60% - 强调文字颜色 5 2 2 5 3 2" xfId="3488"/>
    <cellStyle name="40% - 强调文字颜色 1 2 4 4 2" xfId="3489"/>
    <cellStyle name="40% - 强调文字颜色 4 2 3 2 2 5 2 2" xfId="3490"/>
    <cellStyle name="标题 6 3 4" xfId="3491"/>
    <cellStyle name="输入 2 2 6 8 2" xfId="3492"/>
    <cellStyle name="40% - 强调文字颜色 5 2 2 4 2" xfId="3493"/>
    <cellStyle name="60% - 强调文字颜色 5 4" xfId="3494"/>
    <cellStyle name="检查单元格 2 2 6 3 2" xfId="3495"/>
    <cellStyle name="输出 2 2 6 6 2" xfId="3496"/>
    <cellStyle name="40% - 强调文字颜色 5 2 2 5 3 2 2" xfId="3497"/>
    <cellStyle name="计算 2 4 2 5 2" xfId="3498"/>
    <cellStyle name="注释 2 5 4 2 2 2 2" xfId="3499"/>
    <cellStyle name="汇总 2 2 4 2 15" xfId="3500"/>
    <cellStyle name="汇总 2 2 8 9 2" xfId="3501"/>
    <cellStyle name="警告文本 2 2 2 2 2 2" xfId="3502"/>
    <cellStyle name="标题 6 2 2 3 2 2 2" xfId="3503"/>
    <cellStyle name="40% - 强调文字颜色 6 2 4 3 3 2" xfId="3504"/>
    <cellStyle name="强调文字颜色 1 2 2 4 2 2 2" xfId="3505"/>
    <cellStyle name="输入 2 9 4 2 2" xfId="3506"/>
    <cellStyle name="输出 2 6 2 2 6" xfId="3507"/>
    <cellStyle name="超链接 3 5 3 2 2" xfId="3508"/>
    <cellStyle name="检查单元格 2 2 3 3 2 2" xfId="3509"/>
    <cellStyle name="40% - 强调文字颜色 5 3 4 2 2 2" xfId="3510"/>
    <cellStyle name="60% - 强调文字颜色 3 2 3 2 2 3" xfId="3511"/>
    <cellStyle name="标题 3 3 2 2 3 2 2" xfId="3512"/>
    <cellStyle name="输入 2 2 6 9" xfId="3513"/>
    <cellStyle name="注释 2 6 4 2 2 2" xfId="3514"/>
    <cellStyle name="60% - 强调文字颜色 2 4 3 2" xfId="3515"/>
    <cellStyle name="20% - 强调文字颜色 6 2 2 3 6" xfId="3516"/>
    <cellStyle name="标题 1 2 2 2 2 4 4" xfId="3517"/>
    <cellStyle name="20% - 强调文字颜色 6 2 9 2" xfId="3518"/>
    <cellStyle name="计算 2 5 2 2 5" xfId="3519"/>
    <cellStyle name="40% - 强调文字颜色 4 2 2 2 2 5 2 2 2" xfId="3520"/>
    <cellStyle name="输出 2 2 4 2 2 3 2 2" xfId="3521"/>
    <cellStyle name="输出 2 9 2 3" xfId="3522"/>
    <cellStyle name="注释 2 2 4 2 6 2" xfId="3523"/>
    <cellStyle name="汇总 2 2 4 3 2 4 2" xfId="3524"/>
    <cellStyle name="计算 2 2 3 4 2 3" xfId="3525"/>
    <cellStyle name="40% - 强调文字颜色 4 3 2 2 2" xfId="3526"/>
    <cellStyle name="检查单元格 2 2 2 3 7" xfId="3527"/>
    <cellStyle name="40% - 强调文字颜色 6 3 2" xfId="3528"/>
    <cellStyle name="计算 2 2 2 4 2 6" xfId="3529"/>
    <cellStyle name="计算 2 2 6 2 9" xfId="3530"/>
    <cellStyle name="60% - 强调文字颜色 4 2 6" xfId="3531"/>
    <cellStyle name="60% - 强调文字颜色 2 3 3 4" xfId="3532"/>
    <cellStyle name="输出 2 4 3 2 2 2 3" xfId="3533"/>
    <cellStyle name="40% - 强调文字颜色 6 2 4 2 2 2" xfId="3534"/>
    <cellStyle name="计算 2 8 3 2" xfId="3535"/>
    <cellStyle name="适中 2 2 5 2" xfId="3536"/>
    <cellStyle name="输出 4 2 4 2" xfId="3537"/>
    <cellStyle name="汇总 2 2 2 2 4 3 2" xfId="3538"/>
    <cellStyle name="解释性文本 5 2 2" xfId="3539"/>
    <cellStyle name="标题 1 2 2 3 2 3" xfId="3540"/>
    <cellStyle name="40% - 强调文字颜色 6 2 5 2 3" xfId="3541"/>
    <cellStyle name="汇总 2 8 2 2 4" xfId="3542"/>
    <cellStyle name="60% - 强调文字颜色 5 3 2" xfId="3543"/>
    <cellStyle name="常规 5 3 3 3" xfId="3544"/>
    <cellStyle name="20% - 强调文字颜色 4 2 8" xfId="3545"/>
    <cellStyle name="标题 6 3 3 2 2" xfId="3546"/>
    <cellStyle name="输入 2 2 4 2 10 2" xfId="3547"/>
    <cellStyle name="超链接 2 3 2 2 2" xfId="3548"/>
    <cellStyle name="注释 2 5 3 2 2 3" xfId="3549"/>
    <cellStyle name="检查单元格 2 2 6 2" xfId="3550"/>
    <cellStyle name="60% - 强调文字颜色 2 2 2 2 2 4 2 2 2" xfId="3551"/>
    <cellStyle name="强调文字颜色 5 2 2 3 6" xfId="3552"/>
    <cellStyle name="20% - 强调文字颜色 3 4 2 3 2 2 2" xfId="3553"/>
    <cellStyle name="40% - 强调文字颜色 4 2 2 2 2 2 3 3 2 2" xfId="3554"/>
    <cellStyle name="输出 2 2 2 3 2 4" xfId="3555"/>
    <cellStyle name="强调文字颜色 4 3 4" xfId="3556"/>
    <cellStyle name="汇总 2 5 4 2 7" xfId="3557"/>
    <cellStyle name="强调文字颜色 2 2 2 6 4" xfId="3558"/>
    <cellStyle name="输出 2 7 7" xfId="3559"/>
    <cellStyle name="常规 12 2 6 2 2" xfId="3560"/>
    <cellStyle name="强调文字颜色 2 3 10" xfId="3561"/>
    <cellStyle name="40% - 强调文字颜色 3 2 2 2 4 2" xfId="3562"/>
    <cellStyle name="注释 2 2 2 3 5 2" xfId="3563"/>
    <cellStyle name="20% - 强调文字颜色 5 6 2" xfId="3564"/>
    <cellStyle name="20% - 强调文字颜色 6 2 2 4 2" xfId="3565"/>
    <cellStyle name="计算 2 4 8" xfId="3566"/>
    <cellStyle name="汇总 2 2 3 2 2 3 2 2" xfId="3567"/>
    <cellStyle name="20% - 强调文字颜色 4 2 2 2 3 2 2 2 2 2" xfId="3568"/>
    <cellStyle name="标题 1 2 2 9 2" xfId="3569"/>
    <cellStyle name="60% - 强调文字颜色 1 6 2 2" xfId="3570"/>
    <cellStyle name="输入 2 8 2 6" xfId="3571"/>
    <cellStyle name="注释 4 2 8" xfId="3572"/>
    <cellStyle name="输入 2 2 14 2 2" xfId="3573"/>
    <cellStyle name="输出 2 8 6 2" xfId="3574"/>
    <cellStyle name="注释 2 3 2 7" xfId="3575"/>
    <cellStyle name="40% - 强调文字颜色 5 2 6 2 2 2" xfId="3576"/>
    <cellStyle name="标题 2 3 2 2 2 2 3" xfId="3577"/>
    <cellStyle name="汇总 2 2 5 5 3 2" xfId="3578"/>
    <cellStyle name="链接单元格 2 4 2 2 2 3" xfId="3579"/>
    <cellStyle name="40% - 强调文字颜色 5 2 3 2 2 5 2" xfId="3580"/>
    <cellStyle name="汇总 2 2 6 3 2 2 2" xfId="3581"/>
    <cellStyle name="40% - 强调文字颜色 6 2 5 3 2 2 2" xfId="3582"/>
    <cellStyle name="标题 3 2 2 6" xfId="3583"/>
    <cellStyle name="计算 2 2 2 4 4 3" xfId="3584"/>
    <cellStyle name="计算 2 2 6 4 6" xfId="3585"/>
    <cellStyle name="60% - 强调文字颜色 6 2 2 2 3 3 2" xfId="3586"/>
    <cellStyle name="注释 2 2 6 2 4" xfId="3587"/>
    <cellStyle name="强调文字颜色 1 2 4 4 2 2 2" xfId="3588"/>
    <cellStyle name="注释 4 2 2 2 2 2" xfId="3589"/>
    <cellStyle name="注释 3 3 3 3" xfId="3590"/>
    <cellStyle name="标题 4 2 2 2 2 2 2 2" xfId="3591"/>
    <cellStyle name="超链接 3 2 4 2 2" xfId="3592"/>
    <cellStyle name="40% - 强调文字颜色 1 2 4 2 2 2" xfId="3593"/>
    <cellStyle name="注释 2 2 3 2 4 6" xfId="3594"/>
    <cellStyle name="20% - 强调文字颜色 3 3 2 4" xfId="3595"/>
    <cellStyle name="汇总 2 4 4 2 2 2" xfId="3596"/>
    <cellStyle name="强调文字颜色 1 2 2 6 2 2 2" xfId="3597"/>
    <cellStyle name="计算 2 2 6 6 4 2" xfId="3598"/>
    <cellStyle name="注释 2 2 7 6" xfId="3599"/>
    <cellStyle name="汇总 2 2 6 10 3" xfId="3600"/>
    <cellStyle name="检查单元格 2 2 5 3 2 2" xfId="3601"/>
    <cellStyle name="适中 2 2 2 2 2 4" xfId="3602"/>
    <cellStyle name="40% - 强调文字颜色 5 2 2 2 2 2" xfId="3603"/>
    <cellStyle name="40% - 强调文字颜色 3 2 5" xfId="3604"/>
    <cellStyle name="计算 2 7 2 2 2 5" xfId="3605"/>
    <cellStyle name="适中 2 2 6 3 3" xfId="3606"/>
    <cellStyle name="计算 2 8 4 3 3" xfId="3607"/>
    <cellStyle name="输出 2 5 4 3" xfId="3608"/>
    <cellStyle name="20% - 强调文字颜色 6 2 2 2 2 2 2 2 2" xfId="3609"/>
    <cellStyle name="汇总 2 2 2 3 2 2" xfId="3610"/>
    <cellStyle name="40% - 强调文字颜色 3 2 2 9" xfId="3611"/>
    <cellStyle name="百分比 2 2 2 5" xfId="3612"/>
    <cellStyle name="60% - 强调文字颜色 6 2 2 4 3 4" xfId="3613"/>
    <cellStyle name="常规 11 2 2 3 2 2" xfId="3614"/>
    <cellStyle name="输入 2 2 4 2 3 2 2 3" xfId="3615"/>
    <cellStyle name="20% - 强调文字颜色 6 5 2 2 2 2" xfId="3616"/>
    <cellStyle name="60% - 强调文字颜色 4 2 2 3 8" xfId="3617"/>
    <cellStyle name="60% - 强调文字颜色 5 2 3 4 3 2" xfId="3618"/>
    <cellStyle name="40% - 强调文字颜色 1 3 3 4 2" xfId="3619"/>
    <cellStyle name="汇总 2 2 2 2 2 2 8" xfId="3620"/>
    <cellStyle name="标题 2 2 2 2 3 4" xfId="3621"/>
    <cellStyle name="解释性文本 2 2 5 3" xfId="3622"/>
    <cellStyle name="20% - 强调文字颜色 3 2 5 4 2 2" xfId="3623"/>
    <cellStyle name="60% - 强调文字颜色 4 2 4 8" xfId="3624"/>
    <cellStyle name="计算 2 2 3 3 4 3" xfId="3625"/>
    <cellStyle name="强调文字颜色 2 2 4 4 4" xfId="3626"/>
    <cellStyle name="好 2 4 6 2 2" xfId="3627"/>
    <cellStyle name="计算 2 3 3 4 3" xfId="3628"/>
    <cellStyle name="20% - 强调文字颜色 1 2 2 2 2 2 5" xfId="3629"/>
    <cellStyle name="强调文字颜色 1 2 2 5 2 2" xfId="3630"/>
    <cellStyle name="检查单元格 2 2 4 3 2" xfId="3631"/>
    <cellStyle name="标题 1 3 3 2 2 2" xfId="3632"/>
    <cellStyle name="强调文字颜色 2 2 2 2 4 2 3" xfId="3633"/>
    <cellStyle name="注释 2 2 6 6 2 2" xfId="3634"/>
    <cellStyle name="60% - 强调文字颜色 1 2 2 4 4 2 2" xfId="3635"/>
    <cellStyle name="常规 4 6 2 3 3" xfId="3636"/>
    <cellStyle name="20% - 强调文字颜色 3 3 3 2 2" xfId="3637"/>
    <cellStyle name="40% - 强调文字颜色 3 2 2 2 2 4 3" xfId="3638"/>
    <cellStyle name="汇总 2 2 5 9" xfId="3639"/>
    <cellStyle name="汇总 2 6 5 4 2" xfId="3640"/>
    <cellStyle name="计算 2 2 3 3 2 2 2 2" xfId="3641"/>
    <cellStyle name="60% - 强调文字颜色 4 2 2 7 2 2" xfId="3642"/>
    <cellStyle name="20% - 强调文字颜色 2 2 3 2 3 2" xfId="3643"/>
    <cellStyle name="标题 2 2 4 2 2 2 2" xfId="3644"/>
    <cellStyle name="适中 4 2 4" xfId="3645"/>
    <cellStyle name="计算 4 8 2" xfId="3646"/>
    <cellStyle name="计算 2 2 6 5 3 2" xfId="3647"/>
    <cellStyle name="汇总 2 7 2 6 2 2" xfId="3648"/>
    <cellStyle name="20% - 强调文字颜色 3 3 3 3 2 2 2" xfId="3649"/>
    <cellStyle name="输出 2 2 3 2 4 4" xfId="3650"/>
    <cellStyle name="注释 2 2 11 3" xfId="3651"/>
    <cellStyle name="常规 2 2 3 2 2" xfId="3652"/>
    <cellStyle name="检查单元格 2 6 4" xfId="3653"/>
    <cellStyle name="40% - 强调文字颜色 6 2 2 2 2 2 4 2" xfId="3654"/>
    <cellStyle name="60% - 强调文字颜色 6 2 2 2 3 2 3" xfId="3655"/>
    <cellStyle name="常规 5 3 3 2" xfId="3656"/>
    <cellStyle name="输入 2 2 3 4 8" xfId="3657"/>
    <cellStyle name="60% - 强调文字颜色 4 2 2 2 2 5 2" xfId="3658"/>
    <cellStyle name="计算 2 3 4 5 2 2" xfId="3659"/>
    <cellStyle name="计算 2 12" xfId="3660"/>
    <cellStyle name="常规 10 2 2 3" xfId="3661"/>
    <cellStyle name="20% - 强调文字颜色 1 3 2 2 2" xfId="3662"/>
    <cellStyle name="输出 2 3 5 2 2" xfId="3663"/>
    <cellStyle name="强调文字颜色 2 2 2 2 2 2 2" xfId="3664"/>
    <cellStyle name="60% - 强调文字颜色 6 2 3 3 3 2" xfId="3665"/>
    <cellStyle name="40% - 强调文字颜色 1 3 6 2" xfId="3666"/>
    <cellStyle name="输入 2 2 10 3 2" xfId="3667"/>
    <cellStyle name="20% - 强调文字颜色 6 3 2 2 3 2 2 2" xfId="3668"/>
    <cellStyle name="链接单元格 2 3 6" xfId="3669"/>
    <cellStyle name="计算 2 5 2 2 3 3" xfId="3670"/>
    <cellStyle name="常规 10 4 2 4" xfId="3671"/>
    <cellStyle name="超链接 2 2 4 2 3 2" xfId="3672"/>
    <cellStyle name="强调文字颜色 3 2 3 3 2 2 2" xfId="3673"/>
    <cellStyle name="常规 5 4 2 2 4 2" xfId="3674"/>
    <cellStyle name="强调文字颜色 4 2 2 2 4 2 2" xfId="3675"/>
    <cellStyle name="20% - 强调文字颜色 2 2 5 5" xfId="3676"/>
    <cellStyle name="计算 2 2 3 2 4 2" xfId="3677"/>
    <cellStyle name="汇总 4 2 2 2 2 2" xfId="3678"/>
    <cellStyle name="输出 2 2 2 2 6 2 2" xfId="3679"/>
    <cellStyle name="标题 3 2 3 5 2 3" xfId="3680"/>
    <cellStyle name="强调文字颜色 2 2 3 4 3" xfId="3681"/>
    <cellStyle name="差 2 3 2 2 2" xfId="3682"/>
    <cellStyle name="20% - 强调文字颜色 2 2 2 2 3 4" xfId="3683"/>
    <cellStyle name="输入 2 6 2 2 3 3" xfId="3684"/>
    <cellStyle name="注释 2 2 4 3 3" xfId="3685"/>
    <cellStyle name="20% - 强调文字颜色 4 3 2 2 2 2" xfId="3686"/>
    <cellStyle name="输出 2 2 6 5 2" xfId="3687"/>
    <cellStyle name="40% - 强调文字颜色 1 4 2 2 2 2 2" xfId="3688"/>
    <cellStyle name="标题 1 2 3 2 2 5" xfId="3689"/>
    <cellStyle name="40% - 强调文字颜色 5 2 4 5 2 2" xfId="3690"/>
    <cellStyle name="常规 5 6 4" xfId="3691"/>
    <cellStyle name="60% - 强调文字颜色 4 3 3 3 2 2" xfId="3692"/>
    <cellStyle name="40% - 强调文字颜色 1 2 10 2" xfId="3693"/>
    <cellStyle name="输入 2 2 7 4 2 2" xfId="3694"/>
    <cellStyle name="60% - 强调文字颜色 4 3 2 3 2 2 2" xfId="3695"/>
    <cellStyle name="40% - 强调文字颜色 6 2 3 2 3 3" xfId="3696"/>
    <cellStyle name="强调文字颜色 4 2 2 3 4 2 2 2" xfId="3697"/>
    <cellStyle name="常规 2 3 2 2 4" xfId="3698"/>
    <cellStyle name="20% - 强调文字颜色 5 2 5 2 2" xfId="3699"/>
    <cellStyle name="计算 2 2 5 4 2 4 3" xfId="3700"/>
    <cellStyle name="标题 4 2 2 4" xfId="3701"/>
    <cellStyle name="常规 10 2 3 3 3 2" xfId="3702"/>
    <cellStyle name="检查单元格 2 2 2 2 8" xfId="3703"/>
    <cellStyle name="20% - 强调文字颜色 1 4 2 2 2" xfId="3704"/>
    <cellStyle name="警告文本 2 2 2 2 8" xfId="3705"/>
    <cellStyle name="适中 3 4 2" xfId="3706"/>
    <cellStyle name="20% - 强调文字颜色 5 4 3" xfId="3707"/>
    <cellStyle name="20% - 强调文字颜色 6 2 2 2 3" xfId="3708"/>
    <cellStyle name="计算 2 2 3 3 9" xfId="3709"/>
    <cellStyle name="强调文字颜色 4 2 2 4 3 2 3" xfId="3710"/>
    <cellStyle name="60% - 强调文字颜色 1 3 6" xfId="3711"/>
    <cellStyle name="好 2 4 4 2" xfId="3712"/>
    <cellStyle name="标题 1 3 5 2 3" xfId="3713"/>
    <cellStyle name="差 3 2 2 3 3" xfId="3714"/>
    <cellStyle name="强调文字颜色 4 2" xfId="3715"/>
    <cellStyle name="标题 3 2 3 4 3" xfId="3716"/>
    <cellStyle name="强调文字颜色 2 2 2 5" xfId="3717"/>
    <cellStyle name="20% - 强调文字颜色 1 6" xfId="3718"/>
    <cellStyle name="超链接 3 2 5" xfId="3719"/>
    <cellStyle name="60% - 强调文字颜色 5 2 2 5 2" xfId="3720"/>
    <cellStyle name="40% - 强调文字颜色 1 2 4 3" xfId="3721"/>
    <cellStyle name="标题 1 2 4 6 2" xfId="3722"/>
    <cellStyle name="60% - 强调文字颜色 5 4 2 2 2 2" xfId="3723"/>
    <cellStyle name="解释性文本 2 2 3 4 2 2" xfId="3724"/>
    <cellStyle name="强调文字颜色 3 2 2 2 2 2 2 2 2 2" xfId="3725"/>
    <cellStyle name="计算 2 2 5 13" xfId="3726"/>
    <cellStyle name="解释性文本 2 2 6 2 2 2" xfId="3727"/>
    <cellStyle name="60% - 强调文字颜色 2 2 2 2 3 6" xfId="3728"/>
    <cellStyle name="输入 2 3 3 2 3 2" xfId="3729"/>
    <cellStyle name="标题 4 2 2 2 4 4" xfId="3730"/>
    <cellStyle name="强调文字颜色 4 3 2 5" xfId="3731"/>
    <cellStyle name="常规 9 3 4 2 3 2" xfId="3732"/>
    <cellStyle name="标题 1 2 3 4 3 2" xfId="3733"/>
    <cellStyle name="20% - 强调文字颜色 1 2 6 2 2 2" xfId="3734"/>
    <cellStyle name="汇总 2 9 3 3 3" xfId="3735"/>
    <cellStyle name="汇总 2 16 2" xfId="3736"/>
    <cellStyle name="注释 2 2 3 2 2 3 2 2 2" xfId="3737"/>
    <cellStyle name="40% - 强调文字颜色 1 2 2 6 2 2" xfId="3738"/>
    <cellStyle name="注释 2 8 2 3" xfId="3739"/>
    <cellStyle name="汇总 2 4 2 2 4 2" xfId="3740"/>
    <cellStyle name="20% - 强调文字颜色 2 2 2 2 2 2 4 2 2" xfId="3741"/>
    <cellStyle name="计算 2 5 2 8 2 2" xfId="3742"/>
    <cellStyle name="计算 2 8 2 6" xfId="3743"/>
    <cellStyle name="适中 2 2 4 6" xfId="3744"/>
    <cellStyle name="强调文字颜色 6 2 8" xfId="3745"/>
    <cellStyle name="常规 13 3 2 4 2 2" xfId="3746"/>
    <cellStyle name="输出 2 6 15" xfId="3747"/>
    <cellStyle name="20% - 强调文字颜色 5 2 2 3 3 2 2 2" xfId="3748"/>
    <cellStyle name="强调文字颜色 4 3 10" xfId="3749"/>
    <cellStyle name="20% - 强调文字颜色 1 4 3" xfId="3750"/>
    <cellStyle name="输入 2 2 2 5 2" xfId="3751"/>
    <cellStyle name="输入 2 2 5 2 4 2 2" xfId="3752"/>
    <cellStyle name="40% - 强调文字颜色 5 4 2 2 2" xfId="3753"/>
    <cellStyle name="40% - 强调文字颜色 5 2 4 2 2 2 2 2" xfId="3754"/>
    <cellStyle name="计算 2 5 3 2 9" xfId="3755"/>
    <cellStyle name="输入 2 2 5 3 5 3" xfId="3756"/>
    <cellStyle name="常规 6 2 2 4 2" xfId="3757"/>
    <cellStyle name="输入 2 2 4 13" xfId="3758"/>
    <cellStyle name="汇总 2 7 2 4 2 2" xfId="3759"/>
    <cellStyle name="计算 2 2 6 3 3 2" xfId="3760"/>
    <cellStyle name="强调文字颜色 6 2 2 4 4 2 2" xfId="3761"/>
    <cellStyle name="计算 2 5 2 3 2 4" xfId="3762"/>
    <cellStyle name="解释性文本 2 4 3 2 3" xfId="3763"/>
    <cellStyle name="20% - 强调文字颜色 5 2 3 4" xfId="3764"/>
    <cellStyle name="计算 2 5 4 2 3 2 2" xfId="3765"/>
    <cellStyle name="注释 2 6 2 2 3" xfId="3766"/>
    <cellStyle name="40% - 强调文字颜色 2 2 2 3 4 3 2" xfId="3767"/>
    <cellStyle name="输出 3 5 2 2" xfId="3768"/>
    <cellStyle name="标题 3 2 3 2 6" xfId="3769"/>
    <cellStyle name="60% - 强调文字颜色 3 2 2 3 7" xfId="3770"/>
    <cellStyle name="常规 9 2 2 2 4" xfId="3771"/>
    <cellStyle name="差 2 2 2 6 2" xfId="3772"/>
    <cellStyle name="汇总 4 2 8" xfId="3773"/>
    <cellStyle name="汇总 2 2 6 2 5 2 2" xfId="3774"/>
    <cellStyle name="适中 2 2 2 2 5" xfId="3775"/>
    <cellStyle name="输入 2 4 4 3 2 2" xfId="3776"/>
    <cellStyle name="计算 2 2 6 16" xfId="3777"/>
    <cellStyle name="60% - 强调文字颜色 6 2 3 2 3 3" xfId="3778"/>
    <cellStyle name="标题 5 3 3 5" xfId="3779"/>
    <cellStyle name="常规 4 4 4 4 2" xfId="3780"/>
    <cellStyle name="20% - 强调文字颜色 1 2 2" xfId="3781"/>
    <cellStyle name="计算 2 2 3 2 3 3 3" xfId="3782"/>
    <cellStyle name="常规 6 2 6 2 2" xfId="3783"/>
    <cellStyle name="40% - 强调文字颜色 2 2 2 2 2 2 4" xfId="3784"/>
    <cellStyle name="检查单元格 2 2 2 2" xfId="3785"/>
    <cellStyle name="注释 2 3 4 3 2 2" xfId="3786"/>
    <cellStyle name="60% - 强调文字颜色 3 3 2 5" xfId="3787"/>
    <cellStyle name="输入 4 4 2" xfId="3788"/>
    <cellStyle name="输入 2 2 7 4 2" xfId="3789"/>
    <cellStyle name="40% - 强调文字颜色 1 2 10" xfId="3790"/>
    <cellStyle name="检查单元格 2 2 2 2 2 5" xfId="3791"/>
    <cellStyle name="40% - 强调文字颜色 2 2 2 2 6 2" xfId="3792"/>
    <cellStyle name="注释 2 8 2 5" xfId="3793"/>
    <cellStyle name="20% - 强调文字颜色 5 2 2 2 2 2 5" xfId="3794"/>
    <cellStyle name="40% - 强调文字颜色 6 3 2 5 2" xfId="3795"/>
    <cellStyle name="汇总 2 8 2 5 3" xfId="3796"/>
    <cellStyle name="40% - 强调文字颜色 6 2 5 5 2" xfId="3797"/>
    <cellStyle name="标题 4 3 2 2 3 3" xfId="3798"/>
    <cellStyle name="40% - 强调文字颜色 6 3 3 2 2" xfId="3799"/>
    <cellStyle name="标题 4 2 2 2 3 7" xfId="3800"/>
    <cellStyle name="40% - 强调文字颜色 5 2 3 6 2 2" xfId="3801"/>
    <cellStyle name="40% - 强调文字颜色 1 2 3 2 3 2 2 2 2" xfId="3802"/>
    <cellStyle name="标题 2 2 3 2 2 2 2 2" xfId="3803"/>
    <cellStyle name="标题 1 4 2 2 2" xfId="3804"/>
    <cellStyle name="强调文字颜色 2 2 2 3 3" xfId="3805"/>
    <cellStyle name="输出 2 4 6" xfId="3806"/>
    <cellStyle name="常规 2 3 4" xfId="3807"/>
    <cellStyle name="解释性文本 2 4 4 2 3" xfId="3808"/>
    <cellStyle name="40% - 强调文字颜色 4 2 3 2 5 2" xfId="3809"/>
    <cellStyle name="汇总 2 2 4 4 4 2 2" xfId="3810"/>
    <cellStyle name="强调文字颜色 6 2 3 3 2" xfId="3811"/>
    <cellStyle name="汇总 2 5 5 2 3 3" xfId="3812"/>
    <cellStyle name="60% - 强调文字颜色 4 2 2 4 2 2" xfId="3813"/>
    <cellStyle name="常规 7 3 4 2" xfId="3814"/>
    <cellStyle name="输出 2 4 3 2 2 2 2 2" xfId="3815"/>
    <cellStyle name="输入 2 2 4 6" xfId="3816"/>
    <cellStyle name="40% - 强调文字颜色 6 5 2 2 2" xfId="3817"/>
    <cellStyle name="超链接 2 2 2 6" xfId="3818"/>
    <cellStyle name="标题 3 2 2 2 2 4" xfId="3819"/>
    <cellStyle name="60% - 强调文字颜色 2 2 2 4 5" xfId="3820"/>
    <cellStyle name="计算 2 3 3 3 2 3" xfId="3821"/>
    <cellStyle name="输出 2 2 4 3 6 2" xfId="3822"/>
    <cellStyle name="汇总 4 4 3 2 2" xfId="3823"/>
    <cellStyle name="汇总 2 2 6 7 2 2" xfId="3824"/>
    <cellStyle name="40% - 强调文字颜色 4 2 3 2 4 3" xfId="3825"/>
    <cellStyle name="40% - 强调文字颜色 6 2 3 3 2 2 2" xfId="3826"/>
    <cellStyle name="输入 2 2 4 2 2 2 2" xfId="3827"/>
    <cellStyle name="标题 3 2 4 4 3 2" xfId="3828"/>
    <cellStyle name="常规 10 3 2 2 3 2 2" xfId="3829"/>
    <cellStyle name="强调文字颜色 6 2 7 3" xfId="3830"/>
    <cellStyle name="常规 3 3 7 5 2" xfId="3831"/>
    <cellStyle name="常规 3 3 2 2 3 3 2 2" xfId="3832"/>
    <cellStyle name="60% - 强调文字颜色 2 3 3 3 2" xfId="3833"/>
    <cellStyle name="常规 5 2 2 6 2" xfId="3834"/>
    <cellStyle name="60% - 强调文字颜色 4 2 5 2" xfId="3835"/>
    <cellStyle name="40% - 强调文字颜色 6 3 9" xfId="3836"/>
    <cellStyle name="计算 2 2 6 6 3 3" xfId="3837"/>
    <cellStyle name="注释 2 2 6 7" xfId="3838"/>
    <cellStyle name="40% - 强调文字颜色 5 2 2 5 2" xfId="3839"/>
    <cellStyle name="20% - 强调文字颜色 2 2 2 4 5" xfId="3840"/>
    <cellStyle name="汇总 2 2 4 3 2 3" xfId="3841"/>
    <cellStyle name="警告文本 3 4" xfId="3842"/>
    <cellStyle name="输入 2 2 5 4 3" xfId="3843"/>
    <cellStyle name="输出 2 4 2 2 4 2 2" xfId="3844"/>
    <cellStyle name="60% - 强调文字颜色 6 6 2" xfId="3845"/>
    <cellStyle name="计算 2 5 2 3 5" xfId="3846"/>
    <cellStyle name="常规 5 4 6 3" xfId="3847"/>
    <cellStyle name="常规 11 3 3 2 2" xfId="3848"/>
    <cellStyle name="20% - 强调文字颜色 6 2 2 3 3 3" xfId="3849"/>
    <cellStyle name="输入 2 2 4 7" xfId="3850"/>
    <cellStyle name="40% - 强调文字颜色 1 2 2 2 2 3 2 2 2 2" xfId="3851"/>
    <cellStyle name="40% - 强调文字颜色 6 2 2 2 6 2 2" xfId="3852"/>
    <cellStyle name="标题 5 3 3" xfId="3853"/>
    <cellStyle name="计算 2 5 2 2 2 3" xfId="3854"/>
    <cellStyle name="链接单元格 2 2 6" xfId="3855"/>
    <cellStyle name="标题 5 2 2 2 3" xfId="3856"/>
    <cellStyle name="20% - 强调文字颜色 4 2 3 2 5 2 2 2" xfId="3857"/>
    <cellStyle name="标题 3 2 2 2 2 5" xfId="3858"/>
    <cellStyle name="注释 2 2 3 5 2 3" xfId="3859"/>
    <cellStyle name="汇总 2 2 6 4 5 2" xfId="3860"/>
    <cellStyle name="常规 3 4 5" xfId="3861"/>
    <cellStyle name="强调文字颜色 6 2 2 2 2 4 2 2" xfId="3862"/>
    <cellStyle name="20% - 强调文字颜色 5 2 3 2" xfId="3863"/>
    <cellStyle name="20% - 强调文字颜色 1 4 2 4 2" xfId="3864"/>
    <cellStyle name="40% - 强调文字颜色 6 2 3 6 2 2 2" xfId="3865"/>
    <cellStyle name="常规 11 2 4 3" xfId="3866"/>
    <cellStyle name="注释 2 2 4 4 2 3" xfId="3867"/>
    <cellStyle name="汇总 2 2 7 3 5 2" xfId="3868"/>
    <cellStyle name="20% - 强调文字颜色 4 3 6 2" xfId="3869"/>
    <cellStyle name="标题 8 2 2 2 2" xfId="3870"/>
    <cellStyle name="汇总 2 7 3 2 4" xfId="3871"/>
    <cellStyle name="40% - 强调文字颜色 1 4 4" xfId="3872"/>
    <cellStyle name="差 2 4 3 2 3" xfId="3873"/>
    <cellStyle name="差 2 3 4 3 3" xfId="3874"/>
    <cellStyle name="汇总 2 4 2 2 4" xfId="3875"/>
    <cellStyle name="20% - 强调文字颜色 5 2 6 2 2 2" xfId="3876"/>
    <cellStyle name="警告文本 2 4 4 2" xfId="3877"/>
    <cellStyle name="输出 2 2 8 2 4" xfId="3878"/>
    <cellStyle name="20% - 强调文字颜色 5 2 5 3 3" xfId="3879"/>
    <cellStyle name="计算 2 2 4 2 2 7 2" xfId="3880"/>
    <cellStyle name="20% - 强调文字颜色 4 2 4 5" xfId="3881"/>
    <cellStyle name="40% - 强调文字颜色 2 2 2 2 2 2 2 2 2" xfId="3882"/>
    <cellStyle name="20% - 强调文字颜色 1 3 2 2" xfId="3883"/>
    <cellStyle name="强调文字颜色 2 2 2 2 2 2" xfId="3884"/>
    <cellStyle name="计算 2 4 10 2" xfId="3885"/>
    <cellStyle name="输出 2 2 5 6 3" xfId="3886"/>
    <cellStyle name="20% - 强调文字颜色 5 2 2 7 2" xfId="3887"/>
    <cellStyle name="标题 5 3" xfId="3888"/>
    <cellStyle name="检查单元格 2 4" xfId="3889"/>
    <cellStyle name="汇总 2 5 12 2" xfId="3890"/>
    <cellStyle name="40% - 强调文字颜色 1 2 2 2 2 2 5 2 2" xfId="3891"/>
    <cellStyle name="汇总 2 2 4 2 2 2 2" xfId="3892"/>
    <cellStyle name="输入 4 2 5" xfId="3893"/>
    <cellStyle name="40% - 强调文字颜色 3 2 4 2 2 2" xfId="3894"/>
    <cellStyle name="注释 2 2 4 3 3 2" xfId="3895"/>
    <cellStyle name="常规 11 4 4 3" xfId="3896"/>
    <cellStyle name="计算 2 2 3 2 9 2" xfId="3897"/>
    <cellStyle name="计算 2 2 4 3 2 6" xfId="3898"/>
    <cellStyle name="输入 4 2 6" xfId="3899"/>
    <cellStyle name="汇总 2 2 4 2 2 2 3" xfId="3900"/>
    <cellStyle name="60% - 强调文字颜色 1 2 2 2 2" xfId="3901"/>
    <cellStyle name="常规 8 3 5 2" xfId="3902"/>
    <cellStyle name="超链接 3 3 3 2 2 2 2" xfId="3903"/>
    <cellStyle name="标题 7 6" xfId="3904"/>
    <cellStyle name="标题 5 2 4 5" xfId="3905"/>
    <cellStyle name="20% - 强调文字颜色 6 2 8 2" xfId="3906"/>
    <cellStyle name="适中 2" xfId="3907"/>
    <cellStyle name="60% - 强调文字颜色 1 2 4 3 3 2" xfId="3908"/>
    <cellStyle name="汇总 2 5 2 2 2 2 3 2 2" xfId="3909"/>
    <cellStyle name="20% - 强调文字颜色 5 2 2 2" xfId="3910"/>
    <cellStyle name="输出 2 5 3 2 2 3" xfId="3911"/>
    <cellStyle name="强调文字颜色 2 2 2 4 5 2 2" xfId="3912"/>
    <cellStyle name="计算 2 2 2 10 3" xfId="3913"/>
    <cellStyle name="标题 1 2 3 2 3 2 3" xfId="3914"/>
    <cellStyle name="标题 3 3 5 2 2" xfId="3915"/>
    <cellStyle name="适中 2 2 2 2 3 3" xfId="3916"/>
    <cellStyle name="20% - 强调文字颜色 5 2 2 2 2 4 3" xfId="3917"/>
    <cellStyle name="标题 1 2 2 2 2 4 2 2" xfId="3918"/>
    <cellStyle name="20% - 强调文字颜色 6 3 2 4 2" xfId="3919"/>
    <cellStyle name="常规 4 2 5" xfId="3920"/>
    <cellStyle name="汇总 2 2 6 5 3 2" xfId="3921"/>
    <cellStyle name="20% - 强调文字颜色 2 2 2 2 2 2 3 2 2" xfId="3922"/>
    <cellStyle name="输入 2 3 2 7 2" xfId="3923"/>
    <cellStyle name="强调文字颜色 4 3 3 3 2" xfId="3924"/>
    <cellStyle name="汇总 2 2 5 3 2 4 2 2" xfId="3925"/>
    <cellStyle name="输入 2 4 11" xfId="3926"/>
    <cellStyle name="40% - 强调文字颜色 4 2 2 2 2 2 2 2 2" xfId="3927"/>
    <cellStyle name="注释 2 2 8 5" xfId="3928"/>
    <cellStyle name="输入 4 2 2 3" xfId="3929"/>
    <cellStyle name="注释 2 8 3 3" xfId="3930"/>
    <cellStyle name="标题 2 3 5 2 3" xfId="3931"/>
    <cellStyle name="20% - 强调文字颜色 5 2 3 3 2 2 2 2" xfId="3932"/>
    <cellStyle name="60% - 强调文字颜色 5 2 4 3 2" xfId="3933"/>
    <cellStyle name="汇总 2 7 3 2 2 3" xfId="3934"/>
    <cellStyle name="40% - 强调文字颜色 1 4 2 3" xfId="3935"/>
    <cellStyle name="警告文本 2 2 2 2 4 2" xfId="3936"/>
    <cellStyle name="差 2 3 4 2 2 2" xfId="3937"/>
    <cellStyle name="适中 2 6 3 2 2" xfId="3938"/>
    <cellStyle name="标题 4 2 4 2" xfId="3939"/>
    <cellStyle name="强调文字颜色 4 2 5 3 2 2" xfId="3940"/>
    <cellStyle name="输入 2 2 4 7 2 2" xfId="3941"/>
    <cellStyle name="标题 3 2 2 2 2 5 2 2" xfId="3942"/>
    <cellStyle name="计算 2 3 2 2 2 7" xfId="3943"/>
    <cellStyle name="输出 2 5 3 5 3" xfId="3944"/>
    <cellStyle name="常规 6 2 2 4 2 2" xfId="3945"/>
    <cellStyle name="60% - 强调文字颜色 1 2 2 9" xfId="3946"/>
    <cellStyle name="注释 2 3 2 2 2 6" xfId="3947"/>
    <cellStyle name="20% - 强调文字颜色 2 2 3 4 3" xfId="3948"/>
    <cellStyle name="常规 4 2 2 4 2 2" xfId="3949"/>
    <cellStyle name="注释 2 3 2 2 3 3" xfId="3950"/>
    <cellStyle name="60% - 强调文字颜色 6 2 3 2 2 3 3" xfId="3951"/>
    <cellStyle name="强调文字颜色 6 2 3" xfId="3952"/>
    <cellStyle name="20% - 强调文字颜色 6 2 2 6 3 2 2" xfId="3953"/>
    <cellStyle name="40% - 强调文字颜色 6 2 3 2 2 5" xfId="3954"/>
    <cellStyle name="注释 2 2 3 3 9" xfId="3955"/>
    <cellStyle name="计算 2 2 8 2 2 4 2" xfId="3956"/>
    <cellStyle name="常规 6 3 2 5 2 2 2" xfId="3957"/>
    <cellStyle name="60% - 强调文字颜色 6 3 2 2 2 2 2 2" xfId="3958"/>
    <cellStyle name="40% - 强调文字颜色 2 2 2 6" xfId="3959"/>
    <cellStyle name="常规 6 3 2 3 2 2 2 2" xfId="3960"/>
    <cellStyle name="注释 2 2 8 2 2 2" xfId="3961"/>
    <cellStyle name="20% - 强调文字颜色 3 2 2 2 2 2 2 3" xfId="3962"/>
    <cellStyle name="强调文字颜色 5 2 4 3" xfId="3963"/>
    <cellStyle name="计算 2 3 4 2 2 3" xfId="3964"/>
    <cellStyle name="适中 2 5 2 3" xfId="3965"/>
    <cellStyle name="40% - 强调文字颜色 2 2 6 3" xfId="3966"/>
    <cellStyle name="计算 2 7 10 2 2" xfId="3967"/>
    <cellStyle name="汇总 2 2 5 2 3 2 2" xfId="3968"/>
    <cellStyle name="百分比 2 3 2 3 3" xfId="3969"/>
    <cellStyle name="20% - 强调文字颜色 1 2 3 6 2 2 2" xfId="3970"/>
    <cellStyle name="注释 2" xfId="3971"/>
    <cellStyle name="40% - 强调文字颜色 6 2 4 4 3 2" xfId="3972"/>
    <cellStyle name="40% - 强调文字颜色 4 2 2 5" xfId="3973"/>
    <cellStyle name="标题 5 2 10" xfId="3974"/>
    <cellStyle name="强调文字颜色 2 2 3 5 3" xfId="3975"/>
    <cellStyle name="常规 9 5 4 2 2" xfId="3976"/>
    <cellStyle name="强调文字颜色 5 2 3" xfId="3977"/>
    <cellStyle name="20% - 强调文字颜色 6 2 2 6 2 2 2" xfId="3978"/>
    <cellStyle name="20% - 强调文字颜色 1 3 3 4 2" xfId="3979"/>
    <cellStyle name="强调文字颜色 5 2 8" xfId="3980"/>
    <cellStyle name="常规 13 2 2 2 4 2 2" xfId="3981"/>
    <cellStyle name="检查单元格 3 2 2 2" xfId="3982"/>
    <cellStyle name="汇总 2 2 2 3 6 3" xfId="3983"/>
    <cellStyle name="40% - 强调文字颜色 3 2 2 2 2 2 2 2" xfId="3984"/>
    <cellStyle name="计算 2 7 2 2 2 2" xfId="3985"/>
    <cellStyle name="常规 3 3 3 3" xfId="3986"/>
    <cellStyle name="注释 8 3" xfId="3987"/>
    <cellStyle name="计算 2 4 3 3 2 2 2" xfId="3988"/>
    <cellStyle name="强调文字颜色 2 2 2 2 3 6" xfId="3989"/>
    <cellStyle name="汇总 2 2 4 2 2 3 4 2" xfId="3990"/>
    <cellStyle name="输出 2 6 2 5" xfId="3991"/>
    <cellStyle name="注释 2 2 9 3 3" xfId="3992"/>
    <cellStyle name="60% - 强调文字颜色 2 2 3 2 2 4" xfId="3993"/>
    <cellStyle name="好 4" xfId="3994"/>
    <cellStyle name="输入 2 5 2 11" xfId="3995"/>
    <cellStyle name="40% - 强调文字颜色 6 3 2 2 3 2 2 2" xfId="3996"/>
    <cellStyle name="40% - 强调文字颜色 1 2 2 3 6" xfId="3997"/>
    <cellStyle name="计算 3 14" xfId="3998"/>
    <cellStyle name="20% - 强调文字颜色 4 2 2 5 2" xfId="3999"/>
    <cellStyle name="输入 2 2 4 3 4 2 2" xfId="4000"/>
    <cellStyle name="40% - 强调文字颜色 4 5 2 2 2" xfId="4001"/>
    <cellStyle name="40% - 强调文字颜色 1 3 3 2 2 2 2" xfId="4002"/>
    <cellStyle name="标题 1 2 4 6 2 2" xfId="4003"/>
    <cellStyle name="60% - 强调文字颜色 6 2 2 2 2 3 3 3" xfId="4004"/>
    <cellStyle name="计算 2 7 4 3" xfId="4005"/>
    <cellStyle name="检查单元格 5 3" xfId="4006"/>
    <cellStyle name="差 2 5 3 2" xfId="4007"/>
    <cellStyle name="20% - 强调文字颜色 6 2 2 2 3 3 2 2" xfId="4008"/>
    <cellStyle name="输入 2 3 2 2 2 4" xfId="4009"/>
    <cellStyle name="20% - 强调文字颜色 5 3 4 2" xfId="4010"/>
    <cellStyle name="计算 2 2 3 3 2 6" xfId="4011"/>
    <cellStyle name="60% - 强调文字颜色 3 2 2 2 2 2 3 2" xfId="4012"/>
    <cellStyle name="标题 6 2" xfId="4013"/>
    <cellStyle name="常规 7 4 3 2 3" xfId="4014"/>
    <cellStyle name="计算 2 3 2 14" xfId="4015"/>
    <cellStyle name="差 2 2 4" xfId="4016"/>
    <cellStyle name="输出 2 2 8 3 3" xfId="4017"/>
    <cellStyle name="60% - 强调文字颜色 3 2 2 2 3 2 2" xfId="4018"/>
    <cellStyle name="20% - 强调文字颜色 5 2 5 4 2" xfId="4019"/>
    <cellStyle name="警告文本 2 2 2 2 5 2 2" xfId="4020"/>
    <cellStyle name="40% - 强调文字颜色 3 2 3 2 3 2 2 2 2" xfId="4021"/>
    <cellStyle name="适中 2 8 2 3" xfId="4022"/>
    <cellStyle name="差 2 6" xfId="4023"/>
    <cellStyle name="强调文字颜色 5 2 3 3 5" xfId="4024"/>
    <cellStyle name="60% - 强调文字颜色 1 2 2 2 2 3 3 2" xfId="4025"/>
    <cellStyle name="汇总 2 2 2 6 3 2" xfId="4026"/>
    <cellStyle name="标题 2 2 2 4 5 3" xfId="4027"/>
    <cellStyle name="计算 2 7 2 2 2 3 3" xfId="4028"/>
    <cellStyle name="输入 2 5 2 2 4 2" xfId="4029"/>
    <cellStyle name="强调文字颜色 4 4 2 3" xfId="4030"/>
    <cellStyle name="差 2 2 3 6 2 2" xfId="4031"/>
    <cellStyle name="40% - 强调文字颜色 2 5 2 2 2 2" xfId="4032"/>
    <cellStyle name="输出 2 8 5 3" xfId="4033"/>
    <cellStyle name="40% - 强调文字颜色 1 2 2 4 5" xfId="4034"/>
    <cellStyle name="汇总 2 2 5 6 3" xfId="4035"/>
    <cellStyle name="计算 2 5 4 3 4" xfId="4036"/>
    <cellStyle name="60% - 强调文字颜色 2 2 2 2 4 3 2 2" xfId="4037"/>
    <cellStyle name="标题 3 2 3 2 5" xfId="4038"/>
    <cellStyle name="输出 2 2 11 2 2" xfId="4039"/>
    <cellStyle name="20% - 强调文字颜色 6 6" xfId="4040"/>
    <cellStyle name="20% - 强调文字颜色 6 2 3 4" xfId="4041"/>
    <cellStyle name="常规 17 2 2" xfId="4042"/>
    <cellStyle name="20% - 强调文字颜色 4 3 4" xfId="4043"/>
    <cellStyle name="20% - 强调文字颜色 6 2 2 2 2 3 2" xfId="4044"/>
    <cellStyle name="汇总 2 2 6 3 5 3" xfId="4045"/>
    <cellStyle name="输出 2 2 5 2 2 2" xfId="4046"/>
    <cellStyle name="常规 6 7 2 2" xfId="4047"/>
    <cellStyle name="强调文字颜色 6 2 2 2 2 3 2 3" xfId="4048"/>
    <cellStyle name="20% - 强调文字颜色 3 2 8 2 2" xfId="4049"/>
    <cellStyle name="40% - 强调文字颜色 6 2 2 2 2 5 2 2" xfId="4050"/>
    <cellStyle name="标题 4 3 4 3" xfId="4051"/>
    <cellStyle name="汇总 2 9 3 3 2" xfId="4052"/>
    <cellStyle name="差 2 3 2 3 2" xfId="4053"/>
    <cellStyle name="标题 2 2 3 5 2 2" xfId="4054"/>
    <cellStyle name="强调文字颜色 1 2 2 2 2 2 5" xfId="4055"/>
    <cellStyle name="输入 2 7 4 2 5" xfId="4056"/>
    <cellStyle name="输入 3 3 2 2 2 2" xfId="4057"/>
    <cellStyle name="注释 2 2 3 3 5 2" xfId="4058"/>
    <cellStyle name="输出 2 4 3 2 4 2" xfId="4059"/>
    <cellStyle name="汇总 2 2 5 2 2 4 2" xfId="4060"/>
    <cellStyle name="好 3 2 2 2 2 3" xfId="4061"/>
    <cellStyle name="20% - 强调文字颜色 6 3 2 2 3 2" xfId="4062"/>
    <cellStyle name="计算 4 2 3 3" xfId="4063"/>
    <cellStyle name="输出 2 6 3 2 2 2" xfId="4064"/>
    <cellStyle name="强调文字颜色 2 2 2 3 2 2 2 2 2" xfId="4065"/>
    <cellStyle name="20% - 强调文字颜色 1 4 2 2 2 2 2" xfId="4066"/>
    <cellStyle name="汇总 2 3 3 2" xfId="4067"/>
    <cellStyle name="标题 4 3 2 2 3 2 2" xfId="4068"/>
    <cellStyle name="输出 2 3 2 2 2 2" xfId="4069"/>
    <cellStyle name="20% - 强调文字颜色 1 2 3 2 4 3" xfId="4070"/>
    <cellStyle name="40% - 强调文字颜色 4 4 4 2 2" xfId="4071"/>
    <cellStyle name="输入 2 2 4 2 6 2 2" xfId="4072"/>
    <cellStyle name="链接单元格 2 3 3 7" xfId="4073"/>
    <cellStyle name="标题 7 2 2 2 2" xfId="4074"/>
    <cellStyle name="常规 11 6 2" xfId="4075"/>
    <cellStyle name="标题 5 3 2 6 3" xfId="4076"/>
    <cellStyle name="汇总 3 4 4 2 2" xfId="4077"/>
    <cellStyle name="输入 2 8 3 5" xfId="4078"/>
    <cellStyle name="输出 2 7 8 2" xfId="4079"/>
    <cellStyle name="输入 2 6 2 2 7" xfId="4080"/>
    <cellStyle name="注释 2 2 4 7" xfId="4081"/>
    <cellStyle name="40% - 强调文字颜色 5 2 2 3 2" xfId="4082"/>
    <cellStyle name="强调文字颜色 4 2 3 4 3 2" xfId="4083"/>
    <cellStyle name="汇总 2 2 3 4 2 2 3" xfId="4084"/>
    <cellStyle name="60% - 强调文字颜色 2 2 2 2 6 2" xfId="4085"/>
    <cellStyle name="汇总 2 2 5 2 2 2 3 3" xfId="4086"/>
    <cellStyle name="输出 2 4 3 5 3" xfId="4087"/>
    <cellStyle name="计算 2 2 8 2 2 7" xfId="4088"/>
    <cellStyle name="60% - 强调文字颜色 1 2 2 2 4 3 2" xfId="4089"/>
    <cellStyle name="计算 2 6 2 7" xfId="4090"/>
    <cellStyle name="输入 2 2 7 3 3" xfId="4091"/>
    <cellStyle name="输入 2 2 4 3 2 4" xfId="4092"/>
    <cellStyle name="常规 5 2 3 4 2 3" xfId="4093"/>
    <cellStyle name="60% - 强调文字颜色 1 2 2 3 5" xfId="4094"/>
    <cellStyle name="注释 2 2 3 2 4 2 4" xfId="4095"/>
    <cellStyle name="常规 3" xfId="4096"/>
    <cellStyle name="汇总 3 2 6" xfId="4097"/>
    <cellStyle name="20% - 强调文字颜色 1 2 2 5 2" xfId="4098"/>
    <cellStyle name="计算 2 2 6 2 2 2 2 3" xfId="4099"/>
    <cellStyle name="60% - 强调文字颜色 1 2 3 2 4" xfId="4100"/>
    <cellStyle name="强调文字颜色 5 2 2 2 2 3" xfId="4101"/>
    <cellStyle name="汇总 2 2 5 2 2 2 3" xfId="4102"/>
    <cellStyle name="输入 2 2 7 2" xfId="4103"/>
    <cellStyle name="40% - 强调文字颜色 2 2 3 2 2 4 2 2 2" xfId="4104"/>
    <cellStyle name="40% - 强调文字颜色 2 2 2 2 2 2 3 2" xfId="4105"/>
    <cellStyle name="20% - 强调文字颜色 6 2 3 2 2 4 2 2 2" xfId="4106"/>
    <cellStyle name="40% - 强调文字颜色 1 2 3 2 4" xfId="4107"/>
    <cellStyle name="检查单元格 2 2 2 2 3 3 3" xfId="4108"/>
    <cellStyle name="输出 2 2 3 3 3 4" xfId="4109"/>
    <cellStyle name="标题 6 4 2 3" xfId="4110"/>
    <cellStyle name="汇总 2 6 10 2 2" xfId="4111"/>
    <cellStyle name="计算 2 2 8 3 6" xfId="4112"/>
    <cellStyle name="输入 2 2 2 4 7" xfId="4113"/>
    <cellStyle name="计算 2 2 7 2 6 2" xfId="4114"/>
    <cellStyle name="输出 2 2 9 2 3" xfId="4115"/>
    <cellStyle name="20% - 强调文字颜色 5 2 6 3 2" xfId="4116"/>
    <cellStyle name="输入 2 2 11 2" xfId="4117"/>
    <cellStyle name="20% - 强调文字颜色 5 2 9" xfId="4118"/>
    <cellStyle name="解释性文本 2 11" xfId="4119"/>
    <cellStyle name="常规 7 4 2 2" xfId="4120"/>
    <cellStyle name="常规 3 2 2 2 2 4" xfId="4121"/>
    <cellStyle name="输入 2 2 7 7 2 2" xfId="4122"/>
    <cellStyle name="60% - 强调文字颜色 1 3 3 2" xfId="4123"/>
    <cellStyle name="标题 7 2 4 2" xfId="4124"/>
    <cellStyle name="40% - 强调文字颜色 4 2 3 3 2 2" xfId="4125"/>
    <cellStyle name="输入 2 2 2 2 2 2 2 2" xfId="4126"/>
    <cellStyle name="20% - 强调文字颜色 2 2 2 2 3 2 2 2 2 2" xfId="4127"/>
    <cellStyle name="注释 2 2 7 2 3" xfId="4128"/>
    <cellStyle name="40% - 强调文字颜色 1 2 2 6 3 2" xfId="4129"/>
    <cellStyle name="常规 6 4 2" xfId="4130"/>
    <cellStyle name="20% - 强调文字颜色 5 2 2 2 2 2 2 3" xfId="4131"/>
    <cellStyle name="计算 2 2 18" xfId="4132"/>
    <cellStyle name="标题 2 2 3 2 4 3" xfId="4133"/>
    <cellStyle name="汇总 2 2 3 4 2 2" xfId="4134"/>
    <cellStyle name="说明文本 3 2 2" xfId="4135"/>
    <cellStyle name="标题 4 2 2 3 5 3" xfId="4136"/>
    <cellStyle name="标题 4 2 2 4 4" xfId="4137"/>
    <cellStyle name="注释 2 2 6 8" xfId="4138"/>
    <cellStyle name="差 2 2 4 5 2 2" xfId="4139"/>
    <cellStyle name="计算 2 2 4 2 3 2 5 2" xfId="4140"/>
    <cellStyle name="汇总 2 3 2 4 3 2" xfId="4141"/>
    <cellStyle name="60% - 强调文字颜色 1 3" xfId="4142"/>
    <cellStyle name="差 2 3 5 2 2 2" xfId="4143"/>
    <cellStyle name="差 2 2 6 3 2 2" xfId="4144"/>
    <cellStyle name="汇总 2 3 4 2 3 2" xfId="4145"/>
    <cellStyle name="强调文字颜色 5 2 7 3" xfId="4146"/>
    <cellStyle name="40% - 强调文字颜色 2 2 4 5 2 2" xfId="4147"/>
    <cellStyle name="注释 2 3 2 2 2 2 2 2" xfId="4148"/>
    <cellStyle name="60% - 强调文字颜色 1 2 2 5 2 2" xfId="4149"/>
    <cellStyle name="计算 2 2 4 9" xfId="4150"/>
    <cellStyle name="40% - 强调文字颜色 3 2 2 3 4 3 2" xfId="4151"/>
    <cellStyle name="20% - 强调文字颜色 4 2 3 2 2" xfId="4152"/>
    <cellStyle name="常规 5 5 2 3 3" xfId="4153"/>
    <cellStyle name="20% - 强调文字颜色 2 2 3 5 2" xfId="4154"/>
    <cellStyle name="注释 2 3 2 2 4 2" xfId="4155"/>
    <cellStyle name="60% - 强调文字颜色 1 2 4 5" xfId="4156"/>
    <cellStyle name="60% - 强调文字颜色 4 2 3 3 6" xfId="4157"/>
    <cellStyle name="40% - 强调文字颜色 5 3 3" xfId="4158"/>
    <cellStyle name="适中 2 2 2 4 3 2" xfId="4159"/>
    <cellStyle name="输入 2 4 3 2 4" xfId="4160"/>
    <cellStyle name="汇总 2 9 5 2 2" xfId="4161"/>
    <cellStyle name="60% - 强调文字颜色 4 2 3 2 2 2 2 2 2" xfId="4162"/>
    <cellStyle name="检查单元格 2 4 2 2 2 2" xfId="4163"/>
    <cellStyle name="常规 3 3 6 2" xfId="4164"/>
    <cellStyle name="40% - 强调文字颜色 5 3 2 2 4 2" xfId="4165"/>
    <cellStyle name="20% - 强调文字颜色 3 3 5 2 2 2" xfId="4166"/>
    <cellStyle name="超链接 3 2 4 2 3" xfId="4167"/>
    <cellStyle name="标题 2 2 2 4 2 3 2" xfId="4168"/>
    <cellStyle name="输入 2 5 2 3 2 6" xfId="4169"/>
    <cellStyle name="60% - 强调文字颜色 5 2 3 4 3" xfId="4170"/>
    <cellStyle name="40% - 强调文字颜色 1 3 3 4" xfId="4171"/>
    <cellStyle name="60% - 强调文字颜色 3 2 2 2 2 2 2 2" xfId="4172"/>
    <cellStyle name="40% - 强调文字颜色 2 2 3" xfId="4173"/>
    <cellStyle name="输入 2 2 4 2 2 2 8" xfId="4174"/>
    <cellStyle name="汇总 2 2 2 3 3 2 2 2" xfId="4175"/>
    <cellStyle name="注释 2 3 2 2 2 4" xfId="4176"/>
    <cellStyle name="百分比 2 3 2 2 2" xfId="4177"/>
    <cellStyle name="汇总 2 7 4 2 4 2" xfId="4178"/>
    <cellStyle name="输入 2 2 2 2 6 2" xfId="4179"/>
    <cellStyle name="40% - 强调文字颜色 2 4 4 2" xfId="4180"/>
    <cellStyle name="计算 2 5 4 3 3 3" xfId="4181"/>
    <cellStyle name="60% - 强调文字颜色 3 3 3 2 2 2 2" xfId="4182"/>
    <cellStyle name="计算 3 2 3 4 2" xfId="4183"/>
    <cellStyle name="强调文字颜色 4 3 3 2" xfId="4184"/>
    <cellStyle name="输出 2 2 2 3 2 3 2" xfId="4185"/>
    <cellStyle name="警告文本 4 3 2" xfId="4186"/>
    <cellStyle name="标题 7 2 2 2 2 2" xfId="4187"/>
    <cellStyle name="60% - 强调文字颜色 1 2 2 7 2 2" xfId="4188"/>
    <cellStyle name="60% - 强调文字颜色 1 2 3 2 3 3 2" xfId="4189"/>
    <cellStyle name="输出 2 2 4 3 2 3 2" xfId="4190"/>
    <cellStyle name="60% - 强调文字颜色 6 2 3 3 3 3" xfId="4191"/>
    <cellStyle name="输出 2 6 4 2 4" xfId="4192"/>
    <cellStyle name="强调文字颜色 2 2 2 5 2 2" xfId="4193"/>
    <cellStyle name="标题 3 2 3 4 3 2 2" xfId="4194"/>
    <cellStyle name="40% - 强调文字颜色 1 3 2 3 2 2" xfId="4195"/>
    <cellStyle name="输出 3 2 3 2" xfId="4196"/>
    <cellStyle name="标题 3 2 2 4 5 2 2" xfId="4197"/>
    <cellStyle name="计算 3 2 9 2" xfId="4198"/>
    <cellStyle name="60% - 强调文字颜色 1 2 2 9 2" xfId="4199"/>
    <cellStyle name="输入 2 2 7 2 5" xfId="4200"/>
    <cellStyle name="输入 2 2 2 2 8 2" xfId="4201"/>
    <cellStyle name="计算 2 3 5 3 3" xfId="4202"/>
    <cellStyle name="输出 2 5 4 4" xfId="4203"/>
    <cellStyle name="输入 4 2 2 3 2" xfId="4204"/>
    <cellStyle name="差 2 3 5 2 3" xfId="4205"/>
    <cellStyle name="20% - 强调文字颜色 5 2 5 4 2 2" xfId="4206"/>
    <cellStyle name="汇总 2 6 2 2 2 4 2 2" xfId="4207"/>
    <cellStyle name="汇总 2 2 9 4 3" xfId="4208"/>
    <cellStyle name="注释 2 4 2 2 2 4" xfId="4209"/>
    <cellStyle name="常规 5 2 7 2" xfId="4210"/>
    <cellStyle name="60% - 强调文字颜色 5 3 2 4 2" xfId="4211"/>
    <cellStyle name="40% - 强调文字颜色 2 2 3 3" xfId="4212"/>
    <cellStyle name="40% - 强调文字颜色 3 2 2 2 3 2 2 2 2" xfId="4213"/>
    <cellStyle name="计算 2 2 6 5 3" xfId="4214"/>
    <cellStyle name="汇总 2 7 2 6 2" xfId="4215"/>
    <cellStyle name="输入 2 2 4 3" xfId="4216"/>
    <cellStyle name="计算 2 2 8 3 3 2 2" xfId="4217"/>
    <cellStyle name="输入 2 2 2 4 4 2 2" xfId="4218"/>
    <cellStyle name="40% - 强调文字颜色 2 6 2 2 2" xfId="4219"/>
    <cellStyle name="计算 2 2 2 10 2" xfId="4220"/>
    <cellStyle name="40% - 强调文字颜色 1 2 2 5 2 2" xfId="4221"/>
    <cellStyle name="计算 2 5 2 2 2 6 2" xfId="4222"/>
    <cellStyle name="标题 3 4 4 2" xfId="4223"/>
    <cellStyle name="输入 2 7 9 2" xfId="4224"/>
    <cellStyle name="注释 2 6 2 2 2 2 2" xfId="4225"/>
    <cellStyle name="输出 2 2 6 2 3 2" xfId="4226"/>
    <cellStyle name="20% - 强调文字颜色 5 2 3 3 2 2" xfId="4227"/>
    <cellStyle name="输出 2 4 2 3 4 2" xfId="4228"/>
    <cellStyle name="计算 3 2 2 6 2" xfId="4229"/>
    <cellStyle name="常规 10 2 2 2 4" xfId="4230"/>
    <cellStyle name="链接单元格 2 4 6" xfId="4231"/>
    <cellStyle name="计算 2 5 2 2 4 3" xfId="4232"/>
    <cellStyle name="20% - 强调文字颜色 4 2 2 6 3 2 2" xfId="4233"/>
    <cellStyle name="20% - 强调文字颜色 5 2 2 5 3 2 2" xfId="4234"/>
    <cellStyle name="强调文字颜色 1 2 5 2 3" xfId="4235"/>
    <cellStyle name="计算 2 7 7 2 2" xfId="4236"/>
    <cellStyle name="常规 5 2 3 2 5 2" xfId="4237"/>
    <cellStyle name="40% - 强调文字颜色 4 3 3 3" xfId="4238"/>
    <cellStyle name="40% - 强调文字颜色 3 2 3 6 2 2" xfId="4239"/>
    <cellStyle name="60% - 强调文字颜色 1 2 3 2 4 3 2" xfId="4240"/>
    <cellStyle name="40% - 强调文字颜色 3 2 2 2 2 2 2 2 2 2 2" xfId="4241"/>
    <cellStyle name="汇总 2 2 10 2 3 2" xfId="4242"/>
    <cellStyle name="60% - 强调文字颜色 1 2 3 2 5 2 2" xfId="4243"/>
    <cellStyle name="汇总 2 2 10 3 2 2" xfId="4244"/>
    <cellStyle name="标题 5 2 5 2 2 3" xfId="4245"/>
    <cellStyle name="40% - 强调文字颜色 5 3 2 3 2 2 2" xfId="4246"/>
    <cellStyle name="20% - 强调文字颜色 1 2 3 2 4 2 2" xfId="4247"/>
    <cellStyle name="标题 1 4 2" xfId="4248"/>
    <cellStyle name="超链接 3 2 2 2 3 2 2 2" xfId="4249"/>
    <cellStyle name="链接单元格 2 2" xfId="4250"/>
    <cellStyle name="常规 3 4 4" xfId="4251"/>
    <cellStyle name="40% - 强调文字颜色 5 3 2 3 2" xfId="4252"/>
    <cellStyle name="标题 1 2 2 2 2 5 3" xfId="4253"/>
    <cellStyle name="注释 2 3 3 4 2 2" xfId="4254"/>
    <cellStyle name="计算 2 2 10 5 2" xfId="4255"/>
    <cellStyle name="计算 2 2 7 3 6" xfId="4256"/>
    <cellStyle name="计算 2 2 2 5 3 3" xfId="4257"/>
    <cellStyle name="汇总 2 2 4 2 3 5 2" xfId="4258"/>
    <cellStyle name="60% - 强调文字颜色 6 2 2 2 7 2" xfId="4259"/>
    <cellStyle name="20% - 强调文字颜色 6 2 2 4 5" xfId="4260"/>
    <cellStyle name="汇总 2 3 5 4 2" xfId="4261"/>
    <cellStyle name="汇总 2 5 4 5 2 2" xfId="4262"/>
    <cellStyle name="60% - 强调文字颜色 3 2 2 2 2 2 4" xfId="4263"/>
    <cellStyle name="输出 2 2 7 3 5" xfId="4264"/>
    <cellStyle name="20% - 强调文字颜色 6 2 2 3 4 2 2" xfId="4265"/>
    <cellStyle name="输出 2 2 4 2 6 3" xfId="4266"/>
    <cellStyle name="强调文字颜色 3 2 3 2 3 2 2 2" xfId="4267"/>
    <cellStyle name="常规 4 5 5 3" xfId="4268"/>
    <cellStyle name="计算 2 4 3 2 5" xfId="4269"/>
    <cellStyle name="20% - 强调文字颜色 5 3 5" xfId="4270"/>
    <cellStyle name="汇总 2 2 2 9 2 2" xfId="4271"/>
    <cellStyle name="60% - 强调文字颜色 6 2 7 2 2 2" xfId="4272"/>
    <cellStyle name="适中 2 3 4" xfId="4273"/>
    <cellStyle name="计算 2 9 2" xfId="4274"/>
    <cellStyle name="输出 4 3 3" xfId="4275"/>
    <cellStyle name="汇总 2 2 4 2 7 2 2" xfId="4276"/>
    <cellStyle name="计算 2 2 14 2 2" xfId="4277"/>
    <cellStyle name="20% - 强调文字颜色 6 2 4 3 3 2" xfId="4278"/>
    <cellStyle name="40% - 强调文字颜色 2 2 6" xfId="4279"/>
    <cellStyle name="适中 2 5 2" xfId="4280"/>
    <cellStyle name="60% - 强调文字颜色 6 2 4 2 3" xfId="4281"/>
    <cellStyle name="计算 2 2 4 2 9 3" xfId="4282"/>
    <cellStyle name="40% - 强调文字颜色 1 2 3 2 2 4 2" xfId="4283"/>
    <cellStyle name="输出 2 2 4 4" xfId="4284"/>
    <cellStyle name="注释 2 2 5 5 2" xfId="4285"/>
    <cellStyle name="常规 5 9" xfId="4286"/>
    <cellStyle name="60% - 强调文字颜色 6 3 2 6" xfId="4287"/>
    <cellStyle name="注释 2 2 3 3 2 3 2" xfId="4288"/>
    <cellStyle name="常规 10 4 3 4 2" xfId="4289"/>
    <cellStyle name="汇总 2 2 5 7 3" xfId="4290"/>
    <cellStyle name="计算 2 8 10" xfId="4291"/>
    <cellStyle name="输入 2 2 4 4 5 2 2" xfId="4292"/>
    <cellStyle name="60% - 强调文字颜色 6 2 2 2 2 4" xfId="4293"/>
    <cellStyle name="常规 13 4 6" xfId="4294"/>
    <cellStyle name="20% - 强调文字颜色 4 2 2 2 2 2 4 2 2" xfId="4295"/>
    <cellStyle name="常规 4 2 3 2 2 4" xfId="4296"/>
    <cellStyle name="计算 3 3 5 2 2" xfId="4297"/>
    <cellStyle name="20% - 强调文字颜色 6 2 3 2 2 3 3 2" xfId="4298"/>
    <cellStyle name="强调文字颜色 2 3 3 3" xfId="4299"/>
    <cellStyle name="输出 2 4 2 2 4 3" xfId="4300"/>
    <cellStyle name="汇总 2 2 4 3 2 2 3 2" xfId="4301"/>
    <cellStyle name="汇总 2 5 7 3" xfId="4302"/>
    <cellStyle name="20% - 强调文字颜色 5 2 10 2" xfId="4303"/>
    <cellStyle name="常规 5 2 2 2 2 4 2" xfId="4304"/>
    <cellStyle name="输入 2 2 4 6 2" xfId="4305"/>
    <cellStyle name="汇总 2 5 2 2 3 6" xfId="4306"/>
    <cellStyle name="计算 2 2 5 9 2" xfId="4307"/>
    <cellStyle name="20% - 强调文字颜色 2 2 2 2 4" xfId="4308"/>
    <cellStyle name="60% - 强调文字颜色 3 2 3 4 3" xfId="4309"/>
    <cellStyle name="常规 5 4 2 6" xfId="4310"/>
    <cellStyle name="输出 2 6 8 2 2" xfId="4311"/>
    <cellStyle name="强调文字颜色 4 2 5 2 2" xfId="4312"/>
    <cellStyle name="40% - 强调文字颜色 6 5 2 2 2 2" xfId="4313"/>
    <cellStyle name="40% - 强调文字颜色 5 2 2 8" xfId="4314"/>
    <cellStyle name="20% - 强调文字颜色 5 2 3 2 2 3" xfId="4315"/>
    <cellStyle name="60% - 强调文字颜色 5 2 2 2 2 5 2 2" xfId="4316"/>
    <cellStyle name="检查单元格 2 4 4 2 3" xfId="4317"/>
    <cellStyle name="标题 3 2 2 2 2 4 2" xfId="4318"/>
    <cellStyle name="常规 7 3 4 2 2" xfId="4319"/>
    <cellStyle name="汇总 2 5 2 6 3 3" xfId="4320"/>
    <cellStyle name="好 3 2 2 3 2" xfId="4321"/>
    <cellStyle name="40% - 强调文字颜色 5 2 3 3 2" xfId="4322"/>
    <cellStyle name="汇总 2 7 3 2 6" xfId="4323"/>
    <cellStyle name="40% - 强调文字颜色 4 2 2 2 2 2 2 2 2 2" xfId="4324"/>
    <cellStyle name="计算 2 4 2 6 3" xfId="4325"/>
    <cellStyle name="输出 2 2 6 7 3" xfId="4326"/>
    <cellStyle name="40% - 强调文字颜色 6 2 10" xfId="4327"/>
    <cellStyle name="计算 2 2 3 3 7 2" xfId="4328"/>
    <cellStyle name="60% - 强调文字颜色 4 2 4 3 3" xfId="4329"/>
    <cellStyle name="60% - 强调文字颜色 1 3 4 2" xfId="4330"/>
    <cellStyle name="计算 2 8 3 5 2" xfId="4331"/>
    <cellStyle name="汇总 2 2 2 6 4" xfId="4332"/>
    <cellStyle name="差 2 2 3 6 3" xfId="4333"/>
    <cellStyle name="汇总 2 2 3 4 2 4 2" xfId="4334"/>
    <cellStyle name="差 2 3 2 3 4" xfId="4335"/>
    <cellStyle name="标题 1 2 4 3 2 2 2" xfId="4336"/>
    <cellStyle name="20% - 强调文字颜色 1 2 2 4 3 2 2" xfId="4337"/>
    <cellStyle name="60% - 强调文字颜色 1 3 2 2 3 2 2 2" xfId="4338"/>
    <cellStyle name="注释 2 2 4 2 3 4" xfId="4339"/>
    <cellStyle name="40% - 强调文字颜色 6 3" xfId="4340"/>
    <cellStyle name="汇总 2 6 3 3 3 2 2" xfId="4341"/>
    <cellStyle name="警告文本 2 4 2 2 3" xfId="4342"/>
    <cellStyle name="输入 5 3 2 2" xfId="4343"/>
    <cellStyle name="标题 4 2 3 3 2 2 2 2 2" xfId="4344"/>
    <cellStyle name="适中 2 3 2 4 4" xfId="4345"/>
    <cellStyle name="常规 6 2 3 5 2" xfId="4346"/>
    <cellStyle name="20% - 强调文字颜色 4 2 2 4 5 2 2" xfId="4347"/>
    <cellStyle name="链接单元格 2 4 3 4" xfId="4348"/>
    <cellStyle name="强调文字颜色 1 2 3 2 5 2 2" xfId="4349"/>
    <cellStyle name="标题 4 4 2 2 2" xfId="4350"/>
    <cellStyle name="强调文字颜色 5 2 2 3 3" xfId="4351"/>
    <cellStyle name="输入 2 5 3 2 2 4" xfId="4352"/>
    <cellStyle name="汇总 2 5 2 14" xfId="4353"/>
    <cellStyle name="20% - 强调文字颜色 3 3 2 4 2" xfId="4354"/>
    <cellStyle name="标题 4 2 2 2 2 2 2 2 2" xfId="4355"/>
    <cellStyle name="注释 2 2 3 2 7 2" xfId="4356"/>
    <cellStyle name="汇总 2 7 2 2 2" xfId="4357"/>
    <cellStyle name="强调文字颜色 6 2 2 4 2 2" xfId="4358"/>
    <cellStyle name="汇总 2 2 4 4 3 3 2 2" xfId="4359"/>
    <cellStyle name="输出 2 2 9 6" xfId="4360"/>
    <cellStyle name="20% - 强调文字颜色 3 2 9" xfId="4361"/>
    <cellStyle name="强调文字颜色 3 2 4 4 2 2 2" xfId="4362"/>
    <cellStyle name="20% - 强调文字颜色 1 2 2 4 5 2 2" xfId="4363"/>
    <cellStyle name="40% - 强调文字颜色 5 2 3 4 2" xfId="4364"/>
    <cellStyle name="常规 5 2 3 4 4 2" xfId="4365"/>
    <cellStyle name="输入 2 2 4 3 4 3" xfId="4366"/>
    <cellStyle name="计算 2 6 4 6" xfId="4367"/>
    <cellStyle name="60% - 强调文字颜色 4 3 3 4 2" xfId="4368"/>
    <cellStyle name="输入 2 2 7 5 2" xfId="4369"/>
    <cellStyle name="20% - 强调文字颜色 3 3 2 2 3" xfId="4370"/>
    <cellStyle name="20% - 强调文字颜色 6 2 2 4 5 2" xfId="4371"/>
    <cellStyle name="强调文字颜色 2 2 4 2 2 2 3" xfId="4372"/>
    <cellStyle name="计算 2 2 4 2 15" xfId="4373"/>
    <cellStyle name="强调文字颜色 5 2 3 2 2" xfId="4374"/>
    <cellStyle name="汇总 2 5 2" xfId="4375"/>
    <cellStyle name="注释 2 4 2 2 3 3 2" xfId="4376"/>
    <cellStyle name="链接单元格 2 5 2 3" xfId="4377"/>
    <cellStyle name="好 2 4 3 2" xfId="4378"/>
    <cellStyle name="60% - 强调文字颜色 1 2 6" xfId="4379"/>
    <cellStyle name="计算 2 2 3 2 9" xfId="4380"/>
    <cellStyle name="警告文本 2 2 4 4 3" xfId="4381"/>
    <cellStyle name="60% - 强调文字颜色 1 2 7 2 2" xfId="4382"/>
    <cellStyle name="60% - 强调文字颜色 1 2 9" xfId="4383"/>
    <cellStyle name="计算 2 2 3 3 2 7" xfId="4384"/>
    <cellStyle name="汇总 2 2 6 5" xfId="4385"/>
    <cellStyle name="常规 8 2 3 3 2" xfId="4386"/>
    <cellStyle name="输入 2 4 2 7 2" xfId="4387"/>
    <cellStyle name="注释 2 2 2 4 2 2 2" xfId="4388"/>
    <cellStyle name="40% - 强调文字颜色 5 2 5 3 2" xfId="4389"/>
    <cellStyle name="汇总 2 2 9 3 3 3" xfId="4390"/>
    <cellStyle name="注释 2 5 4 7" xfId="4391"/>
    <cellStyle name="汇总 2 2 4 2 5 4 2" xfId="4392"/>
    <cellStyle name="超链接 2 5 2 2 2" xfId="4393"/>
    <cellStyle name="适中 2 2 2 3 3 2" xfId="4394"/>
    <cellStyle name="40% - 强调文字颜色 4 3 3" xfId="4395"/>
    <cellStyle name="汇总 2 8 4 3 3" xfId="4396"/>
    <cellStyle name="输入 2 3 2 3 5" xfId="4397"/>
    <cellStyle name="60% - 强调文字颜色 4 3 2 2 2 2 2 2" xfId="4398"/>
    <cellStyle name="40% - 强调文字颜色 3 2 4 6" xfId="4399"/>
    <cellStyle name="注释 2 2 3 4 4 2 2" xfId="4400"/>
    <cellStyle name="40% - 强调文字颜色 6 2 7 3 2" xfId="4401"/>
    <cellStyle name="40% - 强调文字颜色 5 2 2 4 2 2 2 2" xfId="4402"/>
    <cellStyle name="20% - 强调文字颜色 1 2 5 3 2 2" xfId="4403"/>
    <cellStyle name="20% - 强调文字颜色 4 4 2 2 2 2 2" xfId="4404"/>
    <cellStyle name="百分比 2 2 4 2" xfId="4405"/>
    <cellStyle name="标题 1 2 2 5 3 2" xfId="4406"/>
    <cellStyle name="常规 2 2 2 2 3 2 2" xfId="4407"/>
    <cellStyle name="40% - 强调文字颜色 2 3 2 4 2 2" xfId="4408"/>
    <cellStyle name="注释 3 2 3 4" xfId="4409"/>
    <cellStyle name="标题 4 2 4 2 3" xfId="4410"/>
    <cellStyle name="20% - 强调文字颜色 3 3 2 3 2 2 2" xfId="4411"/>
    <cellStyle name="60% - 强调文字颜色 4 2 2 4 2 3" xfId="4412"/>
    <cellStyle name="常规 7 3 4 3" xfId="4413"/>
    <cellStyle name="输出 2 2 3 3 2" xfId="4414"/>
    <cellStyle name="常规 4 8 2" xfId="4415"/>
    <cellStyle name="计算 2 4 2 8 2" xfId="4416"/>
    <cellStyle name="强调文字颜色 6 3 4" xfId="4417"/>
    <cellStyle name="汇总 2 10 7" xfId="4418"/>
    <cellStyle name="20% - 强调文字颜色 3 2 2 2 3 3 2" xfId="4419"/>
    <cellStyle name="60% - 强调文字颜色 4 2 2 5 2 2 2" xfId="4420"/>
    <cellStyle name="常规 13 3 2 4 3" xfId="4421"/>
    <cellStyle name="60% - 强调文字颜色 1 2 3 3 2 2" xfId="4422"/>
    <cellStyle name="40% - 强调文字颜色 5 2 7 2 2 2" xfId="4423"/>
    <cellStyle name="20% - 强调文字颜色 6 2 3 2 2 3 2" xfId="4424"/>
    <cellStyle name="60% - 强调文字颜色 2 2 2 2 4 2 2 2" xfId="4425"/>
    <cellStyle name="计算 2 5 3 3 4" xfId="4426"/>
    <cellStyle name="60% - 强调文字颜色 1 3 2 4 2 2 2" xfId="4427"/>
    <cellStyle name="汇总 2 2 3 2 11" xfId="4428"/>
    <cellStyle name="输出 2 2 4 2 4 2 2" xfId="4429"/>
    <cellStyle name="60% - 强调文字颜色 6 2 2 5 2 3" xfId="4430"/>
    <cellStyle name="强调文字颜色 4 3 9" xfId="4431"/>
    <cellStyle name="汇总 2 2 3 4 4 2" xfId="4432"/>
    <cellStyle name="标题 2 2 3 2 6 3" xfId="4433"/>
    <cellStyle name="常规 6 6 2" xfId="4434"/>
    <cellStyle name="20% - 强调文字颜色 5 2 2 2 2 2 4 3" xfId="4435"/>
    <cellStyle name="20% - 强调文字颜色 6 4 2 3 2 2 2" xfId="4436"/>
    <cellStyle name="20% - 强调文字颜色 6 2 2 2 4 2" xfId="4437"/>
    <cellStyle name="20% - 强调文字颜色 5 4 4 2" xfId="4438"/>
    <cellStyle name="注释 2 3 4 7" xfId="4439"/>
    <cellStyle name="40% - 强调文字颜色 2 2 2 2 6" xfId="4440"/>
    <cellStyle name="计算 2 2 3 4 2 6" xfId="4441"/>
    <cellStyle name="60% - 强调文字颜色 3 2 2 2 2 3 3 2" xfId="4442"/>
    <cellStyle name="标题 1 2 2 2 2 3 2 2" xfId="4443"/>
    <cellStyle name="20% - 强调文字颜色 4 2 3 5 2" xfId="4444"/>
    <cellStyle name="注释 2 5 2 2 4 2" xfId="4445"/>
    <cellStyle name="20% - 强调文字颜色 2 2 2 2 2 5 2" xfId="4446"/>
    <cellStyle name="强调文字颜色 6 2 2 2 2 2 5" xfId="4447"/>
    <cellStyle name="汇总 2 2 6 2 8" xfId="4448"/>
    <cellStyle name="常规 5 5 2 2 2 2" xfId="4449"/>
    <cellStyle name="好 2 2 2 2 3 3" xfId="4450"/>
    <cellStyle name="20% - 强调文字颜色 2 2 3 2 2 3 3" xfId="4451"/>
    <cellStyle name="常规 7 2 3 3 2 2" xfId="4452"/>
    <cellStyle name="输出 2 2 12 2 2" xfId="4453"/>
    <cellStyle name="20% - 强调文字颜色 5 3 2 2 4 2" xfId="4454"/>
    <cellStyle name="输出 2 2 2 2 2 2 2" xfId="4455"/>
    <cellStyle name="强调文字颜色 3 3 2 2" xfId="4456"/>
    <cellStyle name="百分比 2 2 4 2 2 2" xfId="4457"/>
    <cellStyle name="输入 4 5 2" xfId="4458"/>
    <cellStyle name="常规 16 2 2 2" xfId="4459"/>
    <cellStyle name="标题 3 2 2 2 7 2" xfId="4460"/>
    <cellStyle name="60% - 强调文字颜色 2 3 2 2 2 2 2" xfId="4461"/>
    <cellStyle name="常规 5 2 3 9" xfId="4462"/>
    <cellStyle name="输入 2 5 4 5 3" xfId="4463"/>
    <cellStyle name="60% - 强调文字颜色 4 3 8" xfId="4464"/>
    <cellStyle name="输入 2 2 9 4" xfId="4465"/>
    <cellStyle name="40% - 强调文字颜色 6 2 3 2 2 3 2 2" xfId="4466"/>
    <cellStyle name="20% - 强调文字颜色 6 2 2 2 2" xfId="4467"/>
    <cellStyle name="20% - 强调文字颜色 5 4 2" xfId="4468"/>
    <cellStyle name="常规 6 2 2" xfId="4469"/>
    <cellStyle name="汇总 2 5 2 2 2 2 5 2" xfId="4470"/>
    <cellStyle name="强调文字颜色 2 2 6 3 2" xfId="4471"/>
    <cellStyle name="40% - 强调文字颜色 6 2 3 2 2 4 2 2" xfId="4472"/>
    <cellStyle name="20% - 强调文字颜色 6 2 3 2 2" xfId="4473"/>
    <cellStyle name="20% - 强调文字颜色 6 4 2" xfId="4474"/>
    <cellStyle name="解释性文本 2 2 2 4 3" xfId="4475"/>
    <cellStyle name="常规 6 3 2 2 3 2 2 2" xfId="4476"/>
    <cellStyle name="链接单元格 2 3 2 3 3 2 2" xfId="4477"/>
    <cellStyle name="60% - 强调文字颜色 6 3 2 2 4 2" xfId="4478"/>
    <cellStyle name="输出 2 2 3 3 2 2 2 3" xfId="4479"/>
    <cellStyle name="40% - 强调文字颜色 3 2 3 2 2 4 2 2" xfId="4480"/>
    <cellStyle name="常规 4 2 4 3 3 3" xfId="4481"/>
    <cellStyle name="20% - 强调文字颜色 4 2 2 5 3 2" xfId="4482"/>
    <cellStyle name="强调文字颜色 3 2 2 3 3 3" xfId="4483"/>
    <cellStyle name="标题 2 4 2 2 2 3" xfId="4484"/>
    <cellStyle name="计算 2 2 4 3 3 2 2 2" xfId="4485"/>
    <cellStyle name="输出 2 4 10" xfId="4486"/>
    <cellStyle name="40% - 强调文字颜色 5 2 3 4 2 2" xfId="4487"/>
    <cellStyle name="Normal 4 2 3" xfId="4488"/>
    <cellStyle name="40% - 强调文字颜色 1 2 2 4 3 2 2 2" xfId="4489"/>
    <cellStyle name="60% - 强调文字颜色 5 2 2 4 3 3" xfId="4490"/>
    <cellStyle name="40% - 强调文字颜色 1 2 3 4 3" xfId="4491"/>
    <cellStyle name="20% - 强调文字颜色 2 2 3 2 2 3 2" xfId="4492"/>
    <cellStyle name="标题 3 2 2 2 3 5" xfId="4493"/>
    <cellStyle name="强调文字颜色 4 2 6 3" xfId="4494"/>
    <cellStyle name="输入 2 2 5 7" xfId="4495"/>
    <cellStyle name="20% - 强调文字颜色 4 3 2 2 2" xfId="4496"/>
    <cellStyle name="20% - 强调文字颜色 3 2 2 5 2 2" xfId="4497"/>
    <cellStyle name="汇总 2 4 2 3 8" xfId="4498"/>
    <cellStyle name="汇总 2 5 2 2 3 2 3" xfId="4499"/>
    <cellStyle name="40% - 强调文字颜色 6 4 3" xfId="4500"/>
    <cellStyle name="输入 2 2 6 2 5" xfId="4501"/>
    <cellStyle name="汇总 2 2 5 8 3" xfId="4502"/>
    <cellStyle name="输出 2 2 3 8 2" xfId="4503"/>
    <cellStyle name="常规 8 2 3 2" xfId="4504"/>
    <cellStyle name="60% - 强调文字颜色 6 2 2 5 2 2 3" xfId="4505"/>
    <cellStyle name="40% - 强调文字颜色 4 3 4" xfId="4506"/>
    <cellStyle name="计算 2 2 3 6 2 2" xfId="4507"/>
    <cellStyle name="输入 2 3 2 3 6" xfId="4508"/>
    <cellStyle name="计算 2 2 6 10" xfId="4509"/>
    <cellStyle name="标题 4 2 3 2 3 4" xfId="4510"/>
    <cellStyle name="计算 4 2 3 4" xfId="4511"/>
    <cellStyle name="20% - 强调文字颜色 6 2 3 7 2" xfId="4512"/>
    <cellStyle name="输入 2 2 12 2" xfId="4513"/>
    <cellStyle name="20% - 强调文字颜色 5 3 9" xfId="4514"/>
    <cellStyle name="标题 1 3 2 2" xfId="4515"/>
    <cellStyle name="60% - 强调文字颜色 5 2 7 2 2 2" xfId="4516"/>
    <cellStyle name="输出 2 3 3 4 2 2" xfId="4517"/>
    <cellStyle name="常规 10" xfId="4518"/>
    <cellStyle name="40% - 强调文字颜色 4 2 5" xfId="4519"/>
    <cellStyle name="40% - 强调文字颜色 5 2 2 3 2 2" xfId="4520"/>
    <cellStyle name="注释 2 2 4 7 2" xfId="4521"/>
    <cellStyle name="适中 2 2 2 3 2 2" xfId="4522"/>
    <cellStyle name="20% - 强调文字颜色 5 2 2 2 3 3 2" xfId="4523"/>
    <cellStyle name="计算 2 2 3 4 5 2" xfId="4524"/>
    <cellStyle name="常规 2 4 4 2 2 2" xfId="4525"/>
    <cellStyle name="60% - 强调文字颜色 1 2 2 6 2 2 2" xfId="4526"/>
    <cellStyle name="汇总 2 5 4 2" xfId="4527"/>
    <cellStyle name="40% - 强调文字颜色 2 2 3 2 3 2 2" xfId="4528"/>
    <cellStyle name="计算 2 4 2" xfId="4529"/>
    <cellStyle name="20% - 强调文字颜色 3 2 2 4 3 2 2 2" xfId="4530"/>
    <cellStyle name="汇总 2 2 5 3 3 2" xfId="4531"/>
    <cellStyle name="40% - 强调文字颜色 6 2 3 2 2 2 2" xfId="4532"/>
    <cellStyle name="汇总 2 2 5 7 2 2" xfId="4533"/>
    <cellStyle name="40% - 强调文字颜色 4 2 2 2 4 3" xfId="4534"/>
    <cellStyle name="常规 2 2 6 3 2" xfId="4535"/>
    <cellStyle name="计算 2 2 7 3 3" xfId="4536"/>
    <cellStyle name="40% - 强调文字颜色 1 6 2" xfId="4537"/>
    <cellStyle name="汇总 2 7 3 4 2" xfId="4538"/>
    <cellStyle name="标题 1 2 2 6 3 2 2" xfId="4539"/>
    <cellStyle name="20% - 强调文字颜色 3 2 2 2 2 3 2 2 2 2" xfId="4540"/>
    <cellStyle name="常规 4 2 5 3 2" xfId="4541"/>
    <cellStyle name="60% - 强调文字颜色 6 2 5 2 3" xfId="4542"/>
    <cellStyle name="计算 2 2 6 10 3" xfId="4543"/>
    <cellStyle name="40% - 强调文字颜色 5 2 2 6 2" xfId="4544"/>
    <cellStyle name="常规 8 4 3 2 2" xfId="4545"/>
    <cellStyle name="注释 2 2 8 2" xfId="4546"/>
    <cellStyle name="输入 2 6 2 6 2" xfId="4547"/>
    <cellStyle name="适中 3 5 2" xfId="4548"/>
    <cellStyle name="40% - 强调文字颜色 5 2 2 2 2 3" xfId="4549"/>
    <cellStyle name="40% - 强调文字颜色 3 2 6" xfId="4550"/>
    <cellStyle name="注释 2 2 7 7" xfId="4551"/>
    <cellStyle name="适中 2 2 2 2 2 5" xfId="4552"/>
    <cellStyle name="60% - 强调文字颜色 1 4 2 2 2" xfId="4553"/>
    <cellStyle name="计算 2 2 3 4 5 2 2" xfId="4554"/>
    <cellStyle name="标题 5 2 4 2 2 3" xfId="4555"/>
    <cellStyle name="40% - 强调文字颜色 1 4 4 2 2 2" xfId="4556"/>
    <cellStyle name="60% - 强调文字颜色 5 3 3 4 2" xfId="4557"/>
    <cellStyle name="标题 4 2 2 2 2 3 4" xfId="4558"/>
    <cellStyle name="40% - 强调文字颜色 2 3 3 3" xfId="4559"/>
    <cellStyle name="20% - 强调文字颜色 5 2 3 3 2 2 2 2 2" xfId="4560"/>
    <cellStyle name="输入 2 2 2 2 7" xfId="4561"/>
    <cellStyle name="汇总 2 7 4 2 5" xfId="4562"/>
    <cellStyle name="40% - 强调文字颜色 2 4 5" xfId="4563"/>
    <cellStyle name="计算 2 4 3 6 2" xfId="4564"/>
    <cellStyle name="解释性文本 2 2 3 4" xfId="4565"/>
    <cellStyle name="标题 4 2 2 4 2 2 3" xfId="4566"/>
    <cellStyle name="40% - 强调文字颜色 4 3 2 2" xfId="4567"/>
    <cellStyle name="60% - 强调文字颜色 2 2 2 3 3 3" xfId="4568"/>
    <cellStyle name="汇总 2 4 2 5 2" xfId="4569"/>
    <cellStyle name="汇总 2 5 2 3 5 3" xfId="4570"/>
    <cellStyle name="强调文字颜色 3 2 2 3 5 2" xfId="4571"/>
    <cellStyle name="20% - 强调文字颜色 5 2 2 2 2 2 3 2 2 2" xfId="4572"/>
    <cellStyle name="20% - 强调文字颜色 5 4 3 2 2 2" xfId="4573"/>
    <cellStyle name="汇总 2 2 7 3 2 3 2" xfId="4574"/>
    <cellStyle name="输出 2 4 4 6 2" xfId="4575"/>
    <cellStyle name="强调文字颜色 5 2 2 2 5 2 3" xfId="4576"/>
    <cellStyle name="常规 5 2 3 4 2 5" xfId="4577"/>
    <cellStyle name="输入 2 2 4 3 2 6" xfId="4578"/>
    <cellStyle name="计算 2 6 2 9" xfId="4579"/>
    <cellStyle name="计算 2 3 2 3 3" xfId="4580"/>
    <cellStyle name="60% - 强调文字颜色 1 4 5 2" xfId="4581"/>
    <cellStyle name="注释 2 5 8" xfId="4582"/>
    <cellStyle name="60% - 强调文字颜色 6 2 3 2 3 3 2" xfId="4583"/>
    <cellStyle name="20% - 强调文字颜色 3 2 3 2 2 3 2 2" xfId="4584"/>
    <cellStyle name="60% - 强调文字颜色 3 2 3 2 2 3 2" xfId="4585"/>
    <cellStyle name="20% - 强调文字颜色 6 2 4 5 2" xfId="4586"/>
    <cellStyle name="60% - 强调文字颜色 5" xfId="4587" builtinId="48"/>
    <cellStyle name="强调文字颜色 4 2 2 3 2 2 2" xfId="4588"/>
    <cellStyle name="汇总 2 2 7 3 6" xfId="4589"/>
    <cellStyle name="标题 2 2 2 2 3 6" xfId="4590"/>
    <cellStyle name="60% - 强调文字颜色 1 2 3 2 4 2 2" xfId="4591"/>
    <cellStyle name="20% - 强调文字颜色 4 3 7" xfId="4592"/>
    <cellStyle name="标题 8 2 2 3" xfId="4593"/>
    <cellStyle name="汇总 2 2 10 2 2 2" xfId="4594"/>
    <cellStyle name="适中 3 3" xfId="4595"/>
    <cellStyle name="标题 1 2 4 2 2" xfId="4596"/>
    <cellStyle name="适中 2 3 3 2 2 2" xfId="4597"/>
    <cellStyle name="40% - 强调文字颜色 5 2 5 2 2 2" xfId="4598"/>
    <cellStyle name="计算 2 10 2 7" xfId="4599"/>
    <cellStyle name="60% - 强调文字颜色 2 2 2 2 3 5" xfId="4600"/>
    <cellStyle name="40% - 强调文字颜色 4 2 2 2 4" xfId="4601"/>
    <cellStyle name="计算 2 7 9 2" xfId="4602"/>
    <cellStyle name="40% - 强调文字颜色 2 3 2 3" xfId="4603"/>
    <cellStyle name="60% - 强调文字颜色 5 3 3 3 2" xfId="4604"/>
    <cellStyle name="标题 4 2 2 2 2 2 4" xfId="4605"/>
    <cellStyle name="60% - 强调文字颜色 1 3 2 4 2" xfId="4606"/>
    <cellStyle name="适中 2 7 2 2 2" xfId="4607"/>
    <cellStyle name="汇总 2 5 4 9" xfId="4608"/>
    <cellStyle name="汇总 2 2 3 2 3 4 2 2" xfId="4609"/>
    <cellStyle name="解释性文本 2" xfId="4610"/>
    <cellStyle name="汇总 2 2 8 2 2 3 3" xfId="4611"/>
    <cellStyle name="60% - 强调文字颜色 5 2 2 2 3 4" xfId="4612"/>
    <cellStyle name="标题 2 2 2 2 2 2" xfId="4613"/>
    <cellStyle name="注释 4 2" xfId="4614"/>
    <cellStyle name="计算 2 6 2 3 7" xfId="4615"/>
    <cellStyle name="20% - 强调文字颜色 3 2 6 3 2" xfId="4616"/>
    <cellStyle name="计算 2 5 3 4 2" xfId="4617"/>
    <cellStyle name="注释 2 4 2 5 2 2" xfId="4618"/>
    <cellStyle name="输入 2 6 3 3 2" xfId="4619"/>
    <cellStyle name="注释 2 3 5 2" xfId="4620"/>
    <cellStyle name="超链接 2 3 2 2 2 3" xfId="4621"/>
    <cellStyle name="60% - 强调文字颜色 6 4 2 3 2 2" xfId="4622"/>
    <cellStyle name="40% - 强调文字颜色 4 2 3 2 4 2" xfId="4623"/>
    <cellStyle name="常规 2 2 4" xfId="4624"/>
    <cellStyle name="标题 4 2 2 4 5 2 2" xfId="4625"/>
    <cellStyle name="解释性文本 2 5 3 3" xfId="4626"/>
    <cellStyle name="标题 4 2 3 4 3 2" xfId="4627"/>
    <cellStyle name="汇总 2 2 9 7" xfId="4628"/>
    <cellStyle name="汇总 2 9 2 5" xfId="4629"/>
    <cellStyle name="20% - 强调文字颜色 6 2 3 5 2 2 2" xfId="4630"/>
    <cellStyle name="20% - 强调文字颜色 3 2 3 2 2 2 2 2 2 2" xfId="4631"/>
    <cellStyle name="常规 2 3 3 3 2 2" xfId="4632"/>
    <cellStyle name="40% - 强调文字颜色 3 2 2 2 5 2 2" xfId="4633"/>
    <cellStyle name="百分比 2 2 2" xfId="4634"/>
    <cellStyle name="强调文字颜色 6 2 3 6" xfId="4635"/>
    <cellStyle name="汇总 2 8 4" xfId="4636"/>
    <cellStyle name="40% - 强调文字颜色 3 2 7 2 2" xfId="4637"/>
    <cellStyle name="标题 4 3 3 2 3" xfId="4638"/>
    <cellStyle name="汇总 2 6 3 5 2 2" xfId="4639"/>
    <cellStyle name="60% - 强调文字颜色 1 3 3 4" xfId="4640"/>
    <cellStyle name="标题 5 2 4" xfId="4641"/>
    <cellStyle name="适中 2 7 3 2" xfId="4642"/>
    <cellStyle name="输出 4 7 2 2" xfId="4643"/>
    <cellStyle name="强调文字颜色 4 2 6 3 2" xfId="4644"/>
    <cellStyle name="输入 2 2 5 7 2" xfId="4645"/>
    <cellStyle name="20% - 强调文字颜色 5 2 2 3 5 2 2" xfId="4646"/>
    <cellStyle name="标题 1 6 2 2" xfId="4647"/>
    <cellStyle name="60% - 强调文字颜色 6 2 2 3 4" xfId="4648"/>
    <cellStyle name="汇总 2 2 4 2 4 2" xfId="4649"/>
    <cellStyle name="计算 2 2 11 2" xfId="4650"/>
    <cellStyle name="20% - 强调文字颜色 3 4 2 4 2" xfId="4651"/>
    <cellStyle name="计算 2 2 8 3 7" xfId="4652"/>
    <cellStyle name="输入 2 2 2 4 8" xfId="4653"/>
    <cellStyle name="60% - 强调文字颜色 6 4 4 2" xfId="4654"/>
    <cellStyle name="适中 2 2 4 2 3" xfId="4655"/>
    <cellStyle name="计算 2 8 2 2 3" xfId="4656"/>
    <cellStyle name="20% - 强调文字颜色 5 6" xfId="4657"/>
    <cellStyle name="20% - 强调文字颜色 6 2 2 4" xfId="4658"/>
    <cellStyle name="汇总 2 2 5 5 3" xfId="4659"/>
    <cellStyle name="强调文字颜色 5 3 6" xfId="4660"/>
    <cellStyle name="标题 4 3 2 3 2 2" xfId="4661"/>
    <cellStyle name="常规 10 2 4 5" xfId="4662"/>
    <cellStyle name="输出 2 2 16" xfId="4663"/>
    <cellStyle name="检查单元格 2 3 2 4 2" xfId="4664"/>
    <cellStyle name="常规 27" xfId="4665"/>
    <cellStyle name="标题 1 2 5 2 2 2" xfId="4666"/>
    <cellStyle name="注释 2 6 2 4" xfId="4667"/>
    <cellStyle name="20% - 强调文字颜色 3 2 3 2 2 3 3 2 2" xfId="4668"/>
    <cellStyle name="差 2 3 2 3" xfId="4669"/>
    <cellStyle name="40% - 强调文字颜色 6 2 2 2 7" xfId="4670"/>
    <cellStyle name="40% - 强调文字颜色 6 2 2 2 2 5 2" xfId="4671"/>
    <cellStyle name="输入 3 3 2 2 2" xfId="4672"/>
    <cellStyle name="差 2 4 2 2 2" xfId="4673"/>
    <cellStyle name="常规 4 4 2 2 3 2 2" xfId="4674"/>
    <cellStyle name="适中 3 2 3" xfId="4675"/>
    <cellStyle name="输出 5 2 2" xfId="4676"/>
    <cellStyle name="60% - 强调文字颜色 1 2 2 2 6 2 2 2" xfId="4677"/>
    <cellStyle name="汇总 2 2 6 5 2 2" xfId="4678"/>
    <cellStyle name="20% - 强调文字颜色 6 3 2 3 2" xfId="4679"/>
    <cellStyle name="解释性文本 2 2 3 8" xfId="4680"/>
    <cellStyle name="输出 2 2 4 3 4 2" xfId="4681"/>
    <cellStyle name="标题 5 2 4 4 2 2" xfId="4682"/>
    <cellStyle name="标题 3 2 2 2 3 4" xfId="4683"/>
    <cellStyle name="输入 2 2 5 6" xfId="4684"/>
    <cellStyle name="强调文字颜色 4 2 6 2" xfId="4685"/>
    <cellStyle name="计算 2 2 6 5 2 3" xfId="4686"/>
    <cellStyle name="输出 2 6 9 2" xfId="4687"/>
    <cellStyle name="强调文字颜色 1 2 3 4 3 2" xfId="4688"/>
    <cellStyle name="60% - 强调文字颜色 1 6" xfId="4689"/>
    <cellStyle name="汇总 2 5 2 5 2 2" xfId="4690"/>
    <cellStyle name="标题 3 2 3 2 3" xfId="4691"/>
    <cellStyle name="20% - 强调文字颜色 3 3 2 3 2 2" xfId="4692"/>
    <cellStyle name="常规 8 3 4 2 2" xfId="4693"/>
    <cellStyle name="汇总 2 4 5 2 2 2" xfId="4694"/>
    <cellStyle name="输入 2 11 2 2" xfId="4695"/>
    <cellStyle name="汇总 2 3 5 2" xfId="4696"/>
    <cellStyle name="20% - 强调文字颜色 5 2 2 6 3 2 2" xfId="4697"/>
    <cellStyle name="标题 4 4 2 2" xfId="4698"/>
    <cellStyle name="强调文字颜色 1 2 3 2 5 2" xfId="4699"/>
    <cellStyle name="60% - 强调文字颜色 2 2 2 2 7" xfId="4700"/>
    <cellStyle name="计算 2 2 4 3 2 2 5" xfId="4701"/>
    <cellStyle name="60% - 强调文字颜色 2 2 2 2 2 4" xfId="4702"/>
    <cellStyle name="20% - 强调文字颜色 6 4 4 2 2 2" xfId="4703"/>
    <cellStyle name="输入 2 2 5 8 2 2" xfId="4704"/>
    <cellStyle name="注释 2 5 3 4 2" xfId="4705"/>
    <cellStyle name="汇总 2 2 6 2 3 5" xfId="4706"/>
    <cellStyle name="标题 2 3 2 2 4 2" xfId="4707"/>
    <cellStyle name="汇总 2 5 3 6 3" xfId="4708"/>
    <cellStyle name="20% - 强调文字颜色 1 2 2 2 5 2" xfId="4709"/>
    <cellStyle name="注释 2 7 2 2 2" xfId="4710"/>
    <cellStyle name="20% - 强调文字颜色 6 5" xfId="4711"/>
    <cellStyle name="20% - 强调文字颜色 6 2 3 3" xfId="4712"/>
    <cellStyle name="计算 2 3 2 2 4 2 2" xfId="4713"/>
    <cellStyle name="60% - 强调文字颜色 2 2 2 3" xfId="4714"/>
    <cellStyle name="常规 3 3 2 2 2 2 2" xfId="4715"/>
    <cellStyle name="注释 3 2 2 3 2 2" xfId="4716"/>
    <cellStyle name="汇总 2 2 5 6 2" xfId="4717"/>
    <cellStyle name="链接单元格 2 3 2 6" xfId="4718"/>
    <cellStyle name="注释 2 2 4 3" xfId="4719"/>
    <cellStyle name="输入 2 6 2 2 3" xfId="4720"/>
    <cellStyle name="40% - 强调文字颜色 2 2" xfId="4721"/>
    <cellStyle name="好 3 3 3 2 2 2" xfId="4722"/>
    <cellStyle name="40% - 强调文字颜色 6 2 9" xfId="4723"/>
    <cellStyle name="汇总 2 2 2 2 10" xfId="4724"/>
    <cellStyle name="标题 1 2 2 5 2 2 3" xfId="4725"/>
    <cellStyle name="百分比 2 2 3 2 3" xfId="4726"/>
    <cellStyle name="40% - 强调文字颜色 5 2 2 2 2 4" xfId="4727"/>
    <cellStyle name="40% - 强调文字颜色 3 2 7" xfId="4728"/>
    <cellStyle name="60% - 强调文字颜色 2 2 2 4 2 2" xfId="4729"/>
    <cellStyle name="计算 2 3 5" xfId="4730"/>
    <cellStyle name="60% - 强调文字颜色 2 2 2 3 2 2 2 2" xfId="4731"/>
    <cellStyle name="计算 2 3 7" xfId="4732"/>
    <cellStyle name="汇总 2 4 3 4 3" xfId="4733"/>
    <cellStyle name="20% - 强调文字颜色 5 2 2 5 3" xfId="4734"/>
    <cellStyle name="输出 2 2 5 4 4" xfId="4735"/>
    <cellStyle name="标题 3 4" xfId="4736"/>
    <cellStyle name="输出 2 2 3 3 9" xfId="4737"/>
    <cellStyle name="60% - 强调文字颜色 2 2 2 4 3 3 2" xfId="4738"/>
    <cellStyle name="解释性文本 2 4 2 4" xfId="4739"/>
    <cellStyle name="注释 2 9 7" xfId="4740"/>
    <cellStyle name="标题 4 2 2 3 7" xfId="4741"/>
    <cellStyle name="60% - 强调文字颜色 6 2 9" xfId="4742"/>
    <cellStyle name="40% - 强调文字颜色 3 2 5 5 2 2" xfId="4743"/>
    <cellStyle name="汇总 2 2 8 2 2 2 3" xfId="4744"/>
    <cellStyle name="60% - 强调文字颜色 5 2 2 2 2 4" xfId="4745"/>
    <cellStyle name="40% - 强调文字颜色 3 3 2 2 4" xfId="4746"/>
    <cellStyle name="输出 2 4 7 2" xfId="4747"/>
    <cellStyle name="计算 2 5 4" xfId="4748"/>
    <cellStyle name="20% - 强调文字颜色 2 2 2 3 2 2 2 2 2" xfId="4749"/>
    <cellStyle name="汇总 2 7 4 2 3 3" xfId="4750"/>
    <cellStyle name="输入 2 2 2 2 5 3" xfId="4751"/>
    <cellStyle name="20% - 强调文字颜色 2 3 4 2" xfId="4752"/>
    <cellStyle name="60% - 强调文字颜色 2 2 2 7" xfId="4753"/>
    <cellStyle name="计算 2 2 3 2 2 3 2" xfId="4754"/>
    <cellStyle name="标题 6 2 2 3 2 2" xfId="4755"/>
    <cellStyle name="计算 2 19" xfId="4756"/>
    <cellStyle name="40% - 强调文字颜色 6 2 4 3 3" xfId="4757"/>
    <cellStyle name="强调文字颜色 6 2 3 8" xfId="4758"/>
    <cellStyle name="汇总 2 8 6" xfId="4759"/>
    <cellStyle name="注释 2 2 3 7 2" xfId="4760"/>
    <cellStyle name="输出 2 7 7 2 2" xfId="4761"/>
    <cellStyle name="好 2 6 2 2 2" xfId="4762"/>
    <cellStyle name="注释 3 3" xfId="4763"/>
    <cellStyle name="计算 2 6 2 2 8" xfId="4764"/>
    <cellStyle name="常规 2 3 2 2" xfId="4765"/>
    <cellStyle name="20% - 强调文字颜色 6 2 3 5" xfId="4766"/>
    <cellStyle name="注释 2 3 3 3 2 2" xfId="4767"/>
    <cellStyle name="计算 2 2 6 3 6" xfId="4768"/>
    <cellStyle name="计算 2 2 2 4 3 3" xfId="4769"/>
    <cellStyle name="汇总 2 2 4 2 2 5 2" xfId="4770"/>
    <cellStyle name="60% - 强调文字颜色 2 3 2 5" xfId="4771"/>
    <cellStyle name="标题 2 2 2 3 8" xfId="4772"/>
    <cellStyle name="计算 3 2 2 2 5 2" xfId="4773"/>
    <cellStyle name="60% - 强调文字颜色 1 2 2 2 2 3 2" xfId="4774"/>
    <cellStyle name="40% - 强调文字颜色 3 3 3 2 2 2 2" xfId="4775"/>
    <cellStyle name="输入 3 9 2" xfId="4776"/>
    <cellStyle name="20% - 强调文字颜色 4 2 6 3 2 2" xfId="4777"/>
    <cellStyle name="常规 9 3 2 2 2" xfId="4778"/>
    <cellStyle name="20% - 强调文字颜色 2 2 2 2 7 2" xfId="4779"/>
    <cellStyle name="汇总 2 5 5 5 2 2" xfId="4780"/>
    <cellStyle name="注释 2 2 2 3 2 5" xfId="4781"/>
    <cellStyle name="40% - 强调文字颜色 5 2 2 5 2 2 2" xfId="4782"/>
    <cellStyle name="标题 2 2 2 2 2 4 3" xfId="4783"/>
    <cellStyle name="输入 2 2 5 4 2" xfId="4784"/>
    <cellStyle name="20% - 强调文字颜色 4 4 3 2 2 2" xfId="4785"/>
    <cellStyle name="计算 2 2 4 2 3 2" xfId="4786"/>
    <cellStyle name="强调文字颜色 6 2 2 2 3 2 2" xfId="4787"/>
    <cellStyle name="汇总 2 2 7 2 5" xfId="4788"/>
    <cellStyle name="标题 4 6 3" xfId="4789"/>
    <cellStyle name="汇总 2 2 8 3 2 3 3" xfId="4790"/>
    <cellStyle name="常规 5 2 2 2 4 2" xfId="4791"/>
    <cellStyle name="40% - 强调文字颜色 3 3 2 3" xfId="4792"/>
    <cellStyle name="标题 4 3 2 3" xfId="4793"/>
    <cellStyle name="计算 2 6 2 2 3 3 2" xfId="4794"/>
    <cellStyle name="输出 2 3 2 2 5 3" xfId="4795"/>
    <cellStyle name="计算 2 2 8 4" xfId="4796"/>
    <cellStyle name="40% - 强调文字颜色 6 2" xfId="4797"/>
    <cellStyle name="汇总 2 2 3 2 2 2 3 3" xfId="4798"/>
    <cellStyle name="汇总 2 5 6 2 2 2" xfId="4799"/>
    <cellStyle name="输入 3 2 2 5" xfId="4800"/>
    <cellStyle name="输入 2 2 6 2 4 2" xfId="4801"/>
    <cellStyle name="40% - 强调文字颜色 6 4 2 2" xfId="4802"/>
    <cellStyle name="汇总 2 5 2 6 4" xfId="4803"/>
    <cellStyle name="常规 5 2 3 2 5 2 2" xfId="4804"/>
    <cellStyle name="40% - 强调文字颜色 4 3 3 3 2" xfId="4805"/>
    <cellStyle name="汇总 2 4 2 4" xfId="4806"/>
    <cellStyle name="注释 2 2 2 6 2" xfId="4807"/>
    <cellStyle name="40% - 强调文字颜色 1 3 2 3 2 2 2" xfId="4808"/>
    <cellStyle name="60% - 强调文字颜色 1 2 3 2 3 2 2" xfId="4809"/>
    <cellStyle name="输入 2 2 2 3 4 2 2" xfId="4810"/>
    <cellStyle name="40% - 强调文字颜色 2 5 2 2 2" xfId="4811"/>
    <cellStyle name="计算 2 2 8 2 3 2 2" xfId="4812"/>
    <cellStyle name="40% - 强调文字颜色 3 2 2 2 2 2 2" xfId="4813"/>
    <cellStyle name="强调文字颜色 4 2 2 3 2 2 2 3" xfId="4814"/>
    <cellStyle name="60% - 强调文字颜色 5 3" xfId="4815"/>
    <cellStyle name="标题 4 2 5" xfId="4816"/>
    <cellStyle name="适中 2 6 3 3" xfId="4817"/>
    <cellStyle name="60% - 强调文字颜色 4 2 3 2 6" xfId="4818"/>
    <cellStyle name="60% - 强调文字颜色 1 2 3 5" xfId="4819"/>
    <cellStyle name="强调文字颜色 2 3 9" xfId="4820"/>
    <cellStyle name="60% - 强调文字颜色 6 2 2 3 2 3" xfId="4821"/>
    <cellStyle name="输出 2 2 4 2 2 2 2" xfId="4822"/>
    <cellStyle name="40% - 强调文字颜色 4 2 2 2 4 2 2 2" xfId="4823"/>
    <cellStyle name="标题 4 2 2 4 5 3" xfId="4824"/>
    <cellStyle name="60% - 强调文字颜色 2 2 3 2 2 2" xfId="4825"/>
    <cellStyle name="好 2" xfId="4826"/>
    <cellStyle name="计算 2 2 4 4 2 2 3" xfId="4827"/>
    <cellStyle name="计算 2 2 2 2 3 3 2 2" xfId="4828"/>
    <cellStyle name="计算 4 3 4" xfId="4829"/>
    <cellStyle name="标题 1 6 2 3" xfId="4830"/>
    <cellStyle name="强调文字颜色 3 2 4 4 3" xfId="4831"/>
    <cellStyle name="常规 3 3 3 3 2 2" xfId="4832"/>
    <cellStyle name="计算 2 3 3 3 4 2" xfId="4833"/>
    <cellStyle name="输入 2 9 3 3" xfId="4834"/>
    <cellStyle name="常规 13 2 2 5" xfId="4835"/>
    <cellStyle name="超链接 3 5 2 3" xfId="4836"/>
    <cellStyle name="计算 2 3 2 2 4" xfId="4837"/>
    <cellStyle name="汇总 2 2 3 3 2 4 2" xfId="4838"/>
    <cellStyle name="差 2 2 2 3 4" xfId="4839"/>
    <cellStyle name="标题 1 2 4 2 2 2 2" xfId="4840"/>
    <cellStyle name="输入 2 3 3 9" xfId="4841"/>
    <cellStyle name="40% - 强调文字颜色 2 2 5 4" xfId="4842"/>
    <cellStyle name="强调文字颜色 2 2 4 4 2 2 2" xfId="4843"/>
    <cellStyle name="注释 2 6 4 4" xfId="4844"/>
    <cellStyle name="40% - 强调文字颜色 2 2 5 2 3" xfId="4845"/>
    <cellStyle name="链接单元格 2 2 2 4 3 2" xfId="4846"/>
    <cellStyle name="60% - 强调文字颜色 6 2 2 2 5 2 2 2" xfId="4847"/>
    <cellStyle name="好 2 4 5 3" xfId="4848"/>
    <cellStyle name="常规 8 3 2 2 2" xfId="4849"/>
    <cellStyle name="差 3 5 2 2" xfId="4850"/>
    <cellStyle name="20% - 强调文字颜色 1 4 2 4" xfId="4851"/>
    <cellStyle name="40% - 强调文字颜色 1 2 2 3 2 2" xfId="4852"/>
    <cellStyle name="计算 3 10 2" xfId="4853"/>
    <cellStyle name="计算 2 2 7 5 2 2 2" xfId="4854"/>
    <cellStyle name="计算 2 4 2 4 2" xfId="4855"/>
    <cellStyle name="标题 3 3 3 2 2 2" xfId="4856"/>
    <cellStyle name="标题 2 2 2 2 3 3 3" xfId="4857"/>
    <cellStyle name="注释 2 8 4 2 2" xfId="4858"/>
    <cellStyle name="注释 2 5 2 9" xfId="4859"/>
    <cellStyle name="注释 2 7 3 2 3" xfId="4860"/>
    <cellStyle name="标题 1 2 2 2 2 5 2" xfId="4861"/>
    <cellStyle name="20% - 强调文字颜色 6 3 3 4" xfId="4862"/>
    <cellStyle name="汇总 2 2 6 6 3" xfId="4863"/>
    <cellStyle name="常规 13 3 3 3" xfId="4864"/>
    <cellStyle name="计算 3 2 2 8" xfId="4865"/>
    <cellStyle name="输出 4 2 4 2 2" xfId="4866"/>
    <cellStyle name="计算 2 8 3 2 2" xfId="4867"/>
    <cellStyle name="适中 2 2 5 2 2" xfId="4868"/>
    <cellStyle name="解释性文本 2 2 6 3 3" xfId="4869"/>
    <cellStyle name="强调文字颜色 6 3 4 2" xfId="4870"/>
    <cellStyle name="60% - 强调文字颜色 6 2 5 4" xfId="4871"/>
    <cellStyle name="警告文本 2 3 3" xfId="4872"/>
    <cellStyle name="20% - 强调文字颜色 2 2 5 5 2 2" xfId="4873"/>
    <cellStyle name="计算 2 2 4 3 2 4 3" xfId="4874"/>
    <cellStyle name="60% - 强调文字颜色 2 2 2 2 4 2" xfId="4875"/>
    <cellStyle name="20% - 强调文字颜色 1 2 3 2 2 5" xfId="4876"/>
    <cellStyle name="计算 2 3 2 7 3" xfId="4877"/>
    <cellStyle name="百分比 2 2 2 3 3" xfId="4878"/>
    <cellStyle name="汇总 2 2 6 2 2 2 2 2 2" xfId="4879"/>
    <cellStyle name="链接单元格 2 3 2 2 5" xfId="4880"/>
    <cellStyle name="标题 5 2 2 9" xfId="4881"/>
    <cellStyle name="标题 2 2 2 6 2 2" xfId="4882"/>
    <cellStyle name="输出 2 5 2 2 7" xfId="4883"/>
    <cellStyle name="超链接 3 4 3 2 3" xfId="4884"/>
    <cellStyle name="汇总 2 2 8 3" xfId="4885"/>
    <cellStyle name="警告文本 2 3 5 2 2" xfId="4886"/>
    <cellStyle name="20% - 强调文字颜色 5 2 4 4 3 2" xfId="4887"/>
    <cellStyle name="汇总 2 2 4 3 4" xfId="4888"/>
    <cellStyle name="40% - 强调文字颜色 3 2 3 3 2 2 2 2 2" xfId="4889"/>
    <cellStyle name="汇总 2 3 3 2 4" xfId="4890"/>
    <cellStyle name="差 2 2 5 3 3" xfId="4891"/>
    <cellStyle name="输出 2 3 2 2 2 4" xfId="4892"/>
    <cellStyle name="60% - 强调文字颜色 5 2 4 4" xfId="4893"/>
    <cellStyle name="差 2 3 4 2 3" xfId="4894"/>
    <cellStyle name="20% - 强调文字颜色 5 2 5 3 2 2" xfId="4895"/>
    <cellStyle name="60% - 强调文字颜色 5 2 2 4 2 3 2" xfId="4896"/>
    <cellStyle name="输入 2 6 2 3 2" xfId="4897"/>
    <cellStyle name="注释 2 2 5 2" xfId="4898"/>
    <cellStyle name="好 3 5 2 3" xfId="4899"/>
    <cellStyle name="60% - 强调文字颜色 1 5 2 2 2 2" xfId="4900"/>
    <cellStyle name="注释 2 2 3 5 2 2" xfId="4901"/>
    <cellStyle name="60% - 强调文字颜色 6 2 3 5" xfId="4902"/>
    <cellStyle name="计算 2 3 10 3" xfId="4903"/>
    <cellStyle name="注释 2 3 4 3 3" xfId="4904"/>
    <cellStyle name="20% - 强调文字颜色 4 3 3 2 2 2" xfId="4905"/>
    <cellStyle name="40% - 强调文字颜色 2 2 2 2 2 3" xfId="4906"/>
    <cellStyle name="输出 2 3 2" xfId="4907"/>
    <cellStyle name="计算 2 2 5 8 3" xfId="4908"/>
    <cellStyle name="汇总 2 5 2 2 2 7" xfId="4909"/>
    <cellStyle name="汇总 3 2 2 2 3" xfId="4910"/>
    <cellStyle name="计算 3 7 2 2" xfId="4911"/>
    <cellStyle name="输出 2 2 3 5 4" xfId="4912"/>
    <cellStyle name="计算 2 2 6 2 2 8" xfId="4913"/>
    <cellStyle name="超链接 2 2 2 5 3" xfId="4914"/>
    <cellStyle name="常规 10 4 4 2" xfId="4915"/>
    <cellStyle name="标题 3 2 2 2 2 3 3" xfId="4916"/>
    <cellStyle name="输出 2 4 2 2 3 3 2" xfId="4917"/>
    <cellStyle name="输入 2 2 4 5 3" xfId="4918"/>
    <cellStyle name="60% - 强调文字颜色 4 3 2 2 2 2 2" xfId="4919"/>
    <cellStyle name="40% - 强调文字颜色 6 2 2 2 3 3" xfId="4920"/>
    <cellStyle name="解释性文本 2 2 2 4 4" xfId="4921"/>
    <cellStyle name="标题 2 2 2 2" xfId="4922"/>
    <cellStyle name="输入 2 5 5 2 3 2" xfId="4923"/>
    <cellStyle name="常规 10 2 2 2 2 4" xfId="4924"/>
    <cellStyle name="20% - 强调文字颜色 5 2 2 2 5 2" xfId="4925"/>
    <cellStyle name="输出 2 2 7 2 3 2" xfId="4926"/>
    <cellStyle name="20% - 强调文字颜色 5 2 4 3 2 2" xfId="4927"/>
    <cellStyle name="差 2 2 4 2 3" xfId="4928"/>
    <cellStyle name="汇总 2 2 3 2 4" xfId="4929"/>
    <cellStyle name="标题 4 4 2 3 2" xfId="4930"/>
    <cellStyle name="强调文字颜色 5 2 2 4 3" xfId="4931"/>
    <cellStyle name="强调文字颜色 4 2 3 2 5" xfId="4932"/>
    <cellStyle name="强调文字颜色 4 2 3 2 3 3 3" xfId="4933"/>
    <cellStyle name="强调文字颜色 1 2 2 2 2 3 2 3" xfId="4934"/>
    <cellStyle name="输出 2 2 5 2 5 2 2" xfId="4935"/>
    <cellStyle name="强调文字颜色 5 2 6 2 3" xfId="4936"/>
    <cellStyle name="计算 2 5 3 5 2 2" xfId="4937"/>
    <cellStyle name="常规 5 2 4 6" xfId="4938"/>
    <cellStyle name="60% - 强调文字颜色 4 4 5" xfId="4939"/>
    <cellStyle name="标题 3 2 2 8" xfId="4940"/>
    <cellStyle name="计算 2 2 6 4 8" xfId="4941"/>
    <cellStyle name="40% - 强调文字颜色 5 2 2 2 2 2 4 3 2" xfId="4942"/>
    <cellStyle name="计算 2 4 4 7" xfId="4943"/>
    <cellStyle name="60% - 强调文字颜色 1 2 2 2 2 5 2" xfId="4944"/>
    <cellStyle name="输入 2 2 5 5 3" xfId="4945"/>
    <cellStyle name="标题 3 2 2 2 3 3 3" xfId="4946"/>
    <cellStyle name="常规 10 5 4 2" xfId="4947"/>
    <cellStyle name="输入 2 5 11" xfId="4948"/>
    <cellStyle name="常规 9 3 2 3 3 2" xfId="4949"/>
    <cellStyle name="汇总 2 2 8 2 2 6" xfId="4950"/>
    <cellStyle name="常规 10 3 2 3 3 2 2" xfId="4951"/>
    <cellStyle name="40% - 强调文字颜色 2 3 5" xfId="4952"/>
    <cellStyle name="汇总 2 2 7 7 2 2" xfId="4953"/>
    <cellStyle name="40% - 强调文字颜色 6 2 3 4 2 2 2" xfId="4954"/>
    <cellStyle name="输入 2 2 4 3 2 2 2" xfId="4955"/>
    <cellStyle name="警告文本 2 5" xfId="4956"/>
    <cellStyle name="60% - 强调文字颜色 3 2 7 2 2" xfId="4957"/>
    <cellStyle name="检查单元格 4 5" xfId="4958"/>
    <cellStyle name="40% - 强调文字颜色 2 2 3 2 4 3" xfId="4959"/>
    <cellStyle name="计算 2 7 3 5" xfId="4960"/>
    <cellStyle name="注释 2 12" xfId="4961"/>
    <cellStyle name="强调文字颜色 1 2 2 4 4 2" xfId="4962"/>
    <cellStyle name="输入 2 9 6 2" xfId="4963"/>
    <cellStyle name="检查单元格 2 2 3 5 2" xfId="4964"/>
    <cellStyle name="注释 2 2 6 3 3" xfId="4965"/>
    <cellStyle name="20% - 强调文字颜色 4 3 2 4 2 2" xfId="4966"/>
    <cellStyle name="输出 2 3 2 5" xfId="4967"/>
    <cellStyle name="解释性文本 2 2 3 2" xfId="4968"/>
    <cellStyle name="标题 4 2 2 2 3 2 2 2 2 2" xfId="4969"/>
    <cellStyle name="60% - 强调文字颜色 5 2 2 3 3 3 2" xfId="4970"/>
    <cellStyle name="标题 5 3 2 4 2 3" xfId="4971"/>
    <cellStyle name="40% - 强调文字颜色 3 2 6 2 2" xfId="4972"/>
    <cellStyle name="标题 4 3 2 2 3" xfId="4973"/>
    <cellStyle name="汇总 2 6 3 4 2 2" xfId="4974"/>
    <cellStyle name="计算 2 5 5 2 4" xfId="4975"/>
    <cellStyle name="标题 4 2 3 2 4 2" xfId="4976"/>
    <cellStyle name="输入 2 8 2 4" xfId="4977"/>
    <cellStyle name="注释 4 2 6" xfId="4978"/>
    <cellStyle name="强调文字颜色 1 2 4 8" xfId="4979"/>
    <cellStyle name="汇总 2 2 5 4 3 2" xfId="4980"/>
    <cellStyle name="汇总 2 2 5 8 2 2" xfId="4981"/>
    <cellStyle name="40% - 强调文字颜色 6 2 3 2 3 2 2" xfId="4982"/>
    <cellStyle name="40% - 强调文字颜色 4 2 2 3 4 3" xfId="4983"/>
    <cellStyle name="汇总 2 2 6 3" xfId="4984"/>
    <cellStyle name="解释性文本 2 2 4 5 3" xfId="4985"/>
    <cellStyle name="20% - 强调文字颜色 6 2 5 3 2" xfId="4986"/>
    <cellStyle name="链接单元格 2 6 3 2 2" xfId="4987"/>
    <cellStyle name="输入 2 2 12 3" xfId="4988"/>
    <cellStyle name="60% - 强调文字颜色 2 2 4" xfId="4989"/>
    <cellStyle name="输出 2 3 2 7 2" xfId="4990"/>
    <cellStyle name="好 2 2 2 5 2 2 2" xfId="4991"/>
    <cellStyle name="常规 5 2 2 2 2 2 5" xfId="4992"/>
    <cellStyle name="强调文字颜色 2 2 4 2 2 2 2" xfId="4993"/>
    <cellStyle name="60% - 强调文字颜色 4 3 2 5 2" xfId="4994"/>
    <cellStyle name="汇总 2 11 2 2 2" xfId="4995"/>
    <cellStyle name="20% - 强调文字颜色 3 3 2 2 2" xfId="4996"/>
    <cellStyle name="计算 2 2 5 5 3" xfId="4997"/>
    <cellStyle name="说明文本 2 2 3" xfId="4998"/>
    <cellStyle name="汇总 2 2 3 3 2 3" xfId="4999"/>
    <cellStyle name="60% - 强调文字颜色 1 2 2 2 3" xfId="5000"/>
    <cellStyle name="常规 5 2 2 4 5" xfId="5001"/>
    <cellStyle name="计算 2 2 4 3 2 2 3 2" xfId="5002"/>
    <cellStyle name="警告文本 2 2 2 2 3 3 3" xfId="5003"/>
    <cellStyle name="输出 2 3 3 6 2" xfId="5004"/>
    <cellStyle name="60% - 强调文字颜色 5 2 2 4 3 2" xfId="5005"/>
    <cellStyle name="好 2 2 3 6 2 2" xfId="5006"/>
    <cellStyle name="40% - 强调文字颜色 1 2 3 4 2" xfId="5007"/>
    <cellStyle name="20% - 强调文字颜色 6 4 5 2" xfId="5008"/>
    <cellStyle name="20% - 强调文字颜色 6 2 3 2 5 2" xfId="5009"/>
    <cellStyle name="40% - 强调文字颜色 6 2 2 2 2 3 2" xfId="5010"/>
    <cellStyle name="常规 4 3 4 2 3 2" xfId="5011"/>
    <cellStyle name="汇总 2 3 6 2 2 2" xfId="5012"/>
    <cellStyle name="标题 1 2 3 2 3 4" xfId="5013"/>
    <cellStyle name="40% - 强调文字颜色 1 2 2 2 4 2 2 2" xfId="5014"/>
    <cellStyle name="60% - 强调文字颜色 6 6 2 2" xfId="5015"/>
    <cellStyle name="标题 1 6" xfId="5016"/>
    <cellStyle name="常规 8 6 2" xfId="5017"/>
    <cellStyle name="汇总 4 5 2 2" xfId="5018"/>
    <cellStyle name="20% - 强调文字颜色 5 2 2 3 5" xfId="5019"/>
    <cellStyle name="60% - 强调文字颜色 3 3 5 2 2" xfId="5020"/>
    <cellStyle name="输出 2 2 5 2 6" xfId="5021"/>
    <cellStyle name="20% - 强调文字颜色 1 2 3 2 3 2" xfId="5022"/>
    <cellStyle name="汇总 2 6 3 4 3" xfId="5023"/>
    <cellStyle name="60% - 强调文字颜色 2 2 4 4 2 2" xfId="5024"/>
    <cellStyle name="标题 4 2 4 3 2 2 2" xfId="5025"/>
    <cellStyle name="60% - 强调文字颜色 6 2 2 3 2 2 2 3" xfId="5026"/>
    <cellStyle name="60% - 强调文字颜色 2 2 4 6" xfId="5027"/>
    <cellStyle name="链接单元格 2 2 4 2 2 2 2" xfId="5028"/>
    <cellStyle name="60% - 强调文字颜色 3 3 8" xfId="5029"/>
    <cellStyle name="解释性文本 2 4 4 2 2 2" xfId="5030"/>
    <cellStyle name="常规 2 3 3 2" xfId="5031"/>
    <cellStyle name="60% - 强调文字颜色 1 2 2 3 3 2 2 2" xfId="5032"/>
    <cellStyle name="汇总 2 3 3 5 2 2" xfId="5033"/>
    <cellStyle name="警告文本 2 2 4 5 2" xfId="5034"/>
    <cellStyle name="汇总 5 4" xfId="5035"/>
    <cellStyle name="输入 2 2 3 2 2 2 6" xfId="5036"/>
    <cellStyle name="标题 1 3 3 2 3" xfId="5037"/>
    <cellStyle name="60% - 强调文字颜色 2 2 7 2 2 2" xfId="5038"/>
    <cellStyle name="40% - 强调文字颜色 1 2 3 4 3 2" xfId="5039"/>
    <cellStyle name="计算 2 2 4 2 6 4" xfId="5040"/>
    <cellStyle name="60% - 强调文字颜色 3 2 6" xfId="5041"/>
    <cellStyle name="60% - 强调文字颜色 2 3" xfId="5042"/>
    <cellStyle name="计算 2 2 2 3 2 6" xfId="5043"/>
    <cellStyle name="计算 2 2 5 2 9" xfId="5044"/>
    <cellStyle name="汇总 2 3 4 2 4 2" xfId="5045"/>
    <cellStyle name="40% - 强调文字颜色 1 2 3 2 2 4 2 2 2" xfId="5046"/>
    <cellStyle name="计算 2 2 6 2 2 4" xfId="5047"/>
    <cellStyle name="解释性文本 2 2 2 2 3 2" xfId="5048"/>
    <cellStyle name="汇总 2 5 2 2 2 3" xfId="5049"/>
    <cellStyle name="链接单元格 2 3 2" xfId="5050"/>
    <cellStyle name="汇总 2 2 4 2 10" xfId="5051"/>
    <cellStyle name="注释 2 2 9 3" xfId="5052"/>
    <cellStyle name="输入 3 2 2 3 2 2" xfId="5053"/>
    <cellStyle name="40% - 强调文字颜色 2 2 4" xfId="5054"/>
    <cellStyle name="输出 2 2 9 4 2" xfId="5055"/>
    <cellStyle name="适中 2 2 5" xfId="5056"/>
    <cellStyle name="输出 4 2 4" xfId="5057"/>
    <cellStyle name="计算 2 8 3" xfId="5058"/>
    <cellStyle name="常规 5 2 3 4" xfId="5059"/>
    <cellStyle name="60% - 强调文字颜色 4 3 3" xfId="5060"/>
    <cellStyle name="汇总 2 2 4 2 3 2 2 3" xfId="5061"/>
    <cellStyle name="常规 9 2 7" xfId="5062"/>
    <cellStyle name="20% - 强调文字颜色 1 2 9 2" xfId="5063"/>
    <cellStyle name="汇总 3 5 3" xfId="5064"/>
    <cellStyle name="20% - 强调文字颜色 2 2 3 3 2" xfId="5065"/>
    <cellStyle name="注释 2 3 2 2 2 2" xfId="5066"/>
    <cellStyle name="汇总 2 2 4 5 2 3 3" xfId="5067"/>
    <cellStyle name="计算 8" xfId="5068"/>
    <cellStyle name="汇总 2 8 2 4 2 2" xfId="5069"/>
    <cellStyle name="20% - 强调文字颜色 4 2 2 2 2 2 2 2 2 2 2" xfId="5070"/>
    <cellStyle name="40% - 强调文字颜色 1 2 2 2 7" xfId="5071"/>
    <cellStyle name="常规 13 3 2 3 2" xfId="5072"/>
    <cellStyle name="好 2 4 3 3" xfId="5073"/>
    <cellStyle name="解释性文本 3 2 2 2 2" xfId="5074"/>
    <cellStyle name="汇总 2 2 2 2 2 3 2 2 2" xfId="5075"/>
    <cellStyle name="计算 2 2 2 4 5 3" xfId="5076"/>
    <cellStyle name="计算 2 2 6 5 6" xfId="5077"/>
    <cellStyle name="汇总 2 2 6 3 2 3 2" xfId="5078"/>
    <cellStyle name="标题 3 2 3 6" xfId="5079"/>
    <cellStyle name="好 5 3" xfId="5080"/>
    <cellStyle name="注释 2 5 3 4 3" xfId="5081"/>
    <cellStyle name="注释 2 2 5 10" xfId="5082"/>
    <cellStyle name="注释 3" xfId="5083"/>
    <cellStyle name="计算 2 4 2 2 2 3 2" xfId="5084"/>
    <cellStyle name="汇总 2 2 2 2 3 2 3" xfId="5085"/>
    <cellStyle name="注释 2 6 6 2 2" xfId="5086"/>
    <cellStyle name="输出 2 4 5 3 3" xfId="5087"/>
    <cellStyle name="20% - 强调文字颜色 5 4 2 4 2" xfId="5088"/>
    <cellStyle name="60% - 强调文字颜色 4 2 4 2 2" xfId="5089"/>
    <cellStyle name="注释 2 4 7 2" xfId="5090"/>
    <cellStyle name="强调文字颜色 4 2 2 2 5 3" xfId="5091"/>
    <cellStyle name="输入 2 6 4 5 2" xfId="5092"/>
    <cellStyle name="强调文字颜色 2 6 2" xfId="5093"/>
    <cellStyle name="60% - 强调文字颜色 2 3 3 2 2 2" xfId="5094"/>
    <cellStyle name="计算 2 2 5 4 2 2 3" xfId="5095"/>
    <cellStyle name="超链接 2 2 2 4" xfId="5096"/>
    <cellStyle name="解释性文本 2 2 2 2 2 5" xfId="5097"/>
    <cellStyle name="60% - 强调文字颜色 6 2 6 2 2 3" xfId="5098"/>
    <cellStyle name="40% - 强调文字颜色 3 3 3 3" xfId="5099"/>
    <cellStyle name="常规 5 2 2 2 5 2" xfId="5100"/>
    <cellStyle name="常规 6 4 4" xfId="5101"/>
    <cellStyle name="60% - 强调文字颜色 2 2 10" xfId="5102"/>
    <cellStyle name="链接单元格 2 2 4 4 2 2" xfId="5103"/>
    <cellStyle name="常规 5 2 5 3 3 2 2" xfId="5104"/>
    <cellStyle name="链接单元格 2 2 3" xfId="5105"/>
    <cellStyle name="60% - 强调文字颜色 5 3 9" xfId="5106"/>
    <cellStyle name="差 2 2 3 2 2 2 3" xfId="5107"/>
    <cellStyle name="20% - 强调文字颜色 5 4 2 3 2 2" xfId="5108"/>
    <cellStyle name="输出 2 4 5 2 3 2" xfId="5109"/>
    <cellStyle name="汇总 2 4 2 2 2 6" xfId="5110"/>
    <cellStyle name="60% - 强调文字颜色 2 2 3 2 3 2" xfId="5111"/>
    <cellStyle name="计算 2 2 4 4 2 3 3" xfId="5112"/>
    <cellStyle name="常规 4 3 4 2 3 2 2" xfId="5113"/>
    <cellStyle name="强调文字颜色 3 2 2 3 2 2 2 2" xfId="5114"/>
    <cellStyle name="输出 2 2 8 6" xfId="5115"/>
    <cellStyle name="汇总 2 5 3 2 2 3" xfId="5116"/>
    <cellStyle name="60% - 强调文字颜色 3 2 4 3 2" xfId="5117"/>
    <cellStyle name="40% - 强调文字颜色 2 2 2 3 6" xfId="5118"/>
    <cellStyle name="20% - 强调文字颜色 4 2 2 2 3 5" xfId="5119"/>
    <cellStyle name="标题 1 2 2 8 2" xfId="5120"/>
    <cellStyle name="百分比 2 5 3" xfId="5121"/>
    <cellStyle name="注释 2 2 4 2 5 2 2" xfId="5122"/>
    <cellStyle name="60% - 强调文字颜色 2 2 3 3 3" xfId="5123"/>
    <cellStyle name="计算 2 5 3 2 6 2" xfId="5124"/>
    <cellStyle name="警告文本 2 4 4 4" xfId="5125"/>
    <cellStyle name="计算 2 2 4 2 6 3 3" xfId="5126"/>
    <cellStyle name="60% - 强调文字颜色 3 2 5 3" xfId="5127"/>
    <cellStyle name="标题 3 4 2 2" xfId="5128"/>
    <cellStyle name="输入 2 7 7 2" xfId="5129"/>
    <cellStyle name="强调文字颜色 1 2 2 2 5 2" xfId="5130"/>
    <cellStyle name="输入 2 5 2 5 4" xfId="5131"/>
    <cellStyle name="强调文字颜色 2 2 2 4 3 2 2 2" xfId="5132"/>
    <cellStyle name="60% - 强调文字颜色 2 3 9" xfId="5133"/>
    <cellStyle name="20% - 强调文字颜色 6 3 3" xfId="5134"/>
    <cellStyle name="20% - 强调文字颜色 2 2 3 2 2 2 2 2 2 2" xfId="5135"/>
    <cellStyle name="20% - 强调文字颜色 2 3 3 3 2 2" xfId="5136"/>
    <cellStyle name="检查单元格 2 2 4 2 4" xfId="5137"/>
    <cellStyle name="常规 5 2 3 2 4" xfId="5138"/>
    <cellStyle name="标题 3 3 3 3 2 2 2" xfId="5139"/>
    <cellStyle name="输入 2 5 2 5 2 2" xfId="5140"/>
    <cellStyle name="标题 2 2 2 2 2 4 4" xfId="5141"/>
    <cellStyle name="好 2 3 5 2 2" xfId="5142"/>
    <cellStyle name="计算 2 8 6 3" xfId="5143"/>
    <cellStyle name="计算 2 6 4 2 3 3" xfId="5144"/>
    <cellStyle name="40% - 强调文字颜色 2 2 2 2 2 2 5 2 2" xfId="5145"/>
    <cellStyle name="60% - 强调文字颜色 3 2 2 2 2 4 3" xfId="5146"/>
    <cellStyle name="20% - 强调文字颜色 4 6" xfId="5147"/>
    <cellStyle name="20% - 强调文字颜色 2 2 2 2 2 2 4 2 2 2" xfId="5148"/>
    <cellStyle name="标题 5 2 2 2 2 3" xfId="5149"/>
    <cellStyle name="40% - 强调文字颜色 1 4 2 2 2 2" xfId="5150"/>
    <cellStyle name="计算 2 4 2 4" xfId="5151"/>
    <cellStyle name="注释 2 2 5 7 3" xfId="5152"/>
    <cellStyle name="输出 2 2 6 5" xfId="5153"/>
    <cellStyle name="20% - 强调文字颜色 5 2 5 3" xfId="5154"/>
    <cellStyle name="20% - 强调文字颜色 5 2 2 4 5 2 2" xfId="5155"/>
    <cellStyle name="标题 2 6 2 2" xfId="5156"/>
    <cellStyle name="计算 2 2 2 4 3" xfId="5157"/>
    <cellStyle name="20% - 强调文字颜色 1 2 3 2 2 2 2 2" xfId="5158"/>
    <cellStyle name="标题 5 2 8 3" xfId="5159"/>
    <cellStyle name="汇总 2 2 5 2 4 2" xfId="5160"/>
    <cellStyle name="计算 2 7 11 2" xfId="5161"/>
    <cellStyle name="60% - 强调文字颜色 2 2 2 5 2" xfId="5162"/>
    <cellStyle name="40% - 强调文字颜色 5 4 5 2" xfId="5163"/>
    <cellStyle name="输入 2 2 5 2 7 2" xfId="5164"/>
    <cellStyle name="40% - 强调文字颜色 2 4 2 3 2 2 2" xfId="5165"/>
    <cellStyle name="常规 10 2 2 2 3 4" xfId="5166"/>
    <cellStyle name="20% - 强调文字颜色 5 2 2 2 6 2" xfId="5167"/>
    <cellStyle name="注释 2 3 3 2 2 2 2" xfId="5168"/>
    <cellStyle name="说明文本 2 4" xfId="5169"/>
    <cellStyle name="警告文本 2 3 4 2 2" xfId="5170"/>
    <cellStyle name="汇总 2 3 2 2 4" xfId="5171"/>
    <cellStyle name="差 2 2 4 3 3" xfId="5172"/>
    <cellStyle name="输出 2 2 7 2 4 2" xfId="5173"/>
    <cellStyle name="20% - 强调文字颜色 5 2 4 3 3 2" xfId="5174"/>
    <cellStyle name="标题 5 3 3 2 2 2 3" xfId="5175"/>
    <cellStyle name="汇总 2 2 3 3 4" xfId="5176"/>
    <cellStyle name="计算 2 2 2 2 4 3" xfId="5177"/>
    <cellStyle name="计算 2 2 4 4 6" xfId="5178"/>
    <cellStyle name="好 2 2 4 6" xfId="5179"/>
    <cellStyle name="强调文字颜色 5 2 2 2 2 3 4" xfId="5180"/>
    <cellStyle name="60% - 强调文字颜色 2 4 3" xfId="5181"/>
    <cellStyle name="输出 2 2 5 2 2 2 2 2" xfId="5182"/>
    <cellStyle name="计算 2 2 8 3 2 4" xfId="5183"/>
    <cellStyle name="汇总 2 2 5 2 3 2 2 2" xfId="5184"/>
    <cellStyle name="标题 4 2 2 3 5 2" xfId="5185"/>
    <cellStyle name="适中 2 7 4" xfId="5186"/>
    <cellStyle name="输出 4 7 3" xfId="5187"/>
    <cellStyle name="20% - 强调文字颜色 5 3 5 2 2" xfId="5188"/>
    <cellStyle name="计算 2 10 5 2" xfId="5189"/>
    <cellStyle name="汇总 2 4 11" xfId="5190"/>
    <cellStyle name="60% - 强调文字颜色 6 2 2 3 3 3" xfId="5191"/>
    <cellStyle name="输出 2 2 4 2 2 3 2" xfId="5192"/>
    <cellStyle name="常规 5 3 2 5 2" xfId="5193"/>
    <cellStyle name="输出 3 2 9" xfId="5194"/>
    <cellStyle name="60% - 强调文字颜色 5 2 4 2" xfId="5195"/>
    <cellStyle name="计算 2 2 2 2 4 3 2 2" xfId="5196"/>
    <cellStyle name="计算 2 2 4 4 6 2 2" xfId="5197"/>
    <cellStyle name="60% - 强调文字颜色 2 4 3 2 2" xfId="5198"/>
    <cellStyle name="解释性文本 2 3 2 3 2 2 2" xfId="5199"/>
    <cellStyle name="40% - 强调文字颜色 2 2 2 3 3 3 2" xfId="5200"/>
    <cellStyle name="计算 2 2 7 4 6" xfId="5201"/>
    <cellStyle name="标题 3 3 2 6" xfId="5202"/>
    <cellStyle name="注释 2 7 8" xfId="5203"/>
    <cellStyle name="常规 8 2 3 2 2 2 2" xfId="5204"/>
    <cellStyle name="输入 3 3 2 3 2" xfId="5205"/>
    <cellStyle name="40% - 强调文字颜色 3 2 7 3 2 2" xfId="5206"/>
    <cellStyle name="差 2 3 3 3" xfId="5207"/>
    <cellStyle name="20% - 强调文字颜色 2 3 2 3 2 2" xfId="5208"/>
    <cellStyle name="标题 3 3 5 2 3" xfId="5209"/>
    <cellStyle name="汇总 2 2 6 3 3 2 2" xfId="5210"/>
    <cellStyle name="输出 2 9 3" xfId="5211"/>
    <cellStyle name="20% - 强调文字颜色 4 2 2 2 2 2 4 2 2 2" xfId="5212"/>
    <cellStyle name="60% - 强调文字颜色 3 2 2 2 6 2 2" xfId="5213"/>
    <cellStyle name="汇总 2 2 2 2 4 3 2 2" xfId="5214"/>
    <cellStyle name="好 2 2 8" xfId="5215"/>
    <cellStyle name="输入 2 2 6 2 2" xfId="5216"/>
    <cellStyle name="常规 2 2 3 7" xfId="5217"/>
    <cellStyle name="20% - 强调文字颜色 5 3 3 4 2" xfId="5218"/>
    <cellStyle name="标题 3 3 2 2 2 2 2" xfId="5219"/>
    <cellStyle name="计算 2 3 2 5 3" xfId="5220"/>
    <cellStyle name="常规 8 3 2 2 2 2" xfId="5221"/>
    <cellStyle name="输出 3 2 6 3" xfId="5222"/>
    <cellStyle name="60% - 强调文字颜色 5 2 3 2 3 2 2" xfId="5223"/>
    <cellStyle name="60% - 强调文字颜色 2 5" xfId="5224"/>
    <cellStyle name="20% - 强调文字颜色 2 3 2 5" xfId="5225"/>
    <cellStyle name="60% - 强调文字颜色 6 3 2 5 2" xfId="5226"/>
    <cellStyle name="60% - 强调文字颜色 2 2 3 2 3 3 2 2" xfId="5227"/>
    <cellStyle name="常规 12 2 2 2 2 2" xfId="5228"/>
    <cellStyle name="注释 2 2 2 2 7" xfId="5229"/>
    <cellStyle name="20% - 强调文字颜色 2 2 8" xfId="5230"/>
    <cellStyle name="标题 2 3 3 3" xfId="5231"/>
    <cellStyle name="计算 2 2 5 2 3 5 2" xfId="5232"/>
    <cellStyle name="标题 1 2 3" xfId="5233"/>
    <cellStyle name="注释 2 3 2 2 2 5" xfId="5234"/>
    <cellStyle name="百分比 2 3 2 2 3" xfId="5235"/>
    <cellStyle name="40% - 强调文字颜色 6 2 5" xfId="5236"/>
    <cellStyle name="40% - 强调文字颜色 5 2 2 5 2 2" xfId="5237"/>
    <cellStyle name="强调文字颜色 1 2 2 6 2" xfId="5238"/>
    <cellStyle name="检查单元格 2 2 5 3" xfId="5239"/>
    <cellStyle name="警告文本 2 2 3 5 2 2" xfId="5240"/>
    <cellStyle name="60% - 强调文字颜色 3 2 2 10" xfId="5241"/>
    <cellStyle name="链接单元格 2 2 5 2" xfId="5242"/>
    <cellStyle name="计算 2 5 2 2 2 2 2" xfId="5243"/>
    <cellStyle name="常规 2 2 4 3 2 2 2" xfId="5244"/>
    <cellStyle name="20% - 强调文字颜色 1 2 3 2 5 2 2 2" xfId="5245"/>
    <cellStyle name="标题 2 4 2 2" xfId="5246"/>
    <cellStyle name="输出 2 2 8 3 2" xfId="5247"/>
    <cellStyle name="60% - 强调文字颜色 6 2 3 6 2 2 2" xfId="5248"/>
    <cellStyle name="常规 13 4 2 4 2" xfId="5249"/>
    <cellStyle name="20% - 强调文字颜色 5 2 2 4 3 2 2" xfId="5250"/>
    <cellStyle name="40% - 强调文字颜色 2 2 4 4 2" xfId="5251"/>
    <cellStyle name="强调文字颜色 4 2 2 3 4 4" xfId="5252"/>
    <cellStyle name="注释 2 5 6 3" xfId="5253"/>
    <cellStyle name="链接单元格 2 2 7 3" xfId="5254"/>
    <cellStyle name="60% - 强调文字颜色 6 2 2 3 3 3 2" xfId="5255"/>
    <cellStyle name="计算 2 5 2 2 2 4 3" xfId="5256"/>
    <cellStyle name="汇总 3 2 2 2 6" xfId="5257"/>
    <cellStyle name="适中 2 4 8" xfId="5258"/>
    <cellStyle name="注释 2 7 2 3 2 2" xfId="5259"/>
    <cellStyle name="20% - 强调文字颜色 6 2 4 3 2" xfId="5260"/>
    <cellStyle name="解释性文本 2 2 3 5 3" xfId="5261"/>
    <cellStyle name="标题 1 2 3 6 2 2 2" xfId="5262"/>
    <cellStyle name="无色 2 2 3" xfId="5263"/>
    <cellStyle name="计算 2 4 3 3 3 3" xfId="5264"/>
    <cellStyle name="解释性文本 2 2 2 4 3 3" xfId="5265"/>
    <cellStyle name="超链接 2 4 3 2" xfId="5266"/>
    <cellStyle name="输入 2 2 2 4 2 4" xfId="5267"/>
    <cellStyle name="40% - 强调文字颜色 2 2 3 6 2 2" xfId="5268"/>
    <cellStyle name="标题 3 2 6" xfId="5269"/>
    <cellStyle name="强调文字颜色 1 2 2 2 2 4 3 2" xfId="5270"/>
    <cellStyle name="标题 3 4 4 2 3" xfId="5271"/>
    <cellStyle name="强调文字颜色 4 2 4 3 4" xfId="5272"/>
    <cellStyle name="计算 2 2 6 8" xfId="5273"/>
    <cellStyle name="输入 2 5 2 2 3 2" xfId="5274"/>
    <cellStyle name="适中 2 2 2 2 5 2 2" xfId="5275"/>
    <cellStyle name="60% - 强调文字颜色 4 2 2 6 3 2 2" xfId="5276"/>
    <cellStyle name="注释 2 4 3 8" xfId="5277"/>
    <cellStyle name="强调文字颜色 5 2 2 3 7" xfId="5278"/>
    <cellStyle name="输出 2 3 2 2 5 2 2" xfId="5279"/>
    <cellStyle name="标题 7 2 2 3" xfId="5280"/>
    <cellStyle name="输入 2 2 2 2 5 2 2" xfId="5281"/>
    <cellStyle name="汇总 2 7 4 2 3 2 2" xfId="5282"/>
    <cellStyle name="强调文字颜色 1 2 2 3 2 2 3" xfId="5283"/>
    <cellStyle name="40% - 强调文字颜色 2 4 3 2 2" xfId="5284"/>
    <cellStyle name="标题 1 2 6 4" xfId="5285"/>
    <cellStyle name="常规 9 3 7 2" xfId="5286"/>
    <cellStyle name="标题 1 2 2 2 3 7" xfId="5287"/>
    <cellStyle name="60% - 强调文字颜色 3 2 2 2 2 4 2 2" xfId="5288"/>
    <cellStyle name="标题 1 2 3 2 3 2 2 2" xfId="5289"/>
    <cellStyle name="60% - 强调文字颜色 6 2 2 4 2" xfId="5290"/>
    <cellStyle name="常规 5 4 2 3 4 2" xfId="5291"/>
    <cellStyle name="链接单元格 2 6 2 2 2" xfId="5292"/>
    <cellStyle name="强调文字颜色 4 2 2 2 5 2 2" xfId="5293"/>
    <cellStyle name="标题 2 3 3" xfId="5294"/>
    <cellStyle name="20% - 强调文字颜色 5 2 2 4 2 3" xfId="5295"/>
    <cellStyle name="输出 2 2 5 3 3 3" xfId="5296"/>
    <cellStyle name="汇总 2 5 2 10" xfId="5297"/>
    <cellStyle name="汇总 2 3 3 3 3" xfId="5298"/>
    <cellStyle name="警告文本 2 2 2 6" xfId="5299"/>
    <cellStyle name="计算 2 2 9 3 3 2 2" xfId="5300"/>
    <cellStyle name="40% - 强调文字颜色 3 6 2 2 2" xfId="5301"/>
    <cellStyle name="输入 2 2 3 4 4 2 2" xfId="5302"/>
    <cellStyle name="输入 2 2 5 2 8" xfId="5303"/>
    <cellStyle name="60% - 强调文字颜色 4 2 2 2 4 3 2" xfId="5304"/>
    <cellStyle name="计算 2 2 6 4 2 2 2" xfId="5305"/>
    <cellStyle name="标题 3 2 2 2 2 2" xfId="5306"/>
    <cellStyle name="输入 2 2 4 4" xfId="5307"/>
    <cellStyle name="强调文字颜色 2 2 5 2 2 2" xfId="5308"/>
    <cellStyle name="标题 2 2 7 2 3" xfId="5309"/>
    <cellStyle name="计算 2 2 3 8 2 2" xfId="5310"/>
    <cellStyle name="适中 2 2 2 3 5" xfId="5311"/>
    <cellStyle name="百分比 2 2 2 4 2 3" xfId="5312"/>
    <cellStyle name="差 3 2 2 3 2 2" xfId="5313"/>
    <cellStyle name="注释 2 5 2 5 3" xfId="5314"/>
    <cellStyle name="检查单元格 2 2 4 2 2 2 2" xfId="5315"/>
    <cellStyle name="Normal 2 2 4 2" xfId="5316"/>
    <cellStyle name="注释 2 2 6 7 2" xfId="5317"/>
    <cellStyle name="链接单元格 2 2 2 2 4" xfId="5318"/>
    <cellStyle name="标题 4 2 2 8" xfId="5319"/>
    <cellStyle name="60% - 强调文字颜色 2 2 4 3 3" xfId="5320"/>
    <cellStyle name="Millares 2 2" xfId="5321"/>
    <cellStyle name="常规 2 2 2 2 2" xfId="5322"/>
    <cellStyle name="输出 2 3 4 2 2" xfId="5323"/>
    <cellStyle name="输入 2 2 3 3 3 2" xfId="5324"/>
    <cellStyle name="计算 2 2 9 2 2 2" xfId="5325"/>
    <cellStyle name="计算 2 2 2 3 6" xfId="5326"/>
    <cellStyle name="输出 2 2 4 2 7" xfId="5327"/>
    <cellStyle name="汇总 4 4 2 3" xfId="5328"/>
    <cellStyle name="计算 3 2 4 4 2" xfId="5329"/>
    <cellStyle name="20% - 强调文字颜色 4 2 2 2 6 2" xfId="5330"/>
    <cellStyle name="60% - 强调文字颜色 3 2 3 3 4" xfId="5331"/>
    <cellStyle name="常规 9 2 3 2 2" xfId="5332"/>
    <cellStyle name="20% - 强调文字颜色 4 2 5 4 2 2" xfId="5333"/>
    <cellStyle name="检查单元格 2 3 6" xfId="5334"/>
    <cellStyle name="60% - 强调文字颜色 3 2 2 2 7 2" xfId="5335"/>
    <cellStyle name="汇总 2 3 6" xfId="5336"/>
    <cellStyle name="标题 2 2 2 8 3" xfId="5337"/>
    <cellStyle name="标题 1 2 2 2 3 2 2" xfId="5338"/>
    <cellStyle name="计算 2 2 4 2 3 7" xfId="5339"/>
    <cellStyle name="计算 2 11" xfId="5340"/>
    <cellStyle name="40% - 强调文字颜色 3 2 2 2 2 5" xfId="5341"/>
    <cellStyle name="40% - 强调文字颜色 5 2 2 2 6 2" xfId="5342"/>
    <cellStyle name="输入 2 2 3 4 7" xfId="5343"/>
    <cellStyle name="60% - 强调文字颜色 3 2 2 2 8" xfId="5344"/>
    <cellStyle name="常规 5 2 3 2 3 3 2 2" xfId="5345"/>
    <cellStyle name="汇总 2 2 3 4 2" xfId="5346"/>
    <cellStyle name="说明文本 3 2" xfId="5347"/>
    <cellStyle name="20% - 强调文字颜色 2 2 2 2 2 5 2 2 2" xfId="5348"/>
    <cellStyle name="常规 11 2 3" xfId="5349"/>
    <cellStyle name="标题 5 3 2 2 4" xfId="5350"/>
    <cellStyle name="40% - 强调文字颜色 5 2 9" xfId="5351"/>
    <cellStyle name="常规 10 3 6" xfId="5352"/>
    <cellStyle name="汇总 3 2 4 5" xfId="5353"/>
    <cellStyle name="输入 2 2 4 2 3 5 3" xfId="5354"/>
    <cellStyle name="警告文本 2 3 2 5 2" xfId="5355"/>
    <cellStyle name="汇总 2 3 4 3 2 2" xfId="5356"/>
    <cellStyle name="20% - 强调文字颜色 3 2 2 4 4" xfId="5357"/>
    <cellStyle name="计算 2 2 5 5 2" xfId="5358"/>
    <cellStyle name="60% - 强调文字颜色 3 2 2 4 2 2" xfId="5359"/>
    <cellStyle name="常规 10 2 2 2 2 2" xfId="5360"/>
    <cellStyle name="标题 2 2 4 3 3" xfId="5361"/>
    <cellStyle name="60% - 强调文字颜色 1 4 3" xfId="5362"/>
    <cellStyle name="输出 2 4 2 2 9" xfId="5363"/>
    <cellStyle name="计算 2 6 3 7 2" xfId="5364"/>
    <cellStyle name="20% - 强调文字颜色 4 2 2 3 4 3" xfId="5365"/>
    <cellStyle name="输入 2 2 3 4 4 2" xfId="5366"/>
    <cellStyle name="计算 2 2 9 3 3 2" xfId="5367"/>
    <cellStyle name="输出 2 4 2 2 2 2 3 2" xfId="5368"/>
    <cellStyle name="40% - 强调文字颜色 3 6 2 2" xfId="5369"/>
    <cellStyle name="40% - 强调文字颜色 1 3 2 5 2" xfId="5370"/>
    <cellStyle name="计算 2 5 3 2 2 6" xfId="5371"/>
    <cellStyle name="强调文字颜色 5 2 3 2 7" xfId="5372"/>
    <cellStyle name="常规 5 2 3 8 3" xfId="5373"/>
    <cellStyle name="计算 2 2 3 4 6" xfId="5374"/>
    <cellStyle name="计算 2 2 3 8 2" xfId="5375"/>
    <cellStyle name="汇总 2 2 9" xfId="5376"/>
    <cellStyle name="40% - 强调文字颜色 4 2 2 6 2" xfId="5377"/>
    <cellStyle name="注释 2 2 15" xfId="5378"/>
    <cellStyle name="40% - 强调文字颜色 2 2 2 2 2 5 2 2" xfId="5379"/>
    <cellStyle name="解释性文本 2 2 7" xfId="5380"/>
    <cellStyle name="Normal 3 2 2" xfId="5381"/>
    <cellStyle name="输出 2 2 5 2 2 6" xfId="5382"/>
    <cellStyle name="链接单元格 2 4 4 2" xfId="5383"/>
    <cellStyle name="40% - 强调文字颜色 6 2 4 3 2" xfId="5384"/>
    <cellStyle name="计算 2 4 3 2 4" xfId="5385"/>
    <cellStyle name="常规 4 5 5 2" xfId="5386"/>
    <cellStyle name="强调文字颜色 6 2 3 7" xfId="5387"/>
    <cellStyle name="汇总 2 8 5" xfId="5388"/>
    <cellStyle name="常规 13 2 2 2 2" xfId="5389"/>
    <cellStyle name="20% - 强调文字颜色 3 2 4 5 2 2" xfId="5390"/>
    <cellStyle name="注释 2 4 2 3 4 2 2" xfId="5391"/>
    <cellStyle name="20% - 强调文字颜色 5 3 4" xfId="5392"/>
    <cellStyle name="60% - 强调文字颜色 3 2 2 2 2 2 3" xfId="5393"/>
    <cellStyle name="输出 2 2 7 3 4" xfId="5394"/>
    <cellStyle name="20% - 强调文字颜色 5 2 4 4 3" xfId="5395"/>
    <cellStyle name="警告文本 2 3 5 2" xfId="5396"/>
    <cellStyle name="60% - 强调文字颜色 4 2 4 4 3" xfId="5397"/>
    <cellStyle name="60% - 强调文字颜色 1 3 5 2" xfId="5398"/>
    <cellStyle name="标题 2 2 2 7" xfId="5399"/>
    <cellStyle name="好 2 5 3 2 2" xfId="5400"/>
    <cellStyle name="60% - 强调文字颜色 2 2 6 2" xfId="5401"/>
    <cellStyle name="标题 4 2 2 2 2 3" xfId="5402"/>
    <cellStyle name="汇总 2 7 2 2 2 2 2 2" xfId="5403"/>
    <cellStyle name="20% - 强调文字颜色 2 2 2 3 5 2 2" xfId="5404"/>
    <cellStyle name="40% - 强调文字颜色 5 2 3 4" xfId="5405"/>
    <cellStyle name="常规 3 7 2 3 2 2" xfId="5406"/>
    <cellStyle name="20% - 强调文字颜色 1 2 3 4 2 2 2" xfId="5407"/>
    <cellStyle name="强调文字颜色 3 3 3 2 2" xfId="5408"/>
    <cellStyle name="输出 2 2 2 2 2 3 2 2" xfId="5409"/>
    <cellStyle name="计算 2 2 2 2 2 6 2" xfId="5410"/>
    <cellStyle name="计算 2 2 4 2 9 2" xfId="5411"/>
    <cellStyle name="强调文字颜色 5 2 2 2 2 4 3 2" xfId="5412"/>
    <cellStyle name="60% - 强调文字颜色 5 2 4 3 3" xfId="5413"/>
    <cellStyle name="40% - 强调文字颜色 1 4 2 4" xfId="5414"/>
    <cellStyle name="警告文本 2 2 2 2 4 3" xfId="5415"/>
    <cellStyle name="输入 2 2 8 2 2" xfId="5416"/>
    <cellStyle name="标题 4 2 3 4" xfId="5417"/>
    <cellStyle name="20% - 强调文字颜色 1 2 2 2 5 2 2" xfId="5418"/>
    <cellStyle name="计算 2 6 2 2 2 4 3" xfId="5419"/>
    <cellStyle name="60% - 强调文字颜色 3 2 2 4 3 2 2 2" xfId="5420"/>
    <cellStyle name="超链接 2 3 2 2 3 2" xfId="5421"/>
    <cellStyle name="强调文字颜色 4 2 4 2 2 2 2 2" xfId="5422"/>
    <cellStyle name="输入 2 7 2 2 7" xfId="5423"/>
    <cellStyle name="输出 3 2 2 6 2" xfId="5424"/>
    <cellStyle name="强调文字颜色 6 2 3 2 3" xfId="5425"/>
    <cellStyle name="60% - 强调文字颜色 6 2 2 2 2 2 2 2 2 2" xfId="5426"/>
    <cellStyle name="输出 2 9 2 2" xfId="5427"/>
    <cellStyle name="输出 2 2 6 6 3" xfId="5428"/>
    <cellStyle name="20% - 强调文字颜色 5 2 3 7 2" xfId="5429"/>
    <cellStyle name="百分比 2 3 3 2 2 2" xfId="5430"/>
    <cellStyle name="40% - 强调文字颜色 4 2 2 4 2 3" xfId="5431"/>
    <cellStyle name="40% - 强调文字颜色 5 2 3 2 2 3 2" xfId="5432"/>
    <cellStyle name="汇总 2 2 4 2 3 3 2 2 2" xfId="5433"/>
    <cellStyle name="好 2 2 4 2 2 3" xfId="5434"/>
    <cellStyle name="汇总 2 7 4 2 7" xfId="5435"/>
    <cellStyle name="输入 2 2 2 2 9" xfId="5436"/>
    <cellStyle name="20% - 强调文字颜色 3 2 2 2 2 3 3 2" xfId="5437"/>
    <cellStyle name="警告文本 2 2 2 4 2 2 2" xfId="5438"/>
    <cellStyle name="输出 2 4 3 2 2 4" xfId="5439"/>
    <cellStyle name="60% - 强调文字颜色 6 2 2 7" xfId="5440"/>
    <cellStyle name="计算 2 5 5 2 5" xfId="5441"/>
    <cellStyle name="计算 2 2 5 3 2 2" xfId="5442"/>
    <cellStyle name="计算 2 5 2 6 2" xfId="5443"/>
    <cellStyle name="20% - 强调文字颜色 2 4 2 3 2 2" xfId="5444"/>
    <cellStyle name="适中 3 13" xfId="5445"/>
    <cellStyle name="注释 2 2 3 2 3 2 3 2" xfId="5446"/>
    <cellStyle name="标题 4 3 5 2 3" xfId="5447"/>
    <cellStyle name="20% - 强调文字颜色 6 2 2 4 2 3 2" xfId="5448"/>
    <cellStyle name="适中 2 4 7" xfId="5449"/>
    <cellStyle name="60% - 强调文字颜色 2 5 2 2 2" xfId="5450"/>
    <cellStyle name="40% - 强调文字颜色 6 2 2 2 2 4 2" xfId="5451"/>
    <cellStyle name="常规 4 3 4 2 4 2" xfId="5452"/>
    <cellStyle name="常规 5 2 2 2 2 3 3" xfId="5453"/>
    <cellStyle name="输入 2 8 2 5" xfId="5454"/>
    <cellStyle name="注释 4 2 7" xfId="5455"/>
    <cellStyle name="强调文字颜色 1 2 4 9" xfId="5456"/>
    <cellStyle name="标题 4 2 3 2 4 3" xfId="5457"/>
    <cellStyle name="百分比 2 2 2 2 3 2" xfId="5458"/>
    <cellStyle name="40% - 强调文字颜色 3 2 2 6 3 2" xfId="5459"/>
    <cellStyle name="汇总 2 4 3 2 3" xfId="5460"/>
    <cellStyle name="汇总 2 2 11" xfId="5461"/>
    <cellStyle name="输出 7 2 2" xfId="5462"/>
    <cellStyle name="差 2 4 4 2 2" xfId="5463"/>
    <cellStyle name="输入 2 2 6 3 2 2" xfId="5464"/>
    <cellStyle name="输入 2 2 4 2 2 3 2" xfId="5465"/>
    <cellStyle name="常规 5 2 3 3 2 2 2" xfId="5466"/>
    <cellStyle name="60% - 强调文字颜色 4 3 2 2 2 2" xfId="5467"/>
    <cellStyle name="解释性文本 2 2 5 4" xfId="5468"/>
    <cellStyle name="计算 2 3 10 2" xfId="5469"/>
    <cellStyle name="标题 3 2 2 2 4 2 3" xfId="5470"/>
    <cellStyle name="汇总 2 4 2 2 5 3" xfId="5471"/>
    <cellStyle name="强调文字颜色 5 2 2 6 3 2 2" xfId="5472"/>
    <cellStyle name="40% - 强调文字颜色 6 3 4 2 2 2" xfId="5473"/>
    <cellStyle name="60% - 强调文字颜色 4 2 3 2 2 3" xfId="5474"/>
    <cellStyle name="输入 2 3 3 7" xfId="5475"/>
    <cellStyle name="说明文本 2" xfId="5476"/>
    <cellStyle name="汇总 2 2 3 3" xfId="5477"/>
    <cellStyle name="链接单元格 2 2 2 2 5" xfId="5478"/>
    <cellStyle name="标题 4 2 2 9" xfId="5479"/>
    <cellStyle name="常规 14 3 2 2 2" xfId="5480"/>
    <cellStyle name="好 2 2 2 2 2 3 2" xfId="5481"/>
    <cellStyle name="注释 2 2 6" xfId="5482"/>
    <cellStyle name="输入 2 6 2 4" xfId="5483"/>
    <cellStyle name="20% - 强调文字颜色 5 3 2 2 3 2 2" xfId="5484"/>
    <cellStyle name="注释 2 2 7 2" xfId="5485"/>
    <cellStyle name="输入 2 6 2 5 2" xfId="5486"/>
    <cellStyle name="计算 2 2 4 2 2 2 4 2 2" xfId="5487"/>
    <cellStyle name="常规 3 2 4 3 3 2 2" xfId="5488"/>
    <cellStyle name="汇总 2 2 4 3 2 8" xfId="5489"/>
    <cellStyle name="20% - 强调文字颜色 2 6 2 2 2" xfId="5490"/>
    <cellStyle name="20% - 强调文字颜色 1 2 2 5" xfId="5491"/>
    <cellStyle name="20% - 强调文字颜色 6 2 3 2 2 4 2" xfId="5492"/>
    <cellStyle name="60% - 强调文字颜色 1 2 3 7" xfId="5493"/>
    <cellStyle name="常规 7 3 2 3" xfId="5494"/>
    <cellStyle name="20% - 强调文字颜色 4 2 2 8 2" xfId="5495"/>
    <cellStyle name="输入 2 2 9 2 3" xfId="5496"/>
    <cellStyle name="20% - 强调文字颜色 4 2 2 2 2 4 3 2 2" xfId="5497"/>
    <cellStyle name="解释性文本 2 4 3" xfId="5498"/>
    <cellStyle name="20% - 强调文字颜色 1 2 3 2 3 2 2 2" xfId="5499"/>
    <cellStyle name="强调文字颜色 2 2 3 2 4 2 3" xfId="5500"/>
    <cellStyle name="输出 2 2 6 2 2 2 2" xfId="5501"/>
    <cellStyle name="60% - 强调文字颜色 6 4 2 3 2 3" xfId="5502"/>
    <cellStyle name="解释性文本 2 2 4 2 2 2" xfId="5503"/>
    <cellStyle name="注释 2 7 2 3 3" xfId="5504"/>
    <cellStyle name="输入 2 4 2 9" xfId="5505"/>
    <cellStyle name="注释 2 4 2 3 2 2 2 2" xfId="5506"/>
    <cellStyle name="60% - 强调文字颜色 3 2 2 9" xfId="5507"/>
    <cellStyle name="40% - 强调文字颜色 4 2 3 2 3 2" xfId="5508"/>
    <cellStyle name="计算 2 2 3 2 2 2 6" xfId="5509"/>
    <cellStyle name="40% - 强调文字颜色 4 2 2 2 2 4" xfId="5510"/>
    <cellStyle name="20% - 强调文字颜色 1 2 2 2 2 2 4 3" xfId="5511"/>
    <cellStyle name="好 2 3 3 2 2 2" xfId="5512"/>
    <cellStyle name="标题 6 5 2 3" xfId="5513"/>
    <cellStyle name="输入 3 2 2 6 2" xfId="5514"/>
    <cellStyle name="链接单元格 2 2 4 5 2 2" xfId="5515"/>
    <cellStyle name="40% - 强调文字颜色 6 4 2 3 2" xfId="5516"/>
    <cellStyle name="常规 6 3 5 2" xfId="5517"/>
    <cellStyle name="40% - 强调文字颜色 4 6 2 2 2" xfId="5518"/>
    <cellStyle name="输入 2 2 4 4 4 2 2" xfId="5519"/>
    <cellStyle name="60% - 强调文字颜色 4 2 3 2 4 3 2" xfId="5520"/>
    <cellStyle name="计算 2 2 7 4 2 2 2" xfId="5521"/>
    <cellStyle name="60% - 强调文字颜色 4 2 2 3 4 3 2" xfId="5522"/>
    <cellStyle name="计算 2 3 10" xfId="5523"/>
    <cellStyle name="汇总 2 2 4 7 3" xfId="5524"/>
    <cellStyle name="常规 2 4 4 2 2" xfId="5525"/>
    <cellStyle name="计算 2 2 3 4 5" xfId="5526"/>
    <cellStyle name="输入 2 5 5 5" xfId="5527"/>
    <cellStyle name="40% - 强调文字颜色 4 4 3 2 2 2" xfId="5528"/>
    <cellStyle name="输入 2 5 2 3 4 2" xfId="5529"/>
    <cellStyle name="40% - 强调文字颜色 1 2 2 2 2 3 2" xfId="5530"/>
    <cellStyle name="20% - 强调文字颜色 3 3 3 2 2 2 2" xfId="5531"/>
    <cellStyle name="注释 2 4 3 9" xfId="5532"/>
    <cellStyle name="汇总 2 2 5 4 4 2" xfId="5533"/>
    <cellStyle name="常规 10 3 2 3 4 2" xfId="5534"/>
    <cellStyle name="40% - 强调文字颜色 5 2 2 2 3" xfId="5535"/>
    <cellStyle name="输出 2 7 7 3" xfId="5536"/>
    <cellStyle name="注释 2 2 3 8" xfId="5537"/>
    <cellStyle name="输出 2 3 2 2 3 2 2" xfId="5538"/>
    <cellStyle name="输入 2 2 5 2 2 6 2" xfId="5539"/>
    <cellStyle name="40% - 强调文字颜色 6 2 3 4 3 2" xfId="5540"/>
    <cellStyle name="40% - 强调文字颜色 3 2 2 2 2 5 2 2 2" xfId="5541"/>
    <cellStyle name="强调文字颜色 3 2 6 2 3" xfId="5542"/>
    <cellStyle name="强调文字颜色 3 2 2 2 2 4 2 3" xfId="5543"/>
    <cellStyle name="20% - 强调文字颜色 6 2 4 4 2" xfId="5544"/>
    <cellStyle name="60% - 强调文字颜色 3 2 3 2 2 2 2" xfId="5545"/>
    <cellStyle name="链接单元格 2 2 2 3 5" xfId="5546"/>
    <cellStyle name="标题 4 2 3 9" xfId="5547"/>
    <cellStyle name="计算 2 3 3 5 2 2" xfId="5548"/>
    <cellStyle name="常规 5 4" xfId="5549"/>
    <cellStyle name="20% - 强调文字颜色 1 2 3 2 2 2 2 2 2 2" xfId="5550"/>
    <cellStyle name="汇总 2 2 3 2 2 7 2" xfId="5551"/>
    <cellStyle name="计算 2 2 7 7" xfId="5552"/>
    <cellStyle name="20% - 强调文字颜色 3 2 2 2 2 3" xfId="5553"/>
    <cellStyle name="差 3 3 3 2 3" xfId="5554"/>
    <cellStyle name="输入 2 5 2 7" xfId="5555"/>
    <cellStyle name="输出 2 3 3 2 2" xfId="5556"/>
    <cellStyle name="40% - 强调文字颜色 2 2 2 2 2 4 2 2" xfId="5557"/>
    <cellStyle name="60% - 强调文字颜色 1 2 6 2" xfId="5558"/>
    <cellStyle name="汇总 2 10 3 2 3" xfId="5559"/>
    <cellStyle name="标题 2 3 4 2 2 2" xfId="5560"/>
    <cellStyle name="20% - 强调文字颜色 3 2 3 2 3" xfId="5561"/>
    <cellStyle name="常规 9 3 4" xfId="5562"/>
    <cellStyle name="汇总 2 6 3 2 3 3" xfId="5563"/>
    <cellStyle name="60% - 强调文字颜色 4 2 4 4 2" xfId="5564"/>
    <cellStyle name="汇总 2 2 3 2 4 2" xfId="5565"/>
    <cellStyle name="差 2 2 4 2 3 2" xfId="5566"/>
    <cellStyle name="计算 2 2 8 2 6" xfId="5567"/>
    <cellStyle name="输入 2 2 2 3 7" xfId="5568"/>
    <cellStyle name="适中 2 6 4" xfId="5569"/>
    <cellStyle name="输出 4 6 3" xfId="5570"/>
    <cellStyle name="标题 2 2 4 5" xfId="5571"/>
    <cellStyle name="计算 2 4 2 4 2 2" xfId="5572"/>
    <cellStyle name="输出 2 3 4 8" xfId="5573"/>
    <cellStyle name="常规 2 2 2 8" xfId="5574"/>
    <cellStyle name="20% - 强调文字颜色 2 2 3 2 4 3 2 2" xfId="5575"/>
    <cellStyle name="20% - 强调文字颜色 4 2 5 3 2 2 2" xfId="5576"/>
    <cellStyle name="输出 2 2 4 3 2 2 2 2" xfId="5577"/>
    <cellStyle name="40% - 强调文字颜色 5 2 2 2 2 2 4 3" xfId="5578"/>
    <cellStyle name="计算 2 2 4 3 5 3" xfId="5579"/>
    <cellStyle name="计算 2 2 2 2 3 2 3" xfId="5580"/>
    <cellStyle name="计算 2 5 5 2 4 2" xfId="5581"/>
    <cellStyle name="输入 2 5 4 3" xfId="5582"/>
    <cellStyle name="计算 3 2 2 3 2 3" xfId="5583"/>
    <cellStyle name="输入 4 6 3" xfId="5584"/>
    <cellStyle name="20% - 强调文字颜色 3 2 8 2" xfId="5585"/>
    <cellStyle name="计算 2 6 2 2 3 5" xfId="5586"/>
    <cellStyle name="20% - 强调文字颜色 6 2 5 5 2" xfId="5587"/>
    <cellStyle name="60% - 强调文字颜色 3 2 3 2 3 3 2" xfId="5588"/>
    <cellStyle name="60% - 强调文字颜色 4 4 3 2 2" xfId="5589"/>
    <cellStyle name="汇总 2 2 2 8 3" xfId="5590"/>
    <cellStyle name="输入 2 2 4 4 2 3 2" xfId="5591"/>
    <cellStyle name="20% - 强调文字颜色 3 2 3 2 2 4 2 2" xfId="5592"/>
    <cellStyle name="汇总 2 2 3 2 3 4 3" xfId="5593"/>
    <cellStyle name="解释性文本 4 6" xfId="5594"/>
    <cellStyle name="汇总 2 2 2 2 3 7" xfId="5595"/>
    <cellStyle name="60% - 强调文字颜色 6 5 2 3" xfId="5596"/>
    <cellStyle name="40% - 强调文字颜色 5 2 2 2 2 3 2 2 2 2" xfId="5597"/>
    <cellStyle name="输出 2 4 5 8" xfId="5598"/>
    <cellStyle name="标题 4 3 2 4 2" xfId="5599"/>
    <cellStyle name="输出 2 5 6 2 2" xfId="5600"/>
    <cellStyle name="常规 4 2 2 6" xfId="5601"/>
    <cellStyle name="常规 2 2 2 2 4 3" xfId="5602"/>
    <cellStyle name="汇总 2 2 4 2 4 2 3 2" xfId="5603"/>
    <cellStyle name="60% - 强调文字颜色 6 2 3 4 2 3" xfId="5604"/>
    <cellStyle name="输出 2 2 3 2 2 9" xfId="5605"/>
    <cellStyle name="输出 2 2 4 3 3 2 2" xfId="5606"/>
    <cellStyle name="好 6 2 2 2" xfId="5607"/>
    <cellStyle name="40% - 强调文字颜色 3 2 5 2" xfId="5608"/>
    <cellStyle name="标题 2 3 2 3 3" xfId="5609"/>
    <cellStyle name="60% - 强调文字颜色 5 2 2 7 2 2" xfId="5610"/>
    <cellStyle name="40% - 强调文字颜色 1 2 6 3 2" xfId="5611"/>
    <cellStyle name="解释性文本 2 3 2 3 2 2" xfId="5612"/>
    <cellStyle name="计算 2 3 4 5 2" xfId="5613"/>
    <cellStyle name="解释性文本 2 3 2 4 2 2" xfId="5614"/>
    <cellStyle name="标题 2 3 3 3 3" xfId="5615"/>
    <cellStyle name="40% - 强调文字颜色 1 2 7 3 2" xfId="5616"/>
    <cellStyle name="标题 2 2 2 6 3 2" xfId="5617"/>
    <cellStyle name="标题 5 2 3 9" xfId="5618"/>
    <cellStyle name="强调文字颜色 1 2 5 3 2 2" xfId="5619"/>
    <cellStyle name="20% - 强调文字颜色 5 2 2 2 2 2 2 2 2 2 2" xfId="5620"/>
    <cellStyle name="40% - 强调文字颜色 6 2 3 4 2" xfId="5621"/>
    <cellStyle name="计算 2 3 2 6" xfId="5622"/>
    <cellStyle name="20% - 强调文字颜色 4 2 3 2 3 3 2" xfId="5623"/>
    <cellStyle name="警告文本 2 3 5" xfId="5624"/>
    <cellStyle name="计算 2 2 2 2 2 6" xfId="5625"/>
    <cellStyle name="计算 2 2 4 2 9" xfId="5626"/>
    <cellStyle name="好 2 5 3 2" xfId="5627"/>
    <cellStyle name="60% - 强调文字颜色 2 2 6" xfId="5628"/>
    <cellStyle name="强调文字颜色 2 2 2 2 2 4 3" xfId="5629"/>
    <cellStyle name="强调文字颜色 2 2 2 2 4 2 2 2" xfId="5630"/>
    <cellStyle name="注释 2 2 3 2 6 2 2" xfId="5631"/>
    <cellStyle name="60% - 强调文字颜色 1 2 4 3 3" xfId="5632"/>
    <cellStyle name="20% - 强调文字颜色 1 3 4 2 2 2" xfId="5633"/>
    <cellStyle name="20% - 强调文字颜色 5 2 2" xfId="5634"/>
    <cellStyle name="汇总 2 5 2 2 2 2 3 2" xfId="5635"/>
    <cellStyle name="60% - 强调文字颜色 3 2 2 3 4 2 2 2" xfId="5636"/>
    <cellStyle name="超链接 2 2 3 2 3 2" xfId="5637"/>
    <cellStyle name="常规 6 3 4 2" xfId="5638"/>
    <cellStyle name="60% - 强调文字颜色 6 2 2 3 3 3 3" xfId="5639"/>
    <cellStyle name="标题 1 2 6 3 2" xfId="5640"/>
    <cellStyle name="强调文字颜色 4 2 2 3 4 3 2" xfId="5641"/>
    <cellStyle name="注释 2 5 6 2 2" xfId="5642"/>
    <cellStyle name="40% - 强调文字颜色 1 2 2 2 4 2" xfId="5643"/>
    <cellStyle name="注释 2 2 3 3 3" xfId="5644"/>
    <cellStyle name="汇总 2 2 3 2 2 6" xfId="5645"/>
    <cellStyle name="20% - 强调文字颜色 2 2 2 2 3 5" xfId="5646"/>
    <cellStyle name="40% - 强调文字颜色 3 2 3 2 2" xfId="5647"/>
    <cellStyle name="汇总 2 7 7 2" xfId="5648"/>
    <cellStyle name="40% - 强调文字颜色 5 4" xfId="5649"/>
    <cellStyle name="60% - 强调文字颜色 6 4 3 2" xfId="5650"/>
    <cellStyle name="常规 5 3 2 2 3" xfId="5651"/>
    <cellStyle name="40% - 强调文字颜色 4 2 2 2 3 5" xfId="5652"/>
    <cellStyle name="40% - 强调文字颜色 3 2 2 2 3 2 2 2 2 2" xfId="5653"/>
    <cellStyle name="解释性文本 2 6 2 2 2" xfId="5654"/>
    <cellStyle name="检查单元格" xfId="5655" builtinId="23"/>
    <cellStyle name="20% - 强调文字颜色 5 2 3 3 5" xfId="5656"/>
    <cellStyle name="输出 2 2 6 2 6" xfId="5657"/>
    <cellStyle name="汇总 4 6 2 2" xfId="5658"/>
    <cellStyle name="汇总 2 7 3 2 5" xfId="5659"/>
    <cellStyle name="40% - 强调文字颜色 1 4 5" xfId="5660"/>
    <cellStyle name="标题 2 2 2 2 6 2 2" xfId="5661"/>
    <cellStyle name="注释 2 2 3 2 3 2 2 3" xfId="5662"/>
    <cellStyle name="常规 10 2 4" xfId="5663"/>
    <cellStyle name="常规 6 3 3 2 3" xfId="5664"/>
    <cellStyle name="20% - 强调文字颜色 1 2 2 4 3 2" xfId="5665"/>
    <cellStyle name="汇总 2 5 5 4 3" xfId="5666"/>
    <cellStyle name="60% - 强调文字颜色 2 2 3 6 2 2" xfId="5667"/>
    <cellStyle name="计算 3 3 2 2 3" xfId="5668"/>
    <cellStyle name="计算 2 8 3 5" xfId="5669"/>
    <cellStyle name="好 2 2 5 3 2 2" xfId="5670"/>
    <cellStyle name="计算 4 2 3" xfId="5671"/>
    <cellStyle name="计算 2 2 4 5 2 2 3" xfId="5672"/>
    <cellStyle name="60% - 强调文字颜色 2 2 4 2 2 2" xfId="5673"/>
    <cellStyle name="常规 4 12" xfId="5674"/>
    <cellStyle name="输出 2 2 4 2 6" xfId="5675"/>
    <cellStyle name="60% - 强调文字颜色 3 3 4 2 2" xfId="5676"/>
    <cellStyle name="差 2 3 2 2 5" xfId="5677"/>
    <cellStyle name="计算 2 2 4 7" xfId="5678"/>
    <cellStyle name="40% - 强调文字颜色 5 2 2 2 2 2 2 3 2" xfId="5679"/>
    <cellStyle name="常规 12 3 5 2" xfId="5680"/>
    <cellStyle name="超链接 2 6 3" xfId="5681"/>
    <cellStyle name="计算 2 2 2" xfId="5682"/>
    <cellStyle name="20% - 强调文字颜色 3 2 2 2 2 5 2 2" xfId="5683"/>
    <cellStyle name="标题 3 2 5 4" xfId="5684"/>
    <cellStyle name="标题 2 3 10" xfId="5685"/>
    <cellStyle name="计算 2 2 4 2 3 2 3 3" xfId="5686"/>
    <cellStyle name="60% - 强调文字颜色 4 2 2 5 3 2" xfId="5687"/>
    <cellStyle name="计算 2 3 2 2 2 2 3 3" xfId="5688"/>
    <cellStyle name="强调文字颜色 5 4 2 4" xfId="5689"/>
    <cellStyle name="40% - 强调文字颜色 1 2 4 6" xfId="5690"/>
    <cellStyle name="60% - 强调文字颜色 3 2 3 3 6" xfId="5691"/>
    <cellStyle name="汇总 2 3 2 2 5 2 2" xfId="5692"/>
    <cellStyle name="注释 2 2 6 3 3 2" xfId="5693"/>
    <cellStyle name="输出 2 3 2 5 2" xfId="5694"/>
    <cellStyle name="警告文本 2 2 2 2 2 2 3" xfId="5695"/>
    <cellStyle name="警告文本 2 2 5 2 2 2" xfId="5696"/>
    <cellStyle name="60% - 强调文字颜色 6 2 6 2 2" xfId="5697"/>
    <cellStyle name="汇总 2 5 3 6 2 2" xfId="5698"/>
    <cellStyle name="20% - 强调文字颜色 2 2 6 2 2" xfId="5699"/>
    <cellStyle name="输出 2 2 3 3 8" xfId="5700"/>
    <cellStyle name="40% - 强调文字颜色 4 2 2 2 4 2" xfId="5701"/>
    <cellStyle name="汇总 2 4 7" xfId="5702"/>
    <cellStyle name="好 3 3 3 2 3" xfId="5703"/>
    <cellStyle name="解释性文本 2 2 3 2 2 2" xfId="5704"/>
    <cellStyle name="20% - 强调文字颜色 3 2 2 5 3 2" xfId="5705"/>
    <cellStyle name="标题 1 4 2 2 2 3" xfId="5706"/>
    <cellStyle name="计算 2 2 3 3 3 2 2 2" xfId="5707"/>
    <cellStyle name="强调文字颜色 2 2 2 3 3 3" xfId="5708"/>
    <cellStyle name="标题 2 2 3 2 2 2 2 2 3" xfId="5709"/>
    <cellStyle name="汇总 2 2 2 2 4 2" xfId="5710"/>
    <cellStyle name="输出 2 4 6 3" xfId="5711"/>
    <cellStyle name="输入 2 3 8" xfId="5712"/>
    <cellStyle name="链接单元格 2 3 8" xfId="5713"/>
    <cellStyle name="计算 2 6 2 2" xfId="5714"/>
    <cellStyle name="常规 2 3 4 3" xfId="5715"/>
    <cellStyle name="20% - 强调文字颜色 4 2 2 6 3" xfId="5716"/>
    <cellStyle name="输入 2 2 3 2 2 9" xfId="5717"/>
    <cellStyle name="计算 2 2 4 3 3 3 2" xfId="5718"/>
    <cellStyle name="检查单元格 2 2 3 2 3" xfId="5719"/>
    <cellStyle name="输入 2 4 2 3 3 2" xfId="5720"/>
    <cellStyle name="20% - 强调文字颜色 2 2 3 2 4 3" xfId="5721"/>
    <cellStyle name="差 3 5 2 3" xfId="5722"/>
    <cellStyle name="链接单元格 2 2 2 2 5 2 2" xfId="5723"/>
    <cellStyle name="注释 2 2 7" xfId="5724"/>
    <cellStyle name="输入 2 6 2 5" xfId="5725"/>
    <cellStyle name="输入 2 2 5 3 2 3" xfId="5726"/>
    <cellStyle name="注释 2 2 3 2 2 2 3 3" xfId="5727"/>
    <cellStyle name="强调文字颜色 4 3 2 3 2" xfId="5728"/>
    <cellStyle name="强调文字颜色 4 2 4 5 2 2" xfId="5729"/>
    <cellStyle name="输入 2 2 2 7 3" xfId="5730"/>
    <cellStyle name="计算 2 2 8 6 2" xfId="5731"/>
    <cellStyle name="注释 2 2 2 3 2 2 2" xfId="5732"/>
    <cellStyle name="汇总 2 2 6 2 2 2 5" xfId="5733"/>
    <cellStyle name="强调文字颜色 6 2 2 6 3 3" xfId="5734"/>
    <cellStyle name="汇总 2 7 4 3 3" xfId="5735"/>
    <cellStyle name="输入 2 2 2 3 5" xfId="5736"/>
    <cellStyle name="计算 2 2 8 2 4" xfId="5737"/>
    <cellStyle name="60% - 强调文字颜色 3 2 3 4 2 2" xfId="5738"/>
    <cellStyle name="20% - 强调文字颜色 2 2 2 2 3 2" xfId="5739"/>
    <cellStyle name="注释 2 2 7 3 4" xfId="5740"/>
    <cellStyle name="输出 2 4 2 6" xfId="5741"/>
    <cellStyle name="40% - 强调文字颜色 6 3 2 2 2" xfId="5742"/>
    <cellStyle name="计算 2 7 7 2" xfId="5743"/>
    <cellStyle name="计算 2 2 7 5 5" xfId="5744"/>
    <cellStyle name="40% - 强调文字颜色 3 2 3 2 5 2 2" xfId="5745"/>
    <cellStyle name="注释 2 8 7" xfId="5746"/>
    <cellStyle name="标题 3 3 3 5" xfId="5747"/>
    <cellStyle name="60% - 强调文字颜色 5 5 2" xfId="5748"/>
    <cellStyle name="标题 3 2 2 3 4 2 3" xfId="5749"/>
    <cellStyle name="常规 6 2 2 2 3 2 2 2" xfId="5750"/>
    <cellStyle name="计算 2 3 11 2" xfId="5751"/>
    <cellStyle name="解释性文本 2 2 6 4" xfId="5752"/>
    <cellStyle name="输入 2 2 5 5 2 2" xfId="5753"/>
    <cellStyle name="计算 2 4 4 6 2" xfId="5754"/>
    <cellStyle name="警告文本 2 2 2 2 2 2 2 2 2" xfId="5755"/>
    <cellStyle name="60% - 强调文字颜色 3 2 4 3 3 2" xfId="5756"/>
    <cellStyle name="汇总 2 5 3 2 2 4 2" xfId="5757"/>
    <cellStyle name="40% - 强调文字颜色 4 2 2 9 2" xfId="5758"/>
    <cellStyle name="汇总 2 2 3 3 2 2 2" xfId="5759"/>
    <cellStyle name="20% - 强调文字颜色 2 2 3 6 2 2 2" xfId="5760"/>
    <cellStyle name="计算 2 10 6" xfId="5761"/>
    <cellStyle name="说明文本 2 2 2 2" xfId="5762"/>
    <cellStyle name="注释 2 4 5 6" xfId="5763"/>
    <cellStyle name="计算 2 2 6 8 2 2" xfId="5764"/>
    <cellStyle name="强调文字颜色 4 2 2 2 3 7" xfId="5765"/>
    <cellStyle name="40% - 强调文字颜色 2 2 3 3 5" xfId="5766"/>
    <cellStyle name="标题 6 7" xfId="5767"/>
    <cellStyle name="链接单元格 2 3 2 3 2" xfId="5768"/>
    <cellStyle name="标题 5 2 3 6" xfId="5769"/>
    <cellStyle name="差 2 8 3" xfId="5770"/>
    <cellStyle name="20% - 强调文字颜色 6 2 2" xfId="5771"/>
    <cellStyle name="20% - 强调文字颜色 1 2 2 6 2" xfId="5772"/>
    <cellStyle name="汇总 3 3 6" xfId="5773"/>
    <cellStyle name="计算 2 2 6 2 2 2 3 3" xfId="5774"/>
    <cellStyle name="输入 3 2 2 2 4" xfId="5775"/>
    <cellStyle name="输入 2 3 3 4 2" xfId="5776"/>
    <cellStyle name="输出 2 2 2 2 7" xfId="5777"/>
    <cellStyle name="60% - 强调文字颜色 3 3 2 2 3" xfId="5778"/>
    <cellStyle name="常规 4 3 4 5 2" xfId="5779"/>
    <cellStyle name="超链接 3 2" xfId="5780"/>
    <cellStyle name="计算 2 2 8 2 2 5" xfId="5781"/>
    <cellStyle name="标题 3 2 7 2 2" xfId="5782"/>
    <cellStyle name="输入 2 2 4 4 2 2 2 2" xfId="5783"/>
    <cellStyle name="20% - 强调文字颜色 1 2 3 2 4 3 2" xfId="5784"/>
    <cellStyle name="标题 1 5 2" xfId="5785"/>
    <cellStyle name="输出 2 5 4 2 4" xfId="5786"/>
    <cellStyle name="20% - 强调文字颜色 1 3 9" xfId="5787"/>
    <cellStyle name="标题 2 2 4 4" xfId="5788"/>
    <cellStyle name="计算 2 2 5 2 2 6 3" xfId="5789"/>
    <cellStyle name="40% - 强调文字颜色 6 2 2 4 2 2 2" xfId="5790"/>
    <cellStyle name="20% - 强调文字颜色 5 2 2 2 2 4" xfId="5791"/>
    <cellStyle name="40% - 强调文字颜色 3 3 8" xfId="5792"/>
    <cellStyle name="40% - 强调文字颜色 5 2 2 2 3 5" xfId="5793"/>
    <cellStyle name="60% - 强调文字颜色 4 2 2 2 2 2 4" xfId="5794"/>
    <cellStyle name="汇总 3 3 8" xfId="5795"/>
    <cellStyle name="常规 2 2 2 6 2 2" xfId="5796"/>
    <cellStyle name="超链接 2 3 3 2 2 2 2" xfId="5797"/>
    <cellStyle name="输出 3 3 2 3" xfId="5798"/>
    <cellStyle name="标题 2 2 6 2 2 2" xfId="5799"/>
    <cellStyle name="计算 3 2 4 5" xfId="5800"/>
    <cellStyle name="20% - 强调文字颜色 4 2 2 2 7" xfId="5801"/>
    <cellStyle name="警告文本 2 2 2 3 6" xfId="5802"/>
    <cellStyle name="注释 2 2 3 2 6 3" xfId="5803"/>
    <cellStyle name="输出 2 8 2 2 2" xfId="5804"/>
    <cellStyle name="汇总 2 2 4 2 2 4 3" xfId="5805"/>
    <cellStyle name="计算 2 2 6 2 7" xfId="5806"/>
    <cellStyle name="计算 2 2 2 4 2 4" xfId="5807"/>
    <cellStyle name="60% - 强调文字颜色 3 3 2 4 2 2" xfId="5808"/>
    <cellStyle name="强调文字颜色 2 2 2 2 3 4" xfId="5809"/>
    <cellStyle name="20% - 强调文字颜色 1 3 3 4" xfId="5810"/>
    <cellStyle name="40% - 强调文字颜色 1 2 2 2 3 2" xfId="5811"/>
    <cellStyle name="注释 2 2 3 2 3" xfId="5812"/>
    <cellStyle name="常规 10 3 2 2 2 2" xfId="5813"/>
    <cellStyle name="标题 3 2 4 3 3" xfId="5814"/>
    <cellStyle name="汇总 2 5 2 6 3 2" xfId="5815"/>
    <cellStyle name="输入 2 2 2 2 2 3 2" xfId="5816"/>
    <cellStyle name="计算 2 8 7 2 2" xfId="5817"/>
    <cellStyle name="标题 3 3 4 2 2" xfId="5818"/>
    <cellStyle name="注释 2 9 4 2" xfId="5819"/>
    <cellStyle name="差 2 6 4" xfId="5820"/>
    <cellStyle name="标题 3 2 2 3 4 4" xfId="5821"/>
    <cellStyle name="汇总 2 4 3 2 7" xfId="5822"/>
    <cellStyle name="计算 2 2 6 2 4 2 2" xfId="5823"/>
    <cellStyle name="汇总 2 7 2 3 3 2 2" xfId="5824"/>
    <cellStyle name="40% - 强调文字颜色 6 2 2 9" xfId="5825"/>
    <cellStyle name="20% - 强调文字颜色 1 2 2 2 2 2 5 2" xfId="5826"/>
    <cellStyle name="40% - 强调文字颜色 4 2 2 2 3 3" xfId="5827"/>
    <cellStyle name="计算 2 2 3 2 2 3 5" xfId="5828"/>
    <cellStyle name="强调文字颜色 2 2 2 4 5" xfId="5829"/>
    <cellStyle name="输出 2 5 8" xfId="5830"/>
    <cellStyle name="20% - 强调文字颜色 2 2 3 2 5 2 2" xfId="5831"/>
    <cellStyle name="标题 2 2 3 4 2 2 3" xfId="5832"/>
    <cellStyle name="强调文字颜色 4 2 5 2 2 2" xfId="5833"/>
    <cellStyle name="60% - 强调文字颜色 2 2 2 3 5" xfId="5834"/>
    <cellStyle name="输入 2 2 4 6 2 2" xfId="5835"/>
    <cellStyle name="标题 3 2 2 2 2 4 2 2" xfId="5836"/>
    <cellStyle name="60% - 强调文字颜色 1 2 4 6" xfId="5837"/>
    <cellStyle name="汇总 2 2 10 2 4 2" xfId="5838"/>
    <cellStyle name="60% - 强调文字颜色 3 4 2 2" xfId="5839"/>
    <cellStyle name="常规 3 2 2 3 2 2 2" xfId="5840"/>
    <cellStyle name="注释 2 3 2 2 4 3" xfId="5841"/>
    <cellStyle name="计算 2 2 2 3 4 2 2" xfId="5842"/>
    <cellStyle name="计算 2 2 5 4 5 2" xfId="5843"/>
    <cellStyle name="40% - 强调文字颜色 2 2 10 2" xfId="5844"/>
    <cellStyle name="汇总 2 15 2 2" xfId="5845"/>
    <cellStyle name="计算 2 6 2 2 2 4" xfId="5846"/>
    <cellStyle name="汇总 2 2 3 2 5 2" xfId="5847"/>
    <cellStyle name="标题 2 2 2 2 3 7" xfId="5848"/>
    <cellStyle name="汇总 2 2 10 2 2 3" xfId="5849"/>
    <cellStyle name="标题 4 2 4 4 2 3" xfId="5850"/>
    <cellStyle name="标题 7 4 3" xfId="5851"/>
    <cellStyle name="60% - 强调文字颜色 1 5 2" xfId="5852"/>
    <cellStyle name="40% - 强调文字颜色 5 2 2 2 4 2 2" xfId="5853"/>
    <cellStyle name="标题 5 2 4 3 3" xfId="5854"/>
    <cellStyle name="警告文本 2 2 3 4 2" xfId="5855"/>
    <cellStyle name="计算 2 2 4 2 4 2 3 2" xfId="5856"/>
    <cellStyle name="60% - 强调文字颜色 6 3 2 3 2 2 2" xfId="5857"/>
    <cellStyle name="汇总 2 2 5 2 2 4" xfId="5858"/>
    <cellStyle name="强调文字颜色 3 2 3 2 3" xfId="5859"/>
    <cellStyle name="计算 2 2 5 4 5 3" xfId="5860"/>
    <cellStyle name="标题 2 2 2 2 2 2 2 2" xfId="5861"/>
    <cellStyle name="60% - 强调文字颜色 3 4 2 3" xfId="5862"/>
    <cellStyle name="注释 2 3 2 11" xfId="5863"/>
    <cellStyle name="输入 2 2 2 6 2" xfId="5864"/>
    <cellStyle name="40% - 强调文字颜色 4 3 2 5 2" xfId="5865"/>
    <cellStyle name="汇总 2 3 4 4" xfId="5866"/>
    <cellStyle name="标题 2 2 2 2 2 2 2 2 2" xfId="5867"/>
    <cellStyle name="输出 2 3 2 3 6" xfId="5868"/>
    <cellStyle name="60% - 强调文字颜色 3 4 2 3 2" xfId="5869"/>
    <cellStyle name="标题 5 2 2 2 5 3" xfId="5870"/>
    <cellStyle name="40% - 强调文字颜色 6 2 2 6 2 2 2" xfId="5871"/>
    <cellStyle name="20% - 强调文字颜色 4 2 5 2 3 2" xfId="5872"/>
    <cellStyle name="汇总 2 2 2 2 6" xfId="5873"/>
    <cellStyle name="60% - 强调文字颜色 4 2 3 7 2" xfId="5874"/>
    <cellStyle name="汇总 2 10 3 4 2" xfId="5875"/>
    <cellStyle name="计算 2 2 3 4 2 4 2 2" xfId="5876"/>
    <cellStyle name="20% - 强调文字颜色 4 3 5 2 2" xfId="5877"/>
    <cellStyle name="输出 2 2 3 2 2 3 2" xfId="5878"/>
    <cellStyle name="20% - 强调文字颜色 4 2 2 2 7 2" xfId="5879"/>
    <cellStyle name="汇总 4 4 3 3" xfId="5880"/>
    <cellStyle name="输出 2 2 2 8 2 2" xfId="5881"/>
    <cellStyle name="输出 2 2 4 3 7" xfId="5882"/>
    <cellStyle name="强调文字颜色 2 2 4 3 3 2" xfId="5883"/>
    <cellStyle name="标题 1 4 4 2 2 2" xfId="5884"/>
    <cellStyle name="计算 2 3 5 5" xfId="5885"/>
    <cellStyle name="20% - 强调文字颜色 2 2 2 2 3" xfId="5886"/>
    <cellStyle name="60% - 强调文字颜色 3 2 3 4 2" xfId="5887"/>
    <cellStyle name="60% - 强调文字颜色 2 2 8 2" xfId="5888"/>
    <cellStyle name="好 2 3 2 4 2 2 2" xfId="5889"/>
    <cellStyle name="输入 2 5 2 4 3 2" xfId="5890"/>
    <cellStyle name="40% - 强调文字颜色 1 2 2 2 3 2 2" xfId="5891"/>
    <cellStyle name="60% - 强调文字颜色 2 2 2 2 2 2 2 2 2" xfId="5892"/>
    <cellStyle name="标题 4 2 2 2 5" xfId="5893"/>
    <cellStyle name="汇总 2 2 5 4 3 2 2" xfId="5894"/>
    <cellStyle name="汇总 2 3 5 4" xfId="5895"/>
    <cellStyle name="60% - 强调文字颜色 3 4 2 4 2" xfId="5896"/>
    <cellStyle name="输入 2 10 3 2 2" xfId="5897"/>
    <cellStyle name="60% - 强调文字颜色 1 2 3 2 6" xfId="5898"/>
    <cellStyle name="注释 2 2 4 2 4 3" xfId="5899"/>
    <cellStyle name="输入 3 11" xfId="5900"/>
    <cellStyle name="差 2 2 2 2 7" xfId="5901"/>
    <cellStyle name="标题 5 4 2 2" xfId="5902"/>
    <cellStyle name="标题 5 2 2 3 2 2" xfId="5903"/>
    <cellStyle name="计算 2 5 2 2 3 2 2" xfId="5904"/>
    <cellStyle name="链接单元格 2 3 5 2" xfId="5905"/>
    <cellStyle name="20% - 强调文字颜色 2 2 5 2 3 2" xfId="5906"/>
    <cellStyle name="标题 2 2 4 4 2 2 2" xfId="5907"/>
    <cellStyle name="好 2 2 2 2 2 4" xfId="5908"/>
    <cellStyle name="60% - 强调文字颜色 6 2 2 3 5" xfId="5909"/>
    <cellStyle name="计算 2 2 5 8 2 2" xfId="5910"/>
    <cellStyle name="汇总 2 5 2 2 2 6 2" xfId="5911"/>
    <cellStyle name="好 2 4 4 2 2 2" xfId="5912"/>
    <cellStyle name="输入 2 5 5 2 4" xfId="5913"/>
    <cellStyle name="强调文字颜色 3 2 2 2 4 2 2 2" xfId="5914"/>
    <cellStyle name="Normal 7 2" xfId="5915"/>
    <cellStyle name="20% - 强调文字颜色 5 2 2 2 6" xfId="5916"/>
    <cellStyle name="汇总 2 5 3 4 2" xfId="5917"/>
    <cellStyle name="注释 2 2 8 3 2" xfId="5918"/>
    <cellStyle name="40% - 强调文字颜色 1 2 3 2 5 2 2" xfId="5919"/>
    <cellStyle name="输出 2 5 2 4" xfId="5920"/>
    <cellStyle name="60% - 强调文字颜色 3 5 2 2" xfId="5921"/>
    <cellStyle name="强调文字颜色 5 2 2 3 8" xfId="5922"/>
    <cellStyle name="60% - 强调文字颜色 3 6 2 2" xfId="5923"/>
    <cellStyle name="40% - 强调文字颜色 3 3 2 2 2 2 2" xfId="5924"/>
    <cellStyle name="注释 2 2 4 9" xfId="5925"/>
    <cellStyle name="输入 2 6 2 2 9" xfId="5926"/>
    <cellStyle name="输入 2 2 8 2 3 2 2" xfId="5927"/>
    <cellStyle name="注释 2 2 6 2 2 2 2" xfId="5928"/>
    <cellStyle name="常规 13 3 3 3 2" xfId="5929"/>
    <cellStyle name="20% - 强调文字颜色 2 2 4 3 2" xfId="5930"/>
    <cellStyle name="20% - 强调文字颜色 5 2 3 5" xfId="5931"/>
    <cellStyle name="注释 2 3 2 3 2 2" xfId="5932"/>
    <cellStyle name="注释 2 6 2 2 4" xfId="5933"/>
    <cellStyle name="常规 2 2 2 2 4 3 2 2" xfId="5934"/>
    <cellStyle name="适中 2 7 2 3" xfId="5935"/>
    <cellStyle name="60% - 强调文字颜色 1 3 2 5" xfId="5936"/>
    <cellStyle name="常规 4 2 2 6 2 2" xfId="5937"/>
    <cellStyle name="标题 4 3 2 4 2 2 2" xfId="5938"/>
    <cellStyle name="注释 2 2 3 2 3 4 2" xfId="5939"/>
    <cellStyle name="汇总 2 2 3 3 2 4 2 2" xfId="5940"/>
    <cellStyle name="标题 1 2 4 2 2 2 2 2" xfId="5941"/>
    <cellStyle name="输入 2 2 4 2 7 2" xfId="5942"/>
    <cellStyle name="40% - 强调文字颜色 3 2 2 3 2 2 2 2 2" xfId="5943"/>
    <cellStyle name="40% - 强调文字颜色 4 4 5 2" xfId="5944"/>
    <cellStyle name="适中 3" xfId="5945"/>
    <cellStyle name="链接单元格 2 3 2 4 2" xfId="5946"/>
    <cellStyle name="标题 5 2 4 6" xfId="5947"/>
    <cellStyle name="强调文字颜色 2 2 7 2 2" xfId="5948"/>
    <cellStyle name="20% - 强调文字颜色 6 3 2" xfId="5949"/>
    <cellStyle name="输入 2 6 2 2" xfId="5950"/>
    <cellStyle name="注释 2 2 4" xfId="5951"/>
    <cellStyle name="40% - 强调文字颜色 4 2 3 3 2 2 2" xfId="5952"/>
    <cellStyle name="60% - 强调文字颜色 1 2 2 2 2 2 2 2 2" xfId="5953"/>
    <cellStyle name="汇总 2 4 4 2 3 3" xfId="5954"/>
    <cellStyle name="汇总 2 2 3 3 4 2 2" xfId="5955"/>
    <cellStyle name="常规 5 3 4 5" xfId="5956"/>
    <cellStyle name="20% - 强调文字颜色 5 2 2 2 6 2 2 2" xfId="5957"/>
    <cellStyle name="60% - 强调文字颜色 5 4 4" xfId="5958"/>
    <cellStyle name="计算 2 2 7 4 7" xfId="5959"/>
    <cellStyle name="标题 3 2 2 4 3 2 3" xfId="5960"/>
    <cellStyle name="60% - 强调文字颜色 6 3 11" xfId="5961"/>
    <cellStyle name="标题 3 2 8 3" xfId="5962"/>
    <cellStyle name="输入 2 7 2 5" xfId="5963"/>
    <cellStyle name="注释 3 2 7" xfId="5964"/>
    <cellStyle name="40% - 强调文字颜色 6 3 7" xfId="5965"/>
    <cellStyle name="汇总 2 3 2 8" xfId="5966"/>
    <cellStyle name="40% - 强调文字颜色 2 2 4 3 2 2" xfId="5967"/>
    <cellStyle name="40% - 强调文字颜色 1 2 3 5 2 2 2" xfId="5968"/>
    <cellStyle name="好 2 3 2 3 2 2" xfId="5969"/>
    <cellStyle name="汇总 2 5 3 6" xfId="5970"/>
    <cellStyle name="计算 2 3 2 5 2 2" xfId="5971"/>
    <cellStyle name="解释性文本 2 4 5 2" xfId="5972"/>
    <cellStyle name="标题 3 2 3 9" xfId="5973"/>
    <cellStyle name="常规 13 2 2 2 4 2" xfId="5974"/>
    <cellStyle name="40% - 强调文字颜色 3 3 6" xfId="5975"/>
    <cellStyle name="40% - 强调文字颜色 5 2 2 2 3 3" xfId="5976"/>
    <cellStyle name="60% - 强调文字颜色 4 2 2 2 2 2 2" xfId="5977"/>
    <cellStyle name="计算 3 2 2 3 3" xfId="5978"/>
    <cellStyle name="输入 4 7" xfId="5979"/>
    <cellStyle name="汇总 2 3 9 3" xfId="5980"/>
    <cellStyle name="40% - 强调文字颜色 6 2 2 9 2" xfId="5981"/>
    <cellStyle name="输入 2 4 2 2 6" xfId="5982"/>
    <cellStyle name="40% - 强调文字颜色 6 4 3 2 2 2" xfId="5983"/>
    <cellStyle name="常规 6 4 4 2 2" xfId="5984"/>
    <cellStyle name="强调文字颜色 2 2 2 2 2 2 5" xfId="5985"/>
    <cellStyle name="40% - 强调文字颜色 5 2 5 5 2" xfId="5986"/>
    <cellStyle name="汇总 2 11 6" xfId="5987"/>
    <cellStyle name="20% - 强调文字颜色 1 2 2 2 2 3 2 2 2 2" xfId="5988"/>
    <cellStyle name="40% - 强调文字颜色 5 2 2 2 3 4" xfId="5989"/>
    <cellStyle name="60% - 强调文字颜色 4 2 2 2 2 2 3" xfId="5990"/>
    <cellStyle name="40% - 强调文字颜色 3 3 7" xfId="5991"/>
    <cellStyle name="60% - 强调文字颜色 4 2 2 2 2 3" xfId="5992"/>
    <cellStyle name="40% - 强调文字颜色 6 3 3 2 2 2" xfId="5993"/>
    <cellStyle name="输入 4 7 2" xfId="5994"/>
    <cellStyle name="计算 3 2 2 3 3 2" xfId="5995"/>
    <cellStyle name="60% - 强调文字颜色 4 2 2 2 2 4 2 2" xfId="5996"/>
    <cellStyle name="40% - 强调文字颜色 5 3 2 5 2" xfId="5997"/>
    <cellStyle name="注释 2 7 3 2 4" xfId="5998"/>
    <cellStyle name="60% - 强调文字颜色 5 2 2 4 2 2" xfId="5999"/>
    <cellStyle name="40% - 强调文字颜色 1 2 3 3 2" xfId="6000"/>
    <cellStyle name="常规 5 5 4 2 2" xfId="6001"/>
    <cellStyle name="汇总 2 2 4 2 3 3 2 3" xfId="6002"/>
    <cellStyle name="差 2 2 2 6 2 2 2" xfId="6003"/>
    <cellStyle name="常规 9 2 2 2 4 2 2" xfId="6004"/>
    <cellStyle name="强调文字颜色 3 4 2 3 2" xfId="6005"/>
    <cellStyle name="标题 3 2 2 2 2 4 3 2" xfId="6006"/>
    <cellStyle name="常规 10 4 5 2 2" xfId="6007"/>
    <cellStyle name="60% - 强调文字颜色 1 2 3 2 5" xfId="6008"/>
    <cellStyle name="60% - 强调文字颜色 6 2 2 2 5 2 3" xfId="6009"/>
    <cellStyle name="常规 5 5 3 2" xfId="6010"/>
    <cellStyle name="60% - 强调文字颜色 2 2 2 3 5 2" xfId="6011"/>
    <cellStyle name="汇总 2 2 5 2 2 3 2 3" xfId="6012"/>
    <cellStyle name="汇总 2 4 2 7 3" xfId="6013"/>
    <cellStyle name="强调文字颜色 3 2 3 2 2 2 3" xfId="6014"/>
    <cellStyle name="警告文本 2 6 3" xfId="6015"/>
    <cellStyle name="60% - 强调文字颜色 5 2 2 2 2 2 2 2 2 2" xfId="6016"/>
    <cellStyle name="40% - 强调文字颜色 6 2 2 4 3 3" xfId="6017"/>
    <cellStyle name="计算 2 4" xfId="6018"/>
    <cellStyle name="汇总 2 8 2 2 2 2 2" xfId="6019"/>
    <cellStyle name="40% - 强调文字颜色 2 2 9" xfId="6020"/>
    <cellStyle name="40% - 强调文字颜色 6 2 3 2 4 2 2 2" xfId="6021"/>
    <cellStyle name="20% - 强调文字颜色 5 2 7 3 2 2" xfId="6022"/>
    <cellStyle name="标题 4 2 2 3 3 3" xfId="6023"/>
    <cellStyle name="计算 4 3 3 2" xfId="6024"/>
    <cellStyle name="40% - 强调文字颜色 1 2 3 2 4 3 2 2" xfId="6025"/>
    <cellStyle name="60% - 强调文字颜色 4 2 2 2 3 2 2 2 2 2" xfId="6026"/>
    <cellStyle name="常规 10 7 2" xfId="6027"/>
    <cellStyle name="40% - 强调文字颜色 6 3 6" xfId="6028"/>
    <cellStyle name="60% - 强调文字颜色 4 2 2 2 5 2 2" xfId="6029"/>
    <cellStyle name="差 3 2 3 2" xfId="6030"/>
    <cellStyle name="输入 2 3 3 4" xfId="6031"/>
    <cellStyle name="适中 2 2 4 5 3" xfId="6032"/>
    <cellStyle name="计算 2 8 2 5 3" xfId="6033"/>
    <cellStyle name="输入 2 10 2" xfId="6034"/>
    <cellStyle name="60% - 强调文字颜色 6 2 2 4 2 3 3" xfId="6035"/>
    <cellStyle name="常规 7 2 4 2" xfId="6036"/>
    <cellStyle name="60% - 强调文字颜色 4 2 2 3 2 2" xfId="6037"/>
    <cellStyle name="输入 2 2 3 2 3 3 2" xfId="6038"/>
    <cellStyle name="60% - 强调文字颜色 5 4 4 2 2 2" xfId="6039"/>
    <cellStyle name="常规 5 2 2 3 3 2 2" xfId="6040"/>
    <cellStyle name="注释 5 3 2" xfId="6041"/>
    <cellStyle name="60% - 强调文字颜色 1 2 5 3" xfId="6042"/>
    <cellStyle name="计算 2 7 2 2 3 2 2" xfId="6043"/>
    <cellStyle name="40% - 强调文字颜色 2 2 3 2 2 3 2 2" xfId="6044"/>
    <cellStyle name="输出 2 3 4 2 2 2" xfId="6045"/>
    <cellStyle name="常规 2 2 2 2 2 2" xfId="6046"/>
    <cellStyle name="输入 3 2 3 4" xfId="6047"/>
    <cellStyle name="汇总 2 5 2 2 5 3" xfId="6048"/>
    <cellStyle name="标题 3 2 3 2 4 2 3" xfId="6049"/>
    <cellStyle name="链接单元格 2 2 3 5" xfId="6050"/>
    <cellStyle name="常规 5 2 5 2 4" xfId="6051"/>
    <cellStyle name="常规 5 2 6 3 3" xfId="6052"/>
    <cellStyle name="链接单元格 2 3 4 4" xfId="6053"/>
    <cellStyle name="输出 2 2 5 2 4 2 2" xfId="6054"/>
    <cellStyle name="链接单元格 2 6 2" xfId="6055"/>
    <cellStyle name="强调文字颜色 4 2 2 2 5" xfId="6056"/>
    <cellStyle name="强调文字颜色 1 2 2 2 2 2 2 3" xfId="6057"/>
    <cellStyle name="计算 2 5 2 13" xfId="6058"/>
    <cellStyle name="检查单元格 3 2 2 2 2" xfId="6059"/>
    <cellStyle name="60% - 强调文字颜色 4 2 2 4 4" xfId="6060"/>
    <cellStyle name="计算 2 7 2 2 2 2 2" xfId="6061"/>
    <cellStyle name="好 2 2 2 2 5 2 2" xfId="6062"/>
    <cellStyle name="适中 2 2 2 4 2 2 2" xfId="6063"/>
    <cellStyle name="20% - 强调文字颜色 5 2 2 2 4 3 2 2" xfId="6064"/>
    <cellStyle name="计算 2 2 2 2 4 5" xfId="6065"/>
    <cellStyle name="计算 2 2 4 4 8" xfId="6066"/>
    <cellStyle name="60% - 强调文字颜色 2 4 5" xfId="6067"/>
    <cellStyle name="强调文字颜色 1 2 2 7 2" xfId="6068"/>
    <cellStyle name="检查单元格 2 2 6 3" xfId="6069"/>
    <cellStyle name="输出 2 2 3 2 2 10" xfId="6070"/>
    <cellStyle name="40% - 强调文字颜色 6 3 5" xfId="6071"/>
    <cellStyle name="40% - 强调文字颜色 5 2 2 5 3 2" xfId="6072"/>
    <cellStyle name="汇总 2 6 2 3 3 2" xfId="6073"/>
    <cellStyle name="60% - 强调文字颜色 1 3 8" xfId="6074"/>
    <cellStyle name="强调文字颜色 5 2 2 2 4 3 2" xfId="6075"/>
    <cellStyle name="好 2 4 4 4" xfId="6076"/>
    <cellStyle name="常规 5 4 3 2 3 2 2" xfId="6077"/>
    <cellStyle name="汇总 2 2 4 2 2 2 2 4 2 2" xfId="6078"/>
    <cellStyle name="强调文字颜色 5 2 4 2 3" xfId="6079"/>
    <cellStyle name="20% - 强调文字颜色 1 2 2 7 2 2" xfId="6080"/>
    <cellStyle name="计算 2 5 3 3 2 2" xfId="6081"/>
    <cellStyle name="计算 2 2 16 2" xfId="6082"/>
    <cellStyle name="标题 4 2 2 3 9" xfId="6083"/>
    <cellStyle name="计算 2 2 3 2 2 2 4" xfId="6084"/>
    <cellStyle name="40% - 强调文字颜色 4 2 2 2 2 2" xfId="6085"/>
    <cellStyle name="汇总 2 2 4 3" xfId="6086"/>
    <cellStyle name="常规 9 3 5 2 2" xfId="6087"/>
    <cellStyle name="标题 1 2 4 4 2" xfId="6088"/>
    <cellStyle name="输入 2 2 2 2 2 2 4 2" xfId="6089"/>
    <cellStyle name="标题 1 2 4 4 2 2" xfId="6090"/>
    <cellStyle name="60% - 强调文字颜色 4 4 4 2" xfId="6091"/>
    <cellStyle name="输出 3 15" xfId="6092"/>
    <cellStyle name="检查单元格 2 2 2 5 2" xfId="6093"/>
    <cellStyle name="60% - 强调文字颜色 4 2 2 2 5 2 2 2" xfId="6094"/>
    <cellStyle name="强调文字颜色 6 2 6 4" xfId="6095"/>
    <cellStyle name="输入 2 8 6 2" xfId="6096"/>
    <cellStyle name="强调文字颜色 1 2 2 3 4 2" xfId="6097"/>
    <cellStyle name="强调文字颜色 3 3 2 2 3 2" xfId="6098"/>
    <cellStyle name="20% - 强调文字颜色 1 2 2 2 4 3" xfId="6099"/>
    <cellStyle name="40% - 强调文字颜色 1 2 2 2 2 4 2" xfId="6100"/>
    <cellStyle name="输入 2 5 2 3 5 2" xfId="6101"/>
    <cellStyle name="20% - 强调文字颜色 2 2 2 2 5" xfId="6102"/>
    <cellStyle name="汇总 2 6 2 2 3 3 2" xfId="6103"/>
    <cellStyle name="注释 6 3" xfId="6104"/>
    <cellStyle name="60% - 强调文字颜色 5 2 2 6 2 2 2" xfId="6105"/>
    <cellStyle name="常规 12 2 2 2 3 2" xfId="6106"/>
    <cellStyle name="注释 2 2 2 3 7" xfId="6107"/>
    <cellStyle name="常规 6 4 5 2 2" xfId="6108"/>
    <cellStyle name="计算 2 6 2 2 4 2" xfId="6109"/>
    <cellStyle name="汇总 2 5 3 2 4" xfId="6110"/>
    <cellStyle name="40% - 强调文字颜色 6 2 3 2 3 2 2 2" xfId="6111"/>
    <cellStyle name="40% - 强调文字颜色 4 2 2 3 4 3 2" xfId="6112"/>
    <cellStyle name="汇总 2 3 2 2 2 6" xfId="6113"/>
    <cellStyle name="60% - 强调文字颜色 4 2 2 8" xfId="6114"/>
    <cellStyle name="计算 2 2 3 4 2 3 3" xfId="6115"/>
    <cellStyle name="汇总 2 10 2 5" xfId="6116"/>
    <cellStyle name="20% - 强调文字颜色 3 2 2 5" xfId="6117"/>
    <cellStyle name="20% - 强调文字颜色 5 2 2 3 2 2 2 2" xfId="6118"/>
    <cellStyle name="汇总 2 2 3 10 2" xfId="6119"/>
    <cellStyle name="超链接 3 3 9" xfId="6120"/>
    <cellStyle name="解释性文本 2 3 5 2 3" xfId="6121"/>
    <cellStyle name="注释 4 5 3" xfId="6122"/>
    <cellStyle name="常规 13 4 3 4 2" xfId="6123"/>
    <cellStyle name="20% - 强调文字颜色 5 2 2 4 4 2 2" xfId="6124"/>
    <cellStyle name="标题 2 5 2 2" xfId="6125"/>
    <cellStyle name="输出 2 7 7 2" xfId="6126"/>
    <cellStyle name="注释 2 2 3 7" xfId="6127"/>
    <cellStyle name="40% - 强调文字颜色 4 2 2 3 5 2" xfId="6128"/>
    <cellStyle name="40% - 强调文字颜色 5 2 2 2 2" xfId="6129"/>
    <cellStyle name="汇总 2 2 5 2 4 3" xfId="6130"/>
    <cellStyle name="输出 2 2 3 2 3 2 3 2" xfId="6131"/>
    <cellStyle name="标题 1 2 3 4 2 2 3" xfId="6132"/>
    <cellStyle name="解释性文本 2 2 2 2 3 2 2 2" xfId="6133"/>
    <cellStyle name="汇总 2 5 2 2 2 3 2 2" xfId="6134"/>
    <cellStyle name="汇总 5 2 5" xfId="6135"/>
    <cellStyle name="计算 2 2 6 2 2 4 2 2" xfId="6136"/>
    <cellStyle name="计算 2 2 5 9 3" xfId="6137"/>
    <cellStyle name="输入 2 10" xfId="6138"/>
    <cellStyle name="标题 5 2 3 5 2 2" xfId="6139"/>
    <cellStyle name="计算 2 4 4 9" xfId="6140"/>
    <cellStyle name="标题 3 2 3 2 4 2 2 2" xfId="6141"/>
    <cellStyle name="汇总 2 5 2 2 5 2 2" xfId="6142"/>
    <cellStyle name="常规 7 2 4" xfId="6143"/>
    <cellStyle name="常规 10 2 4 4 3" xfId="6144"/>
    <cellStyle name="输入 2 2 3 2 3 3" xfId="6145"/>
    <cellStyle name="60% - 强调文字颜色 5 4 4 2 2" xfId="6146"/>
    <cellStyle name="常规 5 2 2 3 3 2" xfId="6147"/>
    <cellStyle name="60% - 强调文字颜色 4 2 2 3 2" xfId="6148"/>
    <cellStyle name="计算 2 2 3 4 2 2 3" xfId="6149"/>
    <cellStyle name="检查单元格 3 10" xfId="6150"/>
    <cellStyle name="注释 2 2 2 2 3 2" xfId="6151"/>
    <cellStyle name="强调文字颜色 3 2 2 3 5 3" xfId="6152"/>
    <cellStyle name="汇总 2 4 2 4 2 2" xfId="6153"/>
    <cellStyle name="超链接 2 4 4 2" xfId="6154"/>
    <cellStyle name="标题 2 2 2 2 3" xfId="6155"/>
    <cellStyle name="差 2 7 3" xfId="6156"/>
    <cellStyle name="汇总 2 2 6 5 6" xfId="6157"/>
    <cellStyle name="60% - 强调文字颜色 5 2 3 6 2 2" xfId="6158"/>
    <cellStyle name="20% - 强调文字颜色 4 2 2 4 3 2" xfId="6159"/>
    <cellStyle name="强调文字颜色 6 2 2 2 2 5 3" xfId="6160"/>
    <cellStyle name="60% - 强调文字颜色 4 2 3 2 3 2" xfId="6161"/>
    <cellStyle name="60% - 强调文字颜色 1 2 3 2 2" xfId="6162"/>
    <cellStyle name="常规 12 3 2 3" xfId="6163"/>
    <cellStyle name="计算 2 2 3 2 6 2 2" xfId="6164"/>
    <cellStyle name="常规 7 2 2 5 2 2" xfId="6165"/>
    <cellStyle name="输入 2 3 3 3 2 2" xfId="6166"/>
    <cellStyle name="汇总 2 6 2 2 9" xfId="6167"/>
    <cellStyle name="常规 5 2 2 4 2 3 2" xfId="6168"/>
    <cellStyle name="输入 2 3 4 6" xfId="6169"/>
    <cellStyle name="强调文字颜色 1 5 2 2" xfId="6170"/>
    <cellStyle name="常规 9 2 2 2 3 3 2" xfId="6171"/>
    <cellStyle name="60% - 强调文字颜色 1 2 3 2 2 4" xfId="6172"/>
    <cellStyle name="计算 2 2 16 2 2" xfId="6173"/>
    <cellStyle name="汇总 2 2 4 2 9 2 2" xfId="6174"/>
    <cellStyle name="注释 2 2 3 5 3 2 2" xfId="6175"/>
    <cellStyle name="40% - 强调文字颜色 5 2 4 4 2 2 2" xfId="6176"/>
    <cellStyle name="20% - 强调文字颜色 3 2 5 2 3" xfId="6177"/>
    <cellStyle name="20% - 强调文字颜色 1 2 2 2 3 3 2" xfId="6178"/>
    <cellStyle name="标题 3 2 3 2 2 2 2 3" xfId="6179"/>
    <cellStyle name="60% - 强调文字颜色 4 2 3 2 3 3" xfId="6180"/>
    <cellStyle name="60% - 强调文字颜色 1 2 3 2 3" xfId="6181"/>
    <cellStyle name="汇总 3 2 5" xfId="6182"/>
    <cellStyle name="计算 2 2 6 2 2 2 2 2" xfId="6183"/>
    <cellStyle name="60% - 强调文字颜色 4 2 3 2 4 2 2" xfId="6184"/>
    <cellStyle name="注释 2 2 2 2 3" xfId="6185"/>
    <cellStyle name="40% - 强调文字颜色 3 2 3 2 3 2 2 2" xfId="6186"/>
    <cellStyle name="20% - 强调文字颜色 1 2 3 4" xfId="6187"/>
    <cellStyle name="60% - 强调文字颜色 4 2 3 2 4 3" xfId="6188"/>
    <cellStyle name="60% - 强调文字颜色 1 2 3 3 3" xfId="6189"/>
    <cellStyle name="注释 2 2 3 2 5 2 2" xfId="6190"/>
    <cellStyle name="警告文本 2 2 2 2 5 2" xfId="6191"/>
    <cellStyle name="计算 2 2 7 5 3 3" xfId="6192"/>
    <cellStyle name="Normal 4 4 2" xfId="6193"/>
    <cellStyle name="40% - 强调文字颜色 2 2 7 3 2" xfId="6194"/>
    <cellStyle name="标题 3 3 3 3 3" xfId="6195"/>
    <cellStyle name="输出 2 2 3 3 6 2" xfId="6196"/>
    <cellStyle name="60% - 强调文字颜色 3 3 3 3 2 2" xfId="6197"/>
    <cellStyle name="检查单元格 2 2 2 3 4" xfId="6198"/>
    <cellStyle name="强调文字颜色 3 2 3 2 3 2 2" xfId="6199"/>
    <cellStyle name="输入 2 4 2 2 4 3" xfId="6200"/>
    <cellStyle name="汇总 2 9 4" xfId="6201"/>
    <cellStyle name="强调文字颜色 6 2 4 6" xfId="6202"/>
    <cellStyle name="计算 2 6 3 3 3 3" xfId="6203"/>
    <cellStyle name="汇总 2 2 8 3 2 2 2 2" xfId="6204"/>
    <cellStyle name="百分比 2 3 2" xfId="6205"/>
    <cellStyle name="汇总 3 3 5" xfId="6206"/>
    <cellStyle name="计算 2 2 6 2 2 2 3 2" xfId="6207"/>
    <cellStyle name="40% - 强调文字颜色 2 6 2" xfId="6208"/>
    <cellStyle name="汇总 2 7 4 4 2" xfId="6209"/>
    <cellStyle name="计算 2 2 8 3 3" xfId="6210"/>
    <cellStyle name="输入 2 2 2 4 4" xfId="6211"/>
    <cellStyle name="汇总 2 2 7 4 3 3" xfId="6212"/>
    <cellStyle name="强调文字颜色 6 2 2 5 4" xfId="6213"/>
    <cellStyle name="40% - 强调文字颜色 1 6" xfId="6214"/>
    <cellStyle name="40% - 强调文字颜色 5 2 2 4 2 3 2" xfId="6215"/>
    <cellStyle name="汇总 2 7 3 4" xfId="6216"/>
    <cellStyle name="60% - 强调文字颜色 3 3 2 5 2" xfId="6217"/>
    <cellStyle name="输入 4 4 2 2" xfId="6218"/>
    <cellStyle name="40% - 强调文字颜色 2 2 5 5" xfId="6219"/>
    <cellStyle name="适中 3 6" xfId="6220"/>
    <cellStyle name="计算 2 4 7 2" xfId="6221"/>
    <cellStyle name="适中 2 3 2 2 4" xfId="6222"/>
    <cellStyle name="常规 9 2 5 2" xfId="6223"/>
    <cellStyle name="60% - 强调文字颜色 4 2 4 3 3 2" xfId="6224"/>
    <cellStyle name="60% - 强调文字颜色 1 3 4 2 2" xfId="6225"/>
    <cellStyle name="40% - 强调文字颜色 1 2 3 2 3 3" xfId="6226"/>
    <cellStyle name="60% - 强调文字颜色 4 2 3 3 2 2 2 2" xfId="6227"/>
    <cellStyle name="40% - 强调文字颜色 4 2 3 2 2" xfId="6228"/>
    <cellStyle name="输入 2 6 11" xfId="6229"/>
    <cellStyle name="60% - 强调文字颜色 1 2 2 4" xfId="6230"/>
    <cellStyle name="40% - 强调文字颜色 2 3 6 2" xfId="6231"/>
    <cellStyle name="适中 2 6 2 2" xfId="6232"/>
    <cellStyle name="计算 2 2 2 2 2 5 3" xfId="6233"/>
    <cellStyle name="计算 2 2 4 2 8 3" xfId="6234"/>
    <cellStyle name="60% - 强调文字颜色 2 2 5 3" xfId="6235"/>
    <cellStyle name="60% - 强调文字颜色 4 2" xfId="6236"/>
    <cellStyle name="计算 2 2 5 4 8" xfId="6237"/>
    <cellStyle name="汇总 2 2 10 2 7" xfId="6238"/>
    <cellStyle name="60% - 强调文字颜色 3 4 5" xfId="6239"/>
    <cellStyle name="强调文字颜色 4 2 3 2 2 2 2" xfId="6240"/>
    <cellStyle name="强调文字颜色 2 2 2 2 2 5 3" xfId="6241"/>
    <cellStyle name="强调文字颜色 5 2 3 2 2 4" xfId="6242"/>
    <cellStyle name="输入 2 4 7 3" xfId="6243"/>
    <cellStyle name="计算 2 5 2 2 2 2 3" xfId="6244"/>
    <cellStyle name="链接单元格 2 2 5 3" xfId="6245"/>
    <cellStyle name="常规 5 2 5 4 2" xfId="6246"/>
    <cellStyle name="20% - 强调文字颜色 6 4 3" xfId="6247"/>
    <cellStyle name="20% - 强调文字颜色 6 2 3 2 3" xfId="6248"/>
    <cellStyle name="常规 2 7" xfId="6249"/>
    <cellStyle name="汇总 2 2 5 3 3 2 2 2" xfId="6250"/>
    <cellStyle name="常规 3 3 5 3 2 2" xfId="6251"/>
    <cellStyle name="常规 3 5 2" xfId="6252"/>
    <cellStyle name="60% - 强调文字颜色 3 3 2 2 3 2 2" xfId="6253"/>
    <cellStyle name="计算 2 2 4 4 2" xfId="6254"/>
    <cellStyle name="计算 2 2 2 4 4 2" xfId="6255"/>
    <cellStyle name="计算 2 2 6 4 5" xfId="6256"/>
    <cellStyle name="常规 5 2 4 3" xfId="6257"/>
    <cellStyle name="60% - 强调文字颜色 4 4 2" xfId="6258"/>
    <cellStyle name="百分比 2 3 3 3 3" xfId="6259"/>
    <cellStyle name="标题 3 2 2 5" xfId="6260"/>
    <cellStyle name="好 4 2" xfId="6261"/>
    <cellStyle name="20% - 强调文字颜色 2 2 2 2 2 2 3" xfId="6262"/>
    <cellStyle name="计算 2 2 4 2 4 2 6" xfId="6263"/>
    <cellStyle name="警告文本 2 2 3 7" xfId="6264"/>
    <cellStyle name="注释 2 14" xfId="6265"/>
    <cellStyle name="适中 2 2 2 2 2 2 2 2 2" xfId="6266"/>
    <cellStyle name="计算 2 7 3 7" xfId="6267"/>
    <cellStyle name="输入 2 2 8 4 3" xfId="6268"/>
    <cellStyle name="标题 3 2 2 2 6 2 3" xfId="6269"/>
    <cellStyle name="计算 3 4 4 2 2" xfId="6270"/>
    <cellStyle name="40% - 强调文字颜色 6 2 2 2 2 2 2 2 2 2" xfId="6271"/>
    <cellStyle name="适中 3 2 4" xfId="6272"/>
    <cellStyle name="计算 3 8 2" xfId="6273"/>
    <cellStyle name="输出 5 2 3" xfId="6274"/>
    <cellStyle name="差 2 4 2 2 3" xfId="6275"/>
    <cellStyle name="汇总 2 2 3 2 3" xfId="6276"/>
    <cellStyle name="60% - 强调文字颜色 3 3 10" xfId="6277"/>
    <cellStyle name="汇总 2 3 3 2 4 3" xfId="6278"/>
    <cellStyle name="60% - 强调文字颜色 1 2 4 5 2" xfId="6279"/>
    <cellStyle name="注释 2 3 2 2 4 2 2" xfId="6280"/>
    <cellStyle name="40% - 强调文字颜色 2 2 2 6 2 2 2" xfId="6281"/>
    <cellStyle name="20% - 强调文字颜色 2 2 3 5 2 2" xfId="6282"/>
    <cellStyle name="输入 2 2 4 3 9" xfId="6283"/>
    <cellStyle name="汇总 2 6 2 2 3 2 2 2" xfId="6284"/>
    <cellStyle name="常规 9 3 3 2 2" xfId="6285"/>
    <cellStyle name="标题 1 2 2 4 2" xfId="6286"/>
    <cellStyle name="常规 11 6 2 2" xfId="6287"/>
    <cellStyle name="注释 2 3 2 3 5" xfId="6288"/>
    <cellStyle name="20% - 强调文字颜色 2 2 4 6" xfId="6289"/>
    <cellStyle name="汇总 2 10 4 2" xfId="6290"/>
    <cellStyle name="60% - 强调文字颜色 4 2 4 5" xfId="6291"/>
    <cellStyle name="20% - 强调文字颜色 6 2 2 2 2 3 2 2 2" xfId="6292"/>
    <cellStyle name="检查单元格 3 3 2" xfId="6293"/>
    <cellStyle name="计算 2 7 2 3 2" xfId="6294"/>
    <cellStyle name="40% - 强调文字颜色 2 2 10" xfId="6295"/>
    <cellStyle name="汇总 2 15 2" xfId="6296"/>
    <cellStyle name="计算 2 2 2 3 4 2" xfId="6297"/>
    <cellStyle name="计算 2 2 5 4 5" xfId="6298"/>
    <cellStyle name="汇总 2 2 10 2 4" xfId="6299"/>
    <cellStyle name="标题 1 2 3 2 4 2 2 2" xfId="6300"/>
    <cellStyle name="60% - 强调文字颜色 3 4 2" xfId="6301"/>
    <cellStyle name="常规 3 2 2 3 2 2" xfId="6302"/>
    <cellStyle name="计算 2 2 3 3 2 5 2" xfId="6303"/>
    <cellStyle name="60% - 强调文字颜色 3 2 4 7" xfId="6304"/>
    <cellStyle name="计算 2 4 2 3 4" xfId="6305"/>
    <cellStyle name="输入 2 2 4 12" xfId="6306"/>
    <cellStyle name="标题 3 2 2 2 4 3 3" xfId="6307"/>
    <cellStyle name="汇总 2 4 2 2 6 3" xfId="6308"/>
    <cellStyle name="20% - 强调文字颜色 5" xfId="6309" builtinId="46"/>
    <cellStyle name="20% - 强调文字颜色 1 3 4 2" xfId="6310"/>
    <cellStyle name="常规 2 2 5 2" xfId="6311"/>
    <cellStyle name="强调文字颜色 2 2 2 2 4 2" xfId="6312"/>
    <cellStyle name="标题 1 2 2 2 3 2 2 2 2 2" xfId="6313"/>
    <cellStyle name="输出 2 3 7 2" xfId="6314"/>
    <cellStyle name="输入 2 2 6 11" xfId="6315"/>
    <cellStyle name="链接单元格 2 2 3 2 2 2" xfId="6316"/>
    <cellStyle name="输出 2 2 2 8 2" xfId="6317"/>
    <cellStyle name="40% - 强调文字颜色 2 2 3 2 2 2 3" xfId="6318"/>
    <cellStyle name="汇总 2 4 4 3" xfId="6319"/>
    <cellStyle name="汇总 2 2 7 6 2 2" xfId="6320"/>
    <cellStyle name="标题 3 2 2 2 2 2 2 2 2 3" xfId="6321"/>
    <cellStyle name="20% - 强调文字颜色 1 2 10 2" xfId="6322"/>
    <cellStyle name="汇总 2 7 5 5" xfId="6323"/>
    <cellStyle name="20% - 强调文字颜色 1 2 2 2 2 3 3" xfId="6324"/>
    <cellStyle name="20% - 强调文字颜色 6 2 2 2 7 2" xfId="6325"/>
    <cellStyle name="常规 3 3 2 2 4 2 2 2" xfId="6326"/>
    <cellStyle name="60% - 强调文字颜色 2 4 2 3 2" xfId="6327"/>
    <cellStyle name="40% - 强调文字颜色 6 2 3 4 3" xfId="6328"/>
    <cellStyle name="百分比 2 2 2 2 3 3" xfId="6329"/>
    <cellStyle name="60% - 强调文字颜色 4 2 4 2 2 2" xfId="6330"/>
    <cellStyle name="60% - 强调文字颜色 2 3 3 2 2 2 2" xfId="6331"/>
    <cellStyle name="60% - 强调文字颜色 3 2 5 3 2 2" xfId="6332"/>
    <cellStyle name="适中 2 2 2 3 2 3" xfId="6333"/>
    <cellStyle name="超链接 2 5 3 2 2 2" xfId="6334"/>
    <cellStyle name="标题 4 2 6 2 2" xfId="6335"/>
    <cellStyle name="60% - 强调文字颜色 4 2 7 2 2" xfId="6336"/>
    <cellStyle name="40% - 强调文字颜色 6 4 4 2" xfId="6337"/>
    <cellStyle name="标题 1 2 3 2 4 2 3" xfId="6338"/>
    <cellStyle name="输入 2 2 4 2 2 2 2 2 2" xfId="6339"/>
    <cellStyle name="计算 2 5 3 2 5 3" xfId="6340"/>
    <cellStyle name="20% - 强调文字颜色 4 2 6 2 2" xfId="6341"/>
    <cellStyle name="60% - 强调文字颜色 5 3 3 2 2 2 2" xfId="6342"/>
    <cellStyle name="注释 2 2 2 6 3" xfId="6343"/>
    <cellStyle name="计算 4 2 2 3 2" xfId="6344"/>
    <cellStyle name="20% - 强调文字颜色 2 2 2 3 3 3" xfId="6345"/>
    <cellStyle name="汇总 2 3 2 2 2" xfId="6346"/>
    <cellStyle name="检查单元格 2 2 3 6 2 2" xfId="6347"/>
    <cellStyle name="标题 3 6 2 2 2" xfId="6348"/>
    <cellStyle name="强调文字颜色 1 2 2 4 5 2 2" xfId="6349"/>
    <cellStyle name="注释 2 4 2 4 5" xfId="6350"/>
    <cellStyle name="计算 2 5 2 7" xfId="6351"/>
    <cellStyle name="60% - 强调文字颜色 1 2 2 2 3 3 2" xfId="6352"/>
    <cellStyle name="输出 7 3" xfId="6353"/>
    <cellStyle name="差 2 4 4 3" xfId="6354"/>
    <cellStyle name="汇总 2 5 4 2 8" xfId="6355"/>
    <cellStyle name="好 2 2 2 6" xfId="6356"/>
    <cellStyle name="注释 2 2 7 2 3 3" xfId="6357"/>
    <cellStyle name="输入 2 2 6 3 4 2" xfId="6358"/>
    <cellStyle name="40% - 强调文字颜色 6 5 2 2" xfId="6359"/>
    <cellStyle name="链接单元格 2 2 2 3 2 2 2" xfId="6360"/>
    <cellStyle name="标题 4 2 3 6 2 2" xfId="6361"/>
    <cellStyle name="汇总 4 2 2 2 2" xfId="6362"/>
    <cellStyle name="60% - 强调文字颜色 3 3 2 2 2 2" xfId="6363"/>
    <cellStyle name="输出 2 2 2 2 6 2" xfId="6364"/>
    <cellStyle name="警告文本 2 4 2" xfId="6365"/>
    <cellStyle name="60% - 强调文字颜色 6 2 6 3" xfId="6366"/>
    <cellStyle name="警告文本 2 2 5 2 3" xfId="6367"/>
    <cellStyle name="20% - 强调文字颜色 6 2 2 2 4 2 2 2" xfId="6368"/>
    <cellStyle name="20% - 强调文字颜色 6 2 4 2" xfId="6369"/>
    <cellStyle name="常规 6 3 2 2 3 3 2" xfId="6370"/>
    <cellStyle name="计算 2 7 2 2 3" xfId="6371"/>
    <cellStyle name="检查单元格 3 2 3" xfId="6372"/>
    <cellStyle name="常规 5 2 2 3 3" xfId="6373"/>
    <cellStyle name="60% - 强调文字颜色 5 4 4 2" xfId="6374"/>
    <cellStyle name="汇总 2 5 2 2 5 2" xfId="6375"/>
    <cellStyle name="标题 3 2 3 2 4 2 2" xfId="6376"/>
    <cellStyle name="20% - 强调文字颜色 1 2 2 2 2 5 2 2 2" xfId="6377"/>
    <cellStyle name="输入 2 4 3 2 2" xfId="6378"/>
    <cellStyle name="标题 1 2 6 3 3" xfId="6379"/>
    <cellStyle name="常规 5 2 3 6" xfId="6380"/>
    <cellStyle name="60% - 强调文字颜色 4 3 5" xfId="6381"/>
    <cellStyle name="汇总 2 2 5 2 7 3" xfId="6382"/>
    <cellStyle name="40% - 强调文字颜色 2 2 3 2" xfId="6383"/>
    <cellStyle name="计算 2 6 2 3 2 3" xfId="6384"/>
    <cellStyle name="计算 2 2 8 2 2 3 2 2" xfId="6385"/>
    <cellStyle name="汇总 2 5 2 2 2 2 4" xfId="6386"/>
    <cellStyle name="注释 2 2 3 2 9 2" xfId="6387"/>
    <cellStyle name="20% - 强调文字颜色 5 3" xfId="6388"/>
    <cellStyle name="强调文字颜色 4 2 2 8" xfId="6389"/>
    <cellStyle name="标题 4 2 6 2 2 2" xfId="6390"/>
    <cellStyle name="好 2 2 2 3 2 2 3" xfId="6391"/>
    <cellStyle name="20% - 强调文字颜色 1 2 5 2 2" xfId="6392"/>
    <cellStyle name="注释 2 2 3 4 3 2" xfId="6393"/>
    <cellStyle name="40% - 强调文字颜色 6 2 6 3" xfId="6394"/>
    <cellStyle name="标题 3 2 2 5 2 2 2" xfId="6395"/>
    <cellStyle name="输入 2 5 12" xfId="6396"/>
    <cellStyle name="常规 10 5 4 3" xfId="6397"/>
    <cellStyle name="常规 5 2 3 4 5" xfId="6398"/>
    <cellStyle name="输入 2 2 7 6" xfId="6399"/>
    <cellStyle name="注释 2 4 8 2" xfId="6400"/>
    <cellStyle name="60% - 强调文字颜色 2 2 2 2 2 4 3" xfId="6401"/>
    <cellStyle name="计算 2 3 2 2 3 2" xfId="6402"/>
    <cellStyle name="60% - 强调文字颜色 1 4 4 2 2" xfId="6403"/>
    <cellStyle name="注释 3 2 2 2 2" xfId="6404"/>
    <cellStyle name="汇总 2 2 4 6" xfId="6405"/>
    <cellStyle name="输入 2 4 2 5 3" xfId="6406"/>
    <cellStyle name="检查单元格 2 3 2 3 2 3" xfId="6407"/>
    <cellStyle name="20% - 强调文字颜色 4 2 3 2 2 3 2 2" xfId="6408"/>
    <cellStyle name="输入 2 2 6 2 3 2" xfId="6409"/>
    <cellStyle name="20% - 强调文字颜色 2 3 2 2" xfId="6410"/>
    <cellStyle name="汇总 2 5 9 2 2" xfId="6411"/>
    <cellStyle name="常规 11 2 2 2 2" xfId="6412"/>
    <cellStyle name="20% - 强调文字颜色 6 2 2 4 5 2 2" xfId="6413"/>
    <cellStyle name="20% - 强调文字颜色 2 5" xfId="6414"/>
    <cellStyle name="计算 2 4 2 2 9" xfId="6415"/>
    <cellStyle name="常规 5 3 3 2 3 2 2" xfId="6416"/>
    <cellStyle name="计算 4 4 2 2 2" xfId="6417"/>
    <cellStyle name="注释 2 4 2 5 3" xfId="6418"/>
    <cellStyle name="计算 2 5 3 5" xfId="6419"/>
    <cellStyle name="警告文本 2 4 4 3 2" xfId="6420"/>
    <cellStyle name="计算 2 2 4 2 6 3 2 2" xfId="6421"/>
    <cellStyle name="60% - 强调文字颜色 3 2 5 2 2" xfId="6422"/>
    <cellStyle name="60% - 强调文字颜色 2 2 3 3 2 2" xfId="6423"/>
    <cellStyle name="计算 2 2 4 4 3 2 3" xfId="6424"/>
    <cellStyle name="计算 2 5 2 3 8" xfId="6425"/>
    <cellStyle name="标题 3 2 2 11" xfId="6426"/>
    <cellStyle name="汇总 2 5 2 4 3" xfId="6427"/>
    <cellStyle name="常规 10 5 4 2 2" xfId="6428"/>
    <cellStyle name="40% - 强调文字颜色 1 3 10" xfId="6429"/>
    <cellStyle name="标题 3 2 3 5 2" xfId="6430"/>
    <cellStyle name="强调文字颜色 2 2 3 4" xfId="6431"/>
    <cellStyle name="汇总 5 5 3" xfId="6432"/>
    <cellStyle name="60% - 强调文字颜色 6 2 2 3 3 2 2 2" xfId="6433"/>
    <cellStyle name="常规 12 2 3 3" xfId="6434"/>
    <cellStyle name="输入 2 5 3 3 3 2" xfId="6435"/>
    <cellStyle name="40% - 强调文字颜色 1 2 2 3 2 2 2" xfId="6436"/>
    <cellStyle name="常规 5 4 2 3 2 2" xfId="6437"/>
    <cellStyle name="输入 2 4 3 2 2 3" xfId="6438"/>
    <cellStyle name="20% - 强调文字颜色 4 3 2 2 2 2 2 2" xfId="6439"/>
    <cellStyle name="汇总 2 2 2 5 3 2 2" xfId="6440"/>
    <cellStyle name="计算 2 2 2 4 6 2" xfId="6441"/>
    <cellStyle name="40% - 强调文字颜色 3 2 3 2 4 3 2" xfId="6442"/>
    <cellStyle name="计算 2 2 6 6 5" xfId="6443"/>
    <cellStyle name="60% - 强调文字颜色 4 6 2" xfId="6444"/>
    <cellStyle name="常规 5 2 6 3" xfId="6445"/>
    <cellStyle name="60% - 强调文字颜色 2 2 2 2 2 4 3 2" xfId="6446"/>
    <cellStyle name="标题 2 2 3 2 6" xfId="6447"/>
    <cellStyle name="汇总 2 2 5 3 2 2 2" xfId="6448"/>
    <cellStyle name="20% - 强调文字颜色 3 2 2 6 2" xfId="6449"/>
    <cellStyle name="标题 1 3 2 2 2 2" xfId="6450"/>
    <cellStyle name="20% - 强调文字颜色 5 2 4 3 2" xfId="6451"/>
    <cellStyle name="输出 2 2 7 2 3" xfId="6452"/>
    <cellStyle name="注释 2 6 2 3 2 2" xfId="6453"/>
    <cellStyle name="输出 2 4 3 3 4" xfId="6454"/>
    <cellStyle name="常规 2 2 2 2 3 3" xfId="6455"/>
    <cellStyle name="60% - 强调文字颜色 6 2 2 3 4 2 2" xfId="6456"/>
    <cellStyle name="常规 4 2 4 2 3" xfId="6457"/>
    <cellStyle name="输出 2 2 2 7 2" xfId="6458"/>
    <cellStyle name="20% - 强调文字颜色 5 5 2 2" xfId="6459"/>
    <cellStyle name="20% - 强调文字颜色 6 2 2 3 2 2" xfId="6460"/>
    <cellStyle name="40% - 强调文字颜色 2 2 2 2 2 2 3 3" xfId="6461"/>
    <cellStyle name="40% - 强调文字颜色 1 2 3 2 5" xfId="6462"/>
    <cellStyle name="汇总 2 2 5 5 2 2 2" xfId="6463"/>
    <cellStyle name="计算 2 2 8 3 5" xfId="6464"/>
    <cellStyle name="输入 2 2 2 4 6" xfId="6465"/>
    <cellStyle name="20% - 强调文字颜色 6 6 2" xfId="6466"/>
    <cellStyle name="20% - 强调文字颜色 6 2 3 4 2" xfId="6467"/>
    <cellStyle name="计算 2 4 3 4" xfId="6468"/>
    <cellStyle name="输出 2 2 7 5" xfId="6469"/>
    <cellStyle name="超链接 3 2 4 2 2 2" xfId="6470"/>
    <cellStyle name="注释 2 2 2 2 5 3" xfId="6471"/>
    <cellStyle name="60% - 强调文字颜色 5 2 2 2 3 2 2 2" xfId="6472"/>
    <cellStyle name="40% - 强调文字颜色 5 2 4" xfId="6473"/>
    <cellStyle name="注释 2 2 3 2 2 6 2" xfId="6474"/>
    <cellStyle name="适中 2 2 2 4 2 3" xfId="6475"/>
    <cellStyle name="强调文字颜色 3 2 2 5 3" xfId="6476"/>
    <cellStyle name="标题 2 4 2 4 2" xfId="6477"/>
    <cellStyle name="40% - 强调文字颜色 6 4 2 3 2 2" xfId="6478"/>
    <cellStyle name="60% - 强调文字颜色 5 2 4 6" xfId="6479"/>
    <cellStyle name="60% - 强调文字颜色 6 3 9" xfId="6480"/>
    <cellStyle name="60% - 强调文字颜色 5 2 4 3 2 2 2" xfId="6481"/>
    <cellStyle name="计算 2 2 4 5 6 2" xfId="6482"/>
    <cellStyle name="输入 2 2 2 3 8" xfId="6483"/>
    <cellStyle name="计算 2 2 8 2 7" xfId="6484"/>
    <cellStyle name="链接单元格 3 2 3" xfId="6485"/>
    <cellStyle name="计算 2 2 3 2 2 3 2 3" xfId="6486"/>
    <cellStyle name="检查单元格 6 2" xfId="6487"/>
    <cellStyle name="计算 2 7 5 2" xfId="6488"/>
    <cellStyle name="输出 2 2 3 4 2 2 2 2" xfId="6489"/>
    <cellStyle name="计算 2 2 3 3 2 3 3" xfId="6490"/>
    <cellStyle name="60% - 强调文字颜色 3 2 2 8" xfId="6491"/>
    <cellStyle name="计算 2 2 5 2 6" xfId="6492"/>
    <cellStyle name="计算 2 2 2 3 2 3" xfId="6493"/>
    <cellStyle name="输入 3 4 5" xfId="6494"/>
    <cellStyle name="超链接 3 3 2 4 2 2" xfId="6495"/>
    <cellStyle name="标题 3 2 3 3 2 2 2 2" xfId="6496"/>
    <cellStyle name="60% - 强调文字颜色 3 2 3" xfId="6497"/>
    <cellStyle name="汇总 2 5 2 4 5 2" xfId="6498"/>
    <cellStyle name="常规 3 8" xfId="6499"/>
    <cellStyle name="标题 2 2 2 5 2 3" xfId="6500"/>
    <cellStyle name="汇总 3 2 2 4 2" xfId="6501"/>
    <cellStyle name="输入 2 2 4 2 3 3 2 2" xfId="6502"/>
    <cellStyle name="标题 2 2 2 3 3 2" xfId="6503"/>
    <cellStyle name="汇总 2 4 2 4 3 2 2" xfId="6504"/>
    <cellStyle name="输出 2 2 4 2 2 5 3" xfId="6505"/>
    <cellStyle name="20% - 强调文字颜色 3 2 2 4 3" xfId="6506"/>
    <cellStyle name="汇总 2 10 3 3 2" xfId="6507"/>
    <cellStyle name="60% - 强调文字颜色 4 2 3 6 2" xfId="6508"/>
    <cellStyle name="常规 4 2 4 2 2" xfId="6509"/>
    <cellStyle name="60% - 强调文字颜色 1 2 2 3 4 3 2" xfId="6510"/>
    <cellStyle name="输入 2 8 2 4 2" xfId="6511"/>
    <cellStyle name="注释 4 2 6 2" xfId="6512"/>
    <cellStyle name="标题 5 3 2 5 2 2" xfId="6513"/>
    <cellStyle name="计算 2 2 9 4 2 2" xfId="6514"/>
    <cellStyle name="输出 2 4 2 2 2 3 2 2" xfId="6515"/>
    <cellStyle name="计算 2 6 2 4 4" xfId="6516"/>
    <cellStyle name="60% - 强调文字颜色 5 2 2 2 6" xfId="6517"/>
    <cellStyle name="20% - 强调文字颜色 3 2 3 4 2 2 2" xfId="6518"/>
    <cellStyle name="计算 3 3 2 4 3" xfId="6519"/>
    <cellStyle name="超链接 2 9" xfId="6520"/>
    <cellStyle name="计算 2 8 3 7" xfId="6521"/>
    <cellStyle name="40% - 强调文字颜色 4 2 2 2 2 2 2" xfId="6522"/>
    <cellStyle name="注释 2 2 4 2 2 2 4" xfId="6523"/>
    <cellStyle name="常规 11 4 2 3 2" xfId="6524"/>
    <cellStyle name="20% - 强调文字颜色 1 4 4 2 2 2" xfId="6525"/>
    <cellStyle name="60% - 强调文字颜色 5 2 2 2 6 2 2" xfId="6526"/>
    <cellStyle name="60% - 强调文字颜色 3 2 6 3" xfId="6527"/>
    <cellStyle name="60% - 强调文字颜色 1 2 3 3 2 2 2" xfId="6528"/>
    <cellStyle name="标题 4 2 6 3 2 2" xfId="6529"/>
    <cellStyle name="20% - 强调文字颜色 1 2 6 2 2" xfId="6530"/>
    <cellStyle name="计算 2 2 3 2 5 3" xfId="6531"/>
    <cellStyle name="60% - 强调文字颜色 1 2 2 3" xfId="6532"/>
    <cellStyle name="20% - 强调文字颜色 1 2 2 4 3 3 2" xfId="6533"/>
    <cellStyle name="解释性文本 2 2 3 3" xfId="6534"/>
    <cellStyle name="60% - 强调文字颜色 5 2 2 2 7 2" xfId="6535"/>
    <cellStyle name="计算 2 2 4 13" xfId="6536"/>
    <cellStyle name="汇总 2 4 2 2 2 3 2 2" xfId="6537"/>
    <cellStyle name="标题 4 2 2 4 2 2 2" xfId="6538"/>
    <cellStyle name="差 3 2 2 3 2 2 2" xfId="6539"/>
    <cellStyle name="40% - 强调文字颜色 1 2 2 3 2" xfId="6540"/>
    <cellStyle name="注释 2 7 2 2 4" xfId="6541"/>
    <cellStyle name="60% - 强调文字颜色 5 2 2 3 2 2" xfId="6542"/>
    <cellStyle name="40% - 强调文字颜色 4 2 2 4 5" xfId="6543"/>
    <cellStyle name="40% - 强调文字颜色 5 2 3 2" xfId="6544"/>
    <cellStyle name="40% - 强调文字颜色 4 3 2 2 2 2 2 2" xfId="6545"/>
    <cellStyle name="60% - 强调文字颜色 3 2 2 3 4 2 2" xfId="6546"/>
    <cellStyle name="计算 2 2 6 2 2 4 3" xfId="6547"/>
    <cellStyle name="20% - 强调文字颜色 6 2" xfId="6548"/>
    <cellStyle name="常规 2 3 2 2 4 3" xfId="6549"/>
    <cellStyle name="强调文字颜色 6 2 4 4 2 2" xfId="6550"/>
    <cellStyle name="Normal 2 5" xfId="6551"/>
    <cellStyle name="汇总 2 9 2 2 2" xfId="6552"/>
    <cellStyle name="常规 4 3 3 2 2" xfId="6553"/>
    <cellStyle name="计算 2 3 2 2 3 2 2" xfId="6554"/>
    <cellStyle name="60% - 强调文字颜色 1 2 2 4 3 3 2" xfId="6555"/>
    <cellStyle name="20% - 强调文字颜色 3 3 2 3 2" xfId="6556"/>
    <cellStyle name="差 2 2 3 3 3" xfId="6557"/>
    <cellStyle name="汇总 2 2 2 3 4" xfId="6558"/>
    <cellStyle name="输出 2 10 2" xfId="6559"/>
    <cellStyle name="警告文本 2 3 3 2 2" xfId="6560"/>
    <cellStyle name="汇总 2 2 4 2 10 3" xfId="6561"/>
    <cellStyle name="链接单元格 2 3 2 3" xfId="6562"/>
    <cellStyle name="输出 2 2 2 2 2 6 2" xfId="6563"/>
    <cellStyle name="40% - 强调文字颜色 3 2 5 4" xfId="6564"/>
    <cellStyle name="检查单元格 2 2 2 2 3 3 2" xfId="6565"/>
    <cellStyle name="输入 2 6 2 2 5 2 2" xfId="6566"/>
    <cellStyle name="注释 2 2 4 5 2 2" xfId="6567"/>
    <cellStyle name="40% - 强调文字颜色 1 2 2 5 2" xfId="6568"/>
    <cellStyle name="60% - 强调文字颜色 5 2 2 3 4 2" xfId="6569"/>
    <cellStyle name="计算 2 6 2 5 2 2" xfId="6570"/>
    <cellStyle name="60% - 强调文字颜色 6 2 4 3 3" xfId="6571"/>
    <cellStyle name="警告文本 2 2 2 3" xfId="6572"/>
    <cellStyle name="强调文字颜色 4 2 3 3 6" xfId="6573"/>
    <cellStyle name="常规 12 2 4 2 2" xfId="6574"/>
    <cellStyle name="注释 2 2 4 2 2 6" xfId="6575"/>
    <cellStyle name="计算 2 2 2 4 3 2" xfId="6576"/>
    <cellStyle name="计算 2 2 6 3 5" xfId="6577"/>
    <cellStyle name="20% - 强调文字颜色 4 6 2" xfId="6578"/>
    <cellStyle name="汇总 2 7 2 2 4 2 2" xfId="6579"/>
    <cellStyle name="好 3 3 3 2" xfId="6580"/>
    <cellStyle name="常规 10 2 4 4" xfId="6581"/>
    <cellStyle name="输入 2 2 2 2 2 5 2" xfId="6582"/>
    <cellStyle name="超链接 2 2 3 3 2" xfId="6583"/>
    <cellStyle name="标题 1 2 7 2" xfId="6584"/>
    <cellStyle name="输入 2 2 2 2 5 2" xfId="6585"/>
    <cellStyle name="汇总 2 7 4 2 3 2" xfId="6586"/>
    <cellStyle name="标题 4 2 2 2 3 3 3" xfId="6587"/>
    <cellStyle name="40% - 强调文字颜色 2 4 3 2" xfId="6588"/>
    <cellStyle name="40% - 强调文字颜色 1 2 2 5 3" xfId="6589"/>
    <cellStyle name="60% - 强调文字颜色 5 2 2 3 4 3" xfId="6590"/>
    <cellStyle name="计算 2 2 8 4 5" xfId="6591"/>
    <cellStyle name="60% - 强调文字颜色 6 4 2" xfId="6592"/>
    <cellStyle name="常规 5 4 4 3" xfId="6593"/>
    <cellStyle name="注释 2 2 3 2 4 2 5" xfId="6594"/>
    <cellStyle name="60% - 强调文字颜色 1 2 2 3 6" xfId="6595"/>
    <cellStyle name="输出 2 5 2 11" xfId="6596"/>
    <cellStyle name="60% - 强调文字颜色 5 2 2 5" xfId="6597"/>
    <cellStyle name="计算 2 4 2 2 2 4 2" xfId="6598"/>
    <cellStyle name="注释 2 2 2 2 11" xfId="6599"/>
    <cellStyle name="汇总 2 5 5 2 3 2" xfId="6600"/>
    <cellStyle name="40% - 强调文字颜色 6 2 2 2 4 3 2 2" xfId="6601"/>
    <cellStyle name="标题 1 3 2 4 2" xfId="6602"/>
    <cellStyle name="常规 9 4 3 2 2" xfId="6603"/>
    <cellStyle name="标题 3 2 2 4 3 3" xfId="6604"/>
    <cellStyle name="标题 3 2 9" xfId="6605"/>
    <cellStyle name="强调文字颜色 4 2 2 3 5 2" xfId="6606"/>
    <cellStyle name="链接单元格 2 7 2 2" xfId="6607"/>
    <cellStyle name="40% - 强调文字颜色 6 6 2 2" xfId="6608"/>
    <cellStyle name="20% - 强调文字颜色 4 4 2 3 2 2" xfId="6609"/>
    <cellStyle name="汇总 2 5 5 7" xfId="6610"/>
    <cellStyle name="20% - 强调文字颜色 3 2 2 2 2 2 2 3 2" xfId="6611"/>
    <cellStyle name="输入 2 2 11 2 2" xfId="6612"/>
    <cellStyle name="20% - 强调文字颜色 5 2 9 2" xfId="6613"/>
    <cellStyle name="检查单元格 3 3" xfId="6614"/>
    <cellStyle name="汇总 3 2 2 2 2 2 2" xfId="6615"/>
    <cellStyle name="计算 2 5 4 10" xfId="6616"/>
    <cellStyle name="计算 2 7 2 3" xfId="6617"/>
    <cellStyle name="常规 6 2 2 5 2" xfId="6618"/>
    <cellStyle name="计算 2 2 5 2 2 9" xfId="6619"/>
    <cellStyle name="60% - 强调文字颜色 4 2 3 4 2" xfId="6620"/>
    <cellStyle name="20% - 强调文字颜色 3 2 2 2 3" xfId="6621"/>
    <cellStyle name="常规 8 3 4" xfId="6622"/>
    <cellStyle name="60% - 强调文字颜色 4 2 2 5 3" xfId="6623"/>
    <cellStyle name="汇总 2 10 2 2 3" xfId="6624"/>
    <cellStyle name="计算 2 2 9 2 3 3" xfId="6625"/>
    <cellStyle name="输入 2 2 3 3 4 3" xfId="6626"/>
    <cellStyle name="常规 5 2 2 4 4 2" xfId="6627"/>
    <cellStyle name="40% - 强调文字颜色 2 2 3 6 2" xfId="6628"/>
    <cellStyle name="常规 7 2 2 2 4 2 2" xfId="6629"/>
    <cellStyle name="计算 2 2 2 2 3" xfId="6630"/>
    <cellStyle name="适中 2 2 3 2 2 2" xfId="6631"/>
    <cellStyle name="输出 4 2 2 2 2 2" xfId="6632"/>
    <cellStyle name="20% - 强调文字颜色 3 2 10 2" xfId="6633"/>
    <cellStyle name="标题 5 2 6 3" xfId="6634"/>
    <cellStyle name="常规 7 4 3 2 2 2" xfId="6635"/>
    <cellStyle name="20% - 强调文字颜色 2 2 2 2 2 3 3" xfId="6636"/>
    <cellStyle name="注释 2 2 2 3 4" xfId="6637"/>
    <cellStyle name="常规 5 5 2 5 2" xfId="6638"/>
    <cellStyle name="汇总 2 3 4 2 4 2 2" xfId="6639"/>
    <cellStyle name="40% - 强调文字颜色 1 2 2 7" xfId="6640"/>
    <cellStyle name="60% - 强调文字颜色 5 2 2 3 6" xfId="6641"/>
    <cellStyle name="常规 7 2 2 2 2 2 2" xfId="6642"/>
    <cellStyle name="20% - 强调文字颜色 4 2 2 2 5 2 2" xfId="6643"/>
    <cellStyle name="常规 11 4 3" xfId="6644"/>
    <cellStyle name="标题 5 3 2 4 4" xfId="6645"/>
    <cellStyle name="40% - 强调文字颜色 4 2 3 2 2 2 2" xfId="6646"/>
    <cellStyle name="输出 2 2 4 7 3" xfId="6647"/>
    <cellStyle name="汇总 2 2 4 2 2 2 2 3 3" xfId="6648"/>
    <cellStyle name="40% - 强调文字颜色 2 2 2 2 5 2 2" xfId="6649"/>
    <cellStyle name="汇总 2 6 2 2 3 2 2" xfId="6650"/>
    <cellStyle name="60% - 强调文字颜色 6 2 2 2 4 3 3" xfId="6651"/>
    <cellStyle name="常规 5 4 4 2" xfId="6652"/>
    <cellStyle name="20% - 强调文字颜色 1 2 2 9" xfId="6653"/>
    <cellStyle name="汇总 2 10 4" xfId="6654"/>
    <cellStyle name="20% - 强调文字颜色 3 2 4" xfId="6655"/>
    <cellStyle name="60% - 强调文字颜色 5 2 2 4" xfId="6656"/>
    <cellStyle name="输出 2 5 2 10" xfId="6657"/>
    <cellStyle name="汇总 2 5 2 5 3 2 2" xfId="6658"/>
    <cellStyle name="60% - 强调文字颜色 2 6 2" xfId="6659"/>
    <cellStyle name="40% - 强调文字颜色 4 2 2 4 5 2 2" xfId="6660"/>
    <cellStyle name="常规 10 2 2 2 5 3" xfId="6661"/>
    <cellStyle name="强调文字颜色 5 2 2 7 2" xfId="6662"/>
    <cellStyle name="40% - 强调文字颜色 6 3 6 2" xfId="6663"/>
    <cellStyle name="60% - 强调文字颜色 5 2 2 4 2 2 2" xfId="6664"/>
    <cellStyle name="计算 2 2 4 2 14" xfId="6665"/>
    <cellStyle name="计算 4 2 5 3" xfId="6666"/>
    <cellStyle name="输入 2 4 4 8" xfId="6667"/>
    <cellStyle name="40% - 强调文字颜色 2 2 3 2 2 3 2 2 2" xfId="6668"/>
    <cellStyle name="60% - 强调文字颜色 5 3 2 3 2" xfId="6669"/>
    <cellStyle name="计算 2 6 9 2" xfId="6670"/>
    <cellStyle name="40% - 强调文字颜色 2 2 2 3" xfId="6671"/>
    <cellStyle name="60% - 强调文字颜色 6 2 4 3 3 3" xfId="6672"/>
    <cellStyle name="输出 2 2 4 4 2 3 2" xfId="6673"/>
    <cellStyle name="计算 2 6 4 8" xfId="6674"/>
    <cellStyle name="强调文字颜色 6 2 4 2 2 2 2" xfId="6675"/>
    <cellStyle name="60% - 强调文字颜色 5 2 2 4 3 2 2" xfId="6676"/>
    <cellStyle name="汇总 2 9 2 3 2" xfId="6677"/>
    <cellStyle name="强调文字颜色 6 2 4 4 3 2" xfId="6678"/>
    <cellStyle name="标题 2 2 2 3 5 2" xfId="6679"/>
    <cellStyle name="标题 4 4 2 2 3" xfId="6680"/>
    <cellStyle name="强调文字颜色 5 2 2 3 4" xfId="6681"/>
    <cellStyle name="输出 2 3 2 2 2 2 3" xfId="6682"/>
    <cellStyle name="输出 2 4 2 2 2" xfId="6683"/>
    <cellStyle name="汇总 2 5 2 11 2 2" xfId="6684"/>
    <cellStyle name="链接单元格 2 2 2 3" xfId="6685"/>
    <cellStyle name="强调文字颜色 5 2 2 2 2 3 2 2 2" xfId="6686"/>
    <cellStyle name="常规 9 2 3 3" xfId="6687"/>
    <cellStyle name="40% - 强调文字颜色 6 2 2 2 3 2 2" xfId="6688"/>
    <cellStyle name="注释 2 2 3 3 3 2 3" xfId="6689"/>
    <cellStyle name="常规 14 2" xfId="6690"/>
    <cellStyle name="40% - 强调文字颜色 4 2 9 2" xfId="6691"/>
    <cellStyle name="20% - 强调文字颜色 4 2 2 2 2 5" xfId="6692"/>
    <cellStyle name="汇总 2 2 4 4 9" xfId="6693"/>
    <cellStyle name="汇总 2 2 4 3 3 5 2" xfId="6694"/>
    <cellStyle name="注释 2 4" xfId="6695"/>
    <cellStyle name="差 2 3 7 2" xfId="6696"/>
    <cellStyle name="常规 2 2 3 4 2 2" xfId="6697"/>
    <cellStyle name="计算 2 2 2 3 2 2 2" xfId="6698"/>
    <cellStyle name="计算 2 2 5 2 5 2" xfId="6699"/>
    <cellStyle name="40% - 强调文字颜色 3 2 3 5 2 2 2" xfId="6700"/>
    <cellStyle name="常规 9 10" xfId="6701"/>
    <cellStyle name="60% - 强调文字颜色 3 2 2 2" xfId="6702"/>
    <cellStyle name="20% - 强调文字颜色 5 2 3 3 3 2" xfId="6703"/>
    <cellStyle name="输出 2 2 6 2 4 2" xfId="6704"/>
    <cellStyle name="60% - 强调文字颜色 3 2 2 7 2" xfId="6705"/>
    <cellStyle name="计算 2 2 3 3 2 3 2 2" xfId="6706"/>
    <cellStyle name="60% - 强调文字颜色 1 2 2 4 5 2 2" xfId="6707"/>
    <cellStyle name="常规 7 2 3 2 3 2" xfId="6708"/>
    <cellStyle name="计算 2 2 2 2 5 3" xfId="6709"/>
    <cellStyle name="计算 2 2 4 5 6" xfId="6710"/>
    <cellStyle name="40% - 强调文字颜色 3 2 3 2 2 2 3" xfId="6711"/>
    <cellStyle name="计算 2 5 4 4 2 2" xfId="6712"/>
    <cellStyle name="标题 2 5 3" xfId="6713"/>
    <cellStyle name="60% - 强调文字颜色 6 2 2 2 2 3 3 2 2" xfId="6714"/>
    <cellStyle name="输入 2 7 5" xfId="6715"/>
    <cellStyle name="强调文字颜色 1 2 2 2 3" xfId="6716"/>
    <cellStyle name="计算 2 7 4 2 2" xfId="6717"/>
    <cellStyle name="检查单元格 5 2 2" xfId="6718"/>
    <cellStyle name="标题 1 2 2 2 5 3" xfId="6719"/>
    <cellStyle name="标题 3 2 7 2" xfId="6720"/>
    <cellStyle name="计算 4 9" xfId="6721"/>
    <cellStyle name="60% - 强调文字颜色 5 2 2 2 2 4 3" xfId="6722"/>
    <cellStyle name="计算 2 2 7 3 2 2 2" xfId="6723"/>
    <cellStyle name="60% - 强调文字颜色 4 2 3 4 3" xfId="6724"/>
    <cellStyle name="60% - 强调文字颜色 1 2 5 2" xfId="6725"/>
    <cellStyle name="标题 6 8" xfId="6726"/>
    <cellStyle name="链接单元格 2 3 2 3 3" xfId="6727"/>
    <cellStyle name="标题 5 2 3 7" xfId="6728"/>
    <cellStyle name="输入 2 2 7 2 7" xfId="6729"/>
    <cellStyle name="差 2 2 4 2 4" xfId="6730"/>
    <cellStyle name="汇总 2 2 3 2 5" xfId="6731"/>
    <cellStyle name="强调文字颜色 2 2 2 4 4 2" xfId="6732"/>
    <cellStyle name="输出 2 5 7 2" xfId="6733"/>
    <cellStyle name="好 2 2" xfId="6734"/>
    <cellStyle name="60% - 强调文字颜色 6 2 2 3 5 2" xfId="6735"/>
    <cellStyle name="标题 2 2 3 3 3 3" xfId="6736"/>
    <cellStyle name="常规 7 2 2 2 2 2 2 2 2" xfId="6737"/>
    <cellStyle name="解释性文本 2 3 2 3 2" xfId="6738"/>
    <cellStyle name="常规 5 3 2 2 2 5" xfId="6739"/>
    <cellStyle name="40% - 强调文字颜色 1 2 2 7 2 2" xfId="6740"/>
    <cellStyle name="解释性文本 2 3 5 2" xfId="6741"/>
    <cellStyle name="注释 4 5" xfId="6742"/>
    <cellStyle name="汇总 2 2 2 2 3" xfId="6743"/>
    <cellStyle name="差 2 2 3 2 2" xfId="6744"/>
    <cellStyle name="60% - 强调文字颜色 2 3 2 2 3" xfId="6745"/>
    <cellStyle name="计算 2 2 5 3 2 2 2 2" xfId="6746"/>
    <cellStyle name="输入 2 5 5 3 2" xfId="6747"/>
    <cellStyle name="60% - 强调文字颜色 6 2 3 5 3" xfId="6748"/>
    <cellStyle name="注释 2 2 3 5 2 2 3" xfId="6749"/>
    <cellStyle name="输出 2 2 5 2 5" xfId="6750"/>
    <cellStyle name="20% - 强调文字颜色 5 2 2 3 4" xfId="6751"/>
    <cellStyle name="链接单元格 3" xfId="6752"/>
    <cellStyle name="适中 4 2" xfId="6753"/>
    <cellStyle name="超链接 3 2 2 2 3 2 3" xfId="6754"/>
    <cellStyle name="强调文字颜色 6 2 4 4 2 2 2" xfId="6755"/>
    <cellStyle name="汇总 2 9 2 2 2 2" xfId="6756"/>
    <cellStyle name="Normal 2 5 2" xfId="6757"/>
    <cellStyle name="常规 2 3 2 2 4 3 2" xfId="6758"/>
    <cellStyle name="标题 1 5" xfId="6759"/>
    <cellStyle name="60% - 强调文字颜色 5 2 2 6 3 2 2" xfId="6760"/>
    <cellStyle name="汇总 2 2 8 2 2 2" xfId="6761"/>
    <cellStyle name="常规 12 2 2 3 3 2" xfId="6762"/>
    <cellStyle name="注释 2 2 3 3 7" xfId="6763"/>
    <cellStyle name="输入 2 7 4 4" xfId="6764"/>
    <cellStyle name="强调文字颜色 1 2 2 2 2 4" xfId="6765"/>
    <cellStyle name="计算 2 2 16 3" xfId="6766"/>
    <cellStyle name="汇总 2 2 4 2 9 3" xfId="6767"/>
    <cellStyle name="汇总 2 5 6 3 2 2" xfId="6768"/>
    <cellStyle name="汇总 3 3 3 2 2 2" xfId="6769"/>
    <cellStyle name="汇总 2 2 6 2 3 2 3" xfId="6770"/>
    <cellStyle name="输入 2 2 2 4 2 3" xfId="6771"/>
    <cellStyle name="40% - 强调文字颜色 5 2 3 2 2 4 3 2" xfId="6772"/>
    <cellStyle name="40% - 强调文字颜色 5 3 3 2" xfId="6773"/>
    <cellStyle name="注释 2 2 3 3 6 2" xfId="6774"/>
    <cellStyle name="常规 5 3 2 4" xfId="6775"/>
    <cellStyle name="适中 2 2 2 4 3 2 2" xfId="6776"/>
    <cellStyle name="60% - 强调文字颜色 5 2 3" xfId="6777"/>
    <cellStyle name="计算 2 2 10 4 2" xfId="6778"/>
    <cellStyle name="计算 2 2 7 2 6" xfId="6779"/>
    <cellStyle name="计算 2 2 2 5 2 3" xfId="6780"/>
    <cellStyle name="汇总 2 2 4 2 3 4 2" xfId="6781"/>
    <cellStyle name="60% - 强调文字颜色 6 2 2 2 6 2" xfId="6782"/>
    <cellStyle name="差 2 4 2 2" xfId="6783"/>
    <cellStyle name="输出 5 2" xfId="6784"/>
    <cellStyle name="常规 4 4 2 2 3 2" xfId="6785"/>
    <cellStyle name="适中 2 2 8" xfId="6786"/>
    <cellStyle name="输出 4 2 7" xfId="6787"/>
    <cellStyle name="计算 2 8 6" xfId="6788"/>
    <cellStyle name="标题 1 3 2 2 3 2 3" xfId="6789"/>
    <cellStyle name="输出 2 4 3 2 5 2" xfId="6790"/>
    <cellStyle name="60% - 强调文字颜色 5 2 2 4 5 2" xfId="6791"/>
    <cellStyle name="40% - 强调文字颜色 1 2 3 6 2" xfId="6792"/>
    <cellStyle name="计算 2 6 3 3 2" xfId="6793"/>
    <cellStyle name="计算 2 2 3 2 2 2 8" xfId="6794"/>
    <cellStyle name="汇总 2 6 4 2 3 2" xfId="6795"/>
    <cellStyle name="标题 6 2 2 4" xfId="6796"/>
    <cellStyle name="链接单元格 2 2 4 2 2 2" xfId="6797"/>
    <cellStyle name="强调文字颜色 5 2 2 7 3" xfId="6798"/>
    <cellStyle name="40% - 强调文字颜色 2 3 4 2 2 2" xfId="6799"/>
    <cellStyle name="输入 2 4 2 3" xfId="6800"/>
    <cellStyle name="常规 8 2 2 3 2 2" xfId="6801"/>
    <cellStyle name="60% - 强调文字颜色 2 3 3 2 2" xfId="6802"/>
    <cellStyle name="20% - 强调文字颜色 2 2 4 2 2 2 2 2" xfId="6803"/>
    <cellStyle name="20% - 强调文字颜色 1 3 4" xfId="6804"/>
    <cellStyle name="计算 2 6 2 3 5 2" xfId="6805"/>
    <cellStyle name="20% - 强调文字颜色 1 2 2 4 2 3 2" xfId="6806"/>
    <cellStyle name="常规 5 2 2 5 2" xfId="6807"/>
    <cellStyle name="60% - 强调文字颜色 4 2 4 2" xfId="6808"/>
    <cellStyle name="输出 2 2 2 2 11" xfId="6809"/>
    <cellStyle name="输入 2 6 6 2" xfId="6810"/>
    <cellStyle name="注释 2 6 4" xfId="6811"/>
    <cellStyle name="20% - 强调文字颜色 5 2 2 3 2 2 2 2 2" xfId="6812"/>
    <cellStyle name="常规 7 4 2 2 2" xfId="6813"/>
    <cellStyle name="常规 7 2 4 3" xfId="6814"/>
    <cellStyle name="强调文字颜色 4 2 2 4 4 3" xfId="6815"/>
    <cellStyle name="注释 2 6 6 2" xfId="6816"/>
    <cellStyle name="计算 2 2 8 11" xfId="6817"/>
    <cellStyle name="输出 2 2 4 4 3" xfId="6818"/>
    <cellStyle name="40% - 强调文字颜色 3 2 2 3 7" xfId="6819"/>
    <cellStyle name="汇总 5 4 2" xfId="6820"/>
    <cellStyle name="60% - 强调文字颜色 5 2 2 5 2 2" xfId="6821"/>
    <cellStyle name="40% - 强调文字颜色 1 2 4 3 2" xfId="6822"/>
    <cellStyle name="超链接 3 2 5 2" xfId="6823"/>
    <cellStyle name="标题 3 2 3 4 4" xfId="6824"/>
    <cellStyle name="强调文字颜色 2 2 2 6" xfId="6825"/>
    <cellStyle name="常规 3 2 2 2 2 4 2" xfId="6826"/>
    <cellStyle name="输出 2 2 2 3 2" xfId="6827"/>
    <cellStyle name="强调文字颜色 4 3" xfId="6828"/>
    <cellStyle name="计算 2 2 4 4 7 2" xfId="6829"/>
    <cellStyle name="计算 2 2 2 2 4 4 2" xfId="6830"/>
    <cellStyle name="链接单元格 3 2 2 4" xfId="6831"/>
    <cellStyle name="60% - 强调文字颜色 4 2 2 2 2 2 2 2 2 2" xfId="6832"/>
    <cellStyle name="40% - 强调文字颜色 1 2 2 2 4 3 2 2" xfId="6833"/>
    <cellStyle name="60% - 强调文字颜色 1 2 4 3 2 2 2" xfId="6834"/>
    <cellStyle name="常规 9 6 2" xfId="6835"/>
    <cellStyle name="汇总 2 6 3 8" xfId="6836"/>
    <cellStyle name="计算 2 4 4 2" xfId="6837"/>
    <cellStyle name="强调文字颜色 3 2 3 4 3 3" xfId="6838"/>
    <cellStyle name="计算 3 3 4 3" xfId="6839"/>
    <cellStyle name="20% - 强调文字颜色 4 2 3 2 5" xfId="6840"/>
    <cellStyle name="计算 2 6 4 6 2" xfId="6841"/>
    <cellStyle name="常规 5 2 3 4 4 2 2" xfId="6842"/>
    <cellStyle name="20% - 强调文字颜色 3 3 2 2 3 2" xfId="6843"/>
    <cellStyle name="输入 2 2 7 5 2 2" xfId="6844"/>
    <cellStyle name="20% - 强调文字颜色 3 3 2 5" xfId="6845"/>
    <cellStyle name="输入 2 2 2 4 2 2 2 2" xfId="6846"/>
    <cellStyle name="标题 4 2 2 2 2 2 2 3" xfId="6847"/>
    <cellStyle name="输入 2 5 9 2 2" xfId="6848"/>
    <cellStyle name="标题 3 2 4 2 2" xfId="6849"/>
    <cellStyle name="百分比 2 2 5 2 2 3" xfId="6850"/>
    <cellStyle name="输入 2 6 2 3 6" xfId="6851"/>
    <cellStyle name="注释 2 2 5 6" xfId="6852"/>
    <cellStyle name="计算 2 2 6 6 2 2" xfId="6853"/>
    <cellStyle name="40% - 强调文字颜色 3 2 2 4 2" xfId="6854"/>
    <cellStyle name="计算 4 2 2 2 2" xfId="6855"/>
    <cellStyle name="注释 2 2 2 5 3" xfId="6856"/>
    <cellStyle name="注释 2 2 3 2 2 6" xfId="6857"/>
    <cellStyle name="标题 2 4 2 4" xfId="6858"/>
    <cellStyle name="注释 2 5 2 6 2" xfId="6859"/>
    <cellStyle name="汇总 2 5 2 3 3 3 2 2" xfId="6860"/>
    <cellStyle name="强调文字颜色 3 2 2 3 3 2 2 2" xfId="6861"/>
    <cellStyle name="差 2 2 6 2 2" xfId="6862"/>
    <cellStyle name="计算 2 7 10" xfId="6863"/>
    <cellStyle name="汇总 2 2 5 2 3" xfId="6864"/>
    <cellStyle name="标题 3 2 2 7 3" xfId="6865"/>
    <cellStyle name="输入 2 5 2 2 3 3 2" xfId="6866"/>
    <cellStyle name="强调文字颜色 2 2 2 3 9" xfId="6867"/>
    <cellStyle name="超链接 3 3 5" xfId="6868"/>
    <cellStyle name="60% - 强调文字颜色 5 2 2 6 2" xfId="6869"/>
    <cellStyle name="40% - 强调文字颜色 1 2 5 3" xfId="6870"/>
    <cellStyle name="解释性文本 2 3 2 2 2" xfId="6871"/>
    <cellStyle name="强调文字颜色 4 2 3 3" xfId="6872"/>
    <cellStyle name="强调文字颜色 4 2 3 6 2" xfId="6873"/>
    <cellStyle name="标题 1 2 2 2 2 2 2 2 2" xfId="6874"/>
    <cellStyle name="计算 2 7 4 2 3" xfId="6875"/>
    <cellStyle name="输入 2 7 6" xfId="6876"/>
    <cellStyle name="强调文字颜色 1 2 2 2 4" xfId="6877"/>
    <cellStyle name="20% - 强调文字颜色 2 3 5 2 2 2" xfId="6878"/>
    <cellStyle name="汇总 6 4" xfId="6879"/>
    <cellStyle name="60% - 强调文字颜色 6 2 3 3 2 2 2 3" xfId="6880"/>
    <cellStyle name="20% - 强调文字颜色 2 2 5 2 3" xfId="6881"/>
    <cellStyle name="标题 2 2 4 4 2 2" xfId="6882"/>
    <cellStyle name="标题 8 2 2" xfId="6883"/>
    <cellStyle name="40% - 强调文字颜色 5 2 3 4 2 2 2" xfId="6884"/>
    <cellStyle name="20% - 强调文字颜色 4 5 2 2 2 2" xfId="6885"/>
    <cellStyle name="好 2 3 4 2 3" xfId="6886"/>
    <cellStyle name="计算 2 7 6 4" xfId="6887"/>
    <cellStyle name="计算 2 2 6 2 2 5 3" xfId="6888"/>
    <cellStyle name="60% - 强调文字颜色 3 2 2 3 4 3 2" xfId="6889"/>
    <cellStyle name="计算 2 5 4 3 2" xfId="6890"/>
    <cellStyle name="强调文字颜色 5 2 2 3 4 3" xfId="6891"/>
    <cellStyle name="注释 2 2 2 2 6 2" xfId="6892"/>
    <cellStyle name="20% - 强调文字颜色 1 2 3 7 2" xfId="6893"/>
    <cellStyle name="适中 2 2 3 9" xfId="6894"/>
    <cellStyle name="标题 4 2 3 4 2 3" xfId="6895"/>
    <cellStyle name="警告文本 2 3 2 2 2 2 2" xfId="6896"/>
    <cellStyle name="汇总 2 2 8 8" xfId="6897"/>
    <cellStyle name="计算 2 5 2 6 4 2" xfId="6898"/>
    <cellStyle name="60% - 强调文字颜色 4 2 3 2 5 2" xfId="6899"/>
    <cellStyle name="差 2 2 5 2 2 3" xfId="6900"/>
    <cellStyle name="60% - 强调文字颜色 1 2 3 4 2" xfId="6901"/>
    <cellStyle name="60% - 强调文字颜色 4 2 2 2 2 4 3" xfId="6902"/>
    <cellStyle name="输入 2 2 3 3 9" xfId="6903"/>
    <cellStyle name="常规 5 3 2 3" xfId="6904"/>
    <cellStyle name="60% - 强调文字颜色 5 2 2" xfId="6905"/>
    <cellStyle name="好 4 2 2 3" xfId="6906"/>
    <cellStyle name="差 2 3 2 2 3 2" xfId="6907"/>
    <cellStyle name="40% - 强调文字颜色 5 2 2" xfId="6908"/>
    <cellStyle name="汇总 2 8 5 2 2" xfId="6909"/>
    <cellStyle name="输入 2 3 3 2 4" xfId="6910"/>
    <cellStyle name="解释性文本 2 2 6 2 3" xfId="6911"/>
    <cellStyle name="强调文字颜色 6 3 3 2" xfId="6912"/>
    <cellStyle name="20% - 强调文字颜色 5 2 4 2 2 2" xfId="6913"/>
    <cellStyle name="汇总 2 2 2 2 4" xfId="6914"/>
    <cellStyle name="差 2 2 3 2 3" xfId="6915"/>
    <cellStyle name="20% - 强调文字颜色 1 2 3 3" xfId="6916"/>
    <cellStyle name="注释 2 2 2 2 2" xfId="6917"/>
    <cellStyle name="60% - 强调文字颜色 2 3 2 2 4" xfId="6918"/>
    <cellStyle name="20% - 强调文字颜色 3 2 5 5 2 2" xfId="6919"/>
    <cellStyle name="注释 4 6" xfId="6920"/>
    <cellStyle name="解释性文本 2 3 5 3" xfId="6921"/>
    <cellStyle name="警告文本 2 2 3 2 2 2" xfId="6922"/>
    <cellStyle name="60% - 强调文字颜色 6 2 2 2 5 2 2" xfId="6923"/>
    <cellStyle name="40% - 强调文字颜色 5 2 2 2 3 2" xfId="6924"/>
    <cellStyle name="40% - 强调文字颜色 3 3 5" xfId="6925"/>
    <cellStyle name="汇总 2 2 3 2 2 3 2" xfId="6926"/>
    <cellStyle name="20% - 强调文字颜色 4 2 2 2 3 2 2 2 2" xfId="6927"/>
    <cellStyle name="适中 2 2 2 2 3 4" xfId="6928"/>
    <cellStyle name="输入 4 2 2 4" xfId="6929"/>
    <cellStyle name="注释 2 2 8 6" xfId="6930"/>
    <cellStyle name="常规 9 3 2 2 3 2" xfId="6931"/>
    <cellStyle name="60% - 强调文字颜色 1 2 2 2 2 3" xfId="6932"/>
    <cellStyle name="40% - 强调文字颜色 3 3 3 2 2 2" xfId="6933"/>
    <cellStyle name="60% - 强调文字颜色 6 2 2 6 3" xfId="6934"/>
    <cellStyle name="常规 5 2 2 8" xfId="6935"/>
    <cellStyle name="输入 2 5 4 4 2" xfId="6936"/>
    <cellStyle name="汇总 2 2 4 2 2 6 2" xfId="6937"/>
    <cellStyle name="计算 2 5 4 7 2" xfId="6938"/>
    <cellStyle name="标题 2 3 5" xfId="6939"/>
    <cellStyle name="适中 2 4 4 3" xfId="6940"/>
    <cellStyle name="40% - 强调文字颜色 3 3 2 2" xfId="6941"/>
    <cellStyle name="标题 4 2 2 3 2 2 3" xfId="6942"/>
    <cellStyle name="40% - 强调文字颜色 4 2 3 3 3 2 2" xfId="6943"/>
    <cellStyle name="输入 2 7 2 2" xfId="6944"/>
    <cellStyle name="注释 3 2 4" xfId="6945"/>
    <cellStyle name="20% - 强调文字颜色 4 2 3 6" xfId="6946"/>
    <cellStyle name="40% - 强调文字颜色 5 2 2 2 2 4 2 2" xfId="6947"/>
    <cellStyle name="强调文字颜色 5 2 2 3 4 2 2 2" xfId="6948"/>
    <cellStyle name="60% - 强调文字颜色 6 4 2 2 3" xfId="6949"/>
    <cellStyle name="强调文字颜色 1 3 2 4" xfId="6950"/>
    <cellStyle name="输出 2 4 2 2 6" xfId="6951"/>
    <cellStyle name="60% - 强调文字颜色 3 5 2 2 2" xfId="6952"/>
    <cellStyle name="40% - 强调文字颜色 6 2 3 2 2 4 2" xfId="6953"/>
    <cellStyle name="标题 1 2 3 2 7" xfId="6954"/>
    <cellStyle name="百分比 2 3 4 4" xfId="6955"/>
    <cellStyle name="汇总 2 2 4 2 4 3 2" xfId="6956"/>
    <cellStyle name="计算 2 2 11 3 2" xfId="6957"/>
    <cellStyle name="60% - 强调文字颜色 3 2 4 5 2" xfId="6958"/>
    <cellStyle name="汇总 2 5 3 2 4 3" xfId="6959"/>
    <cellStyle name="强调文字颜色 4 2 2 7 2 2" xfId="6960"/>
    <cellStyle name="输入 2 5 4 3 3" xfId="6961"/>
    <cellStyle name="60% - 强调文字颜色 6 2 2 5 4" xfId="6962"/>
    <cellStyle name="计算 2 2 13 2" xfId="6963"/>
    <cellStyle name="常规 9 2 3 3 2 2" xfId="6964"/>
    <cellStyle name="汇总 2 2 4 2 6 2" xfId="6965"/>
    <cellStyle name="标题 2 3 2 2" xfId="6966"/>
    <cellStyle name="解释性文本 2 2 3 4 4" xfId="6967"/>
    <cellStyle name="标题 1 2 2 2 2 6 2 2" xfId="6968"/>
    <cellStyle name="60% - 强调文字颜色 3 2 3 3 2 2 2" xfId="6969"/>
    <cellStyle name="标题 1 2 2 3 4" xfId="6970"/>
    <cellStyle name="汇总 2 8 9 2" xfId="6971"/>
    <cellStyle name="汇总 5 2 4 2" xfId="6972"/>
    <cellStyle name="标题 1 2 3 2 3 2 2 3" xfId="6973"/>
    <cellStyle name="汇总 2 5 6 3" xfId="6974"/>
    <cellStyle name="输出 2 5 10" xfId="6975"/>
    <cellStyle name="20% - 强调文字颜色 3 2 3 2 2" xfId="6976"/>
    <cellStyle name="常规 4 5 2 3 3" xfId="6977"/>
    <cellStyle name="强调文字颜色 2 2 3 3 2 2 2" xfId="6978"/>
    <cellStyle name="汇总 2 10 2 3 3" xfId="6979"/>
    <cellStyle name="60% - 强调文字颜色 4 2 2 6 3" xfId="6980"/>
    <cellStyle name="汇总 2 10 3 2 2" xfId="6981"/>
    <cellStyle name="60% - 强调文字颜色 4 2 3 5 2" xfId="6982"/>
    <cellStyle name="20% - 强调文字颜色 3 2 2 3 3" xfId="6983"/>
    <cellStyle name="40% - 强调文字颜色 5 2 2 3 3 2 2 2" xfId="6984"/>
    <cellStyle name="注释 2 2 4 3 2 2 2" xfId="6985"/>
    <cellStyle name="20% - 强调文字颜色 4 2 7 3" xfId="6986"/>
    <cellStyle name="常规 9 4 2" xfId="6987"/>
    <cellStyle name="计算 2 2 3 9 3" xfId="6988"/>
    <cellStyle name="计算 2 2 5 2 3 8" xfId="6989"/>
    <cellStyle name="标题 1 2 2 3 3 2 3" xfId="6990"/>
    <cellStyle name="输入 2 2 7 2 3" xfId="6991"/>
    <cellStyle name="常规 10 3 2 3 3" xfId="6992"/>
    <cellStyle name="检查单元格 2 2 2 2 4 2 2 2" xfId="6993"/>
    <cellStyle name="输出 2 2 9 3" xfId="6994"/>
    <cellStyle name="计算 2 6 3 2 7" xfId="6995"/>
    <cellStyle name="60% - 强调文字颜色 6 3 8" xfId="6996"/>
    <cellStyle name="警告文本 2 2 6 4" xfId="6997"/>
    <cellStyle name="链接单元格 3 2 2" xfId="6998"/>
    <cellStyle name="适中 4 2 2 2" xfId="6999"/>
    <cellStyle name="计算 2 4 5 2" xfId="7000"/>
    <cellStyle name="40% - 强调文字颜色 1 3 2 3 2" xfId="7001"/>
    <cellStyle name="60% - 强调文字颜色 5 2 3 3 2 2" xfId="7002"/>
    <cellStyle name="强调文字颜色 6 2 2 5 2 3" xfId="7003"/>
    <cellStyle name="汇总 2 7 3 2 3" xfId="7004"/>
    <cellStyle name="40% - 强调文字颜色 1 4 3" xfId="7005"/>
    <cellStyle name="Normal 2 3" xfId="7006"/>
    <cellStyle name="20% - 强调文字颜色 1 2 5 4 2" xfId="7007"/>
    <cellStyle name="40% - 强调文字颜色 5 2 6 3" xfId="7008"/>
    <cellStyle name="注释 2 2 2 4 3 2" xfId="7009"/>
    <cellStyle name="常规 13 10" xfId="7010"/>
    <cellStyle name="输入 2 2 15" xfId="7011"/>
    <cellStyle name="输入 2 2 20" xfId="7012"/>
    <cellStyle name="强调文字颜色 1 5" xfId="7013"/>
    <cellStyle name="注释 2 3 6" xfId="7014"/>
    <cellStyle name="输入 2 6 3 4" xfId="7015"/>
    <cellStyle name="40% - 强调文字颜色 3 2 2 3 2 2" xfId="7016"/>
    <cellStyle name="40% - 强调文字颜色 1 3 3 3 2 2 2" xfId="7017"/>
    <cellStyle name="标题 3 2 3 2 2 2" xfId="7018"/>
    <cellStyle name="超链接 3 2 2 4" xfId="7019"/>
    <cellStyle name="60% - 强调文字颜色 4 2 3 5" xfId="7020"/>
    <cellStyle name="汇总 2 10 3 2" xfId="7021"/>
    <cellStyle name="20% - 强调文字颜色 3 2 3 2" xfId="7022"/>
    <cellStyle name="好 2 2 3 3 4" xfId="7023"/>
    <cellStyle name="注释 2 2 6 2 3 3" xfId="7024"/>
    <cellStyle name="常规 5 4 2 5 3" xfId="7025"/>
    <cellStyle name="警告文本 2 2 2" xfId="7026"/>
    <cellStyle name="60% - 强调文字颜色 6 2 4 3" xfId="7027"/>
    <cellStyle name="汇总 2 4 2 2 6 2" xfId="7028"/>
    <cellStyle name="标题 3 2 2 2 4 3 2" xfId="7029"/>
    <cellStyle name="60% - 强调文字颜色 5 2 2 2 5 2 2" xfId="7030"/>
    <cellStyle name="强调文字颜色 4 2 2 3 2 2 2 2" xfId="7031"/>
    <cellStyle name="60% - 强调文字颜色 5 2" xfId="7032"/>
    <cellStyle name="适中 2 6 3 2" xfId="7033"/>
    <cellStyle name="标题 4 2 4" xfId="7034"/>
    <cellStyle name="输出 4 6 2 2" xfId="7035"/>
    <cellStyle name="40% - 强调文字颜色 5 4 2 2 2 2" xfId="7036"/>
    <cellStyle name="输入 2 2 2 5 2 2" xfId="7037"/>
    <cellStyle name="强调文字颜色 4 2 5 3 2" xfId="7038"/>
    <cellStyle name="输入 2 2 4 7 2" xfId="7039"/>
    <cellStyle name="解释性文本 3 2" xfId="7040"/>
    <cellStyle name="汇总 2 2 2 2 2 3" xfId="7041"/>
    <cellStyle name="40% - 强调文字颜色 6 2 2 2 2 5 2 2 2" xfId="7042"/>
    <cellStyle name="差 2 3 2 3 2 2" xfId="7043"/>
    <cellStyle name="20% - 强调文字颜色 2 2 5 2 2" xfId="7044"/>
    <cellStyle name="输出 2 2 2 3 8" xfId="7045"/>
    <cellStyle name="汇总 4 2 3 4" xfId="7046"/>
    <cellStyle name="40% - 强调文字颜色 1 2 2 3 4 2" xfId="7047"/>
    <cellStyle name="汇总 2 2 3 3 2 6" xfId="7048"/>
    <cellStyle name="标题 5 2 2 2 2 2 2 3" xfId="7049"/>
    <cellStyle name="40% - 强调文字颜色 3 2 4 2 2" xfId="7050"/>
    <cellStyle name="40% - 强调文字颜色 1 5 2 2 2 2" xfId="7051"/>
    <cellStyle name="标题 5 3 2 2 2 3" xfId="7052"/>
    <cellStyle name="注释 2 2 2 4 4 2" xfId="7053"/>
    <cellStyle name="40% - 强调文字颜色 5 2 7 3" xfId="7054"/>
    <cellStyle name="常规 3 2 2 4 2 2" xfId="7055"/>
    <cellStyle name="汇总 2 2 3 2 2 6 2" xfId="7056"/>
    <cellStyle name="汇总 2 2 8 5 3 3" xfId="7057"/>
    <cellStyle name="输入 2 2 5 2 4" xfId="7058"/>
    <cellStyle name="汇总 2 7 7 2 2" xfId="7059"/>
    <cellStyle name="40% - 强调文字颜色 5 4 2" xfId="7060"/>
    <cellStyle name="40% - 强调文字颜色 3 2 3 2 2 2" xfId="7061"/>
    <cellStyle name="输入 2 2 8 5 3" xfId="7062"/>
    <cellStyle name="计算 2 7 4 7" xfId="7063"/>
    <cellStyle name="百分比 2 2 2 2 2 2 2 2" xfId="7064"/>
    <cellStyle name="输入 3 7 3" xfId="7065"/>
    <cellStyle name="计算 3 2 2 2 3 3" xfId="7066"/>
    <cellStyle name="标题 3 3 2 2 2 2" xfId="7067"/>
    <cellStyle name="注释 2 7 4 2 2" xfId="7068"/>
    <cellStyle name="汇总 2 2 3 2 2 4 3" xfId="7069"/>
    <cellStyle name="汇总 2 2 6 2 4 2" xfId="7070"/>
    <cellStyle name="常规 13 4 5 2 2" xfId="7071"/>
    <cellStyle name="60% - 强调文字颜色 4 2 3 2 5" xfId="7072"/>
    <cellStyle name="60% - 强调文字颜色 1 2 3 4" xfId="7073"/>
    <cellStyle name="常规 5 2 2 4 2 5" xfId="7074"/>
    <cellStyle name="输入 2 2 3 3 2 6" xfId="7075"/>
    <cellStyle name="标题 2 2 2 3 2 2 2 3" xfId="7076"/>
    <cellStyle name="输出 2 2 9 4" xfId="7077"/>
    <cellStyle name="计算 2 6 3 2 8" xfId="7078"/>
    <cellStyle name="20% - 强调文字颜色 3 2 3 3 2" xfId="7079"/>
    <cellStyle name="注释 2 4 2 2 2 2" xfId="7080"/>
    <cellStyle name="注释 2 2 4 3 2 2 3" xfId="7081"/>
    <cellStyle name="常规 9 4 3" xfId="7082"/>
    <cellStyle name="输入 2 2 2 4 2 2 2" xfId="7083"/>
    <cellStyle name="40% - 强调文字颜色 6 3 2 2 2 2 2" xfId="7084"/>
    <cellStyle name="常规 5 3 4 2 2 2" xfId="7085"/>
    <cellStyle name="解释性文本 2 9 3" xfId="7086"/>
    <cellStyle name="常规 5 2 3 2 3 4" xfId="7087"/>
    <cellStyle name="40% - 强调文字颜色 3 2 2 4 2 2" xfId="7088"/>
    <cellStyle name="40% - 强调文字颜色 5 6 2" xfId="7089"/>
    <cellStyle name="输入 2 2 5 4 4" xfId="7090"/>
    <cellStyle name="输出 2 2 7 9" xfId="7091"/>
    <cellStyle name="60% - 强调文字颜色 1 2 2 2 2 4 3" xfId="7092"/>
    <cellStyle name="20% - 强调文字颜色 4 3 3 3 2" xfId="7093"/>
    <cellStyle name="注释 2 5 3 2 2 2" xfId="7094"/>
    <cellStyle name="常规 4 3 2 3 4 2" xfId="7095"/>
    <cellStyle name="标题 2 3 2 2 2 2 2" xfId="7096"/>
    <cellStyle name="注释 2 3 2 6" xfId="7097"/>
    <cellStyle name="汇总 2 5 2 2 2 2 4 2 2" xfId="7098"/>
    <cellStyle name="检查单元格 2 2 3 2 2 2 3" xfId="7099"/>
    <cellStyle name="20% - 强调文字颜色 4 2 2 2 3 4" xfId="7100"/>
    <cellStyle name="汇总 2 2 4 5 8" xfId="7101"/>
    <cellStyle name="强调文字颜色 5 2 4 3 3 2" xfId="7102"/>
    <cellStyle name="标题 4 4 4 2 2 2" xfId="7103"/>
    <cellStyle name="60% - 强调文字颜色 1 2 4 4 3 2" xfId="7104"/>
    <cellStyle name="20% - 强调文字颜色 5 3 2 2" xfId="7105"/>
    <cellStyle name="常规 13 7" xfId="7106"/>
    <cellStyle name="好 2 2 4 5 2 2" xfId="7107"/>
    <cellStyle name="60% - 强调文字颜色 5 2 3 3 3 2" xfId="7108"/>
    <cellStyle name="40% - 强调文字颜色 1 3 2 4 2" xfId="7109"/>
    <cellStyle name="计算 2 6 4 3 2" xfId="7110"/>
    <cellStyle name="适中 2 5 3 2 2" xfId="7111"/>
    <cellStyle name="标题 3 2 4 2" xfId="7112"/>
    <cellStyle name="输入 2 5 9 2" xfId="7113"/>
    <cellStyle name="强调文字颜色 2 2 6 2 2 2" xfId="7114"/>
    <cellStyle name="60% - 强调文字颜色 3 2 2 5 3 2" xfId="7115"/>
    <cellStyle name="输入 2 2 3 7 2 2" xfId="7116"/>
    <cellStyle name="标题 2 2 4 2 2 2 2 2" xfId="7117"/>
    <cellStyle name="标题 3 2 5 2 2 2" xfId="7118"/>
    <cellStyle name="标题 2 3 2 3 2 3" xfId="7119"/>
    <cellStyle name="计算 2 2 4 2 3 3 2 2" xfId="7120"/>
    <cellStyle name="汇总 3" xfId="7121"/>
    <cellStyle name="注释 2 5 4 2 3" xfId="7122"/>
    <cellStyle name="40% - 强调文字颜色 2 2 2 2 6 2 2 2" xfId="7123"/>
    <cellStyle name="40% - 强调文字颜色 1 3 2 5" xfId="7124"/>
    <cellStyle name="好 2 2 4 5 3" xfId="7125"/>
    <cellStyle name="60% - 强调文字颜色 5 2 3 3 4" xfId="7126"/>
    <cellStyle name="强调文字颜色 5 2 2 2 2 3 3 3" xfId="7127"/>
    <cellStyle name="强调文字颜色 3 2 2 7" xfId="7128"/>
    <cellStyle name="60% - 强调文字颜色 5 2 3 3 6" xfId="7129"/>
    <cellStyle name="60% - 强调文字颜色 5 2 3 4" xfId="7130"/>
    <cellStyle name="40% - 强调文字颜色 1 3 3 3" xfId="7131"/>
    <cellStyle name="60% - 强调文字颜色 5 2 3 4 2" xfId="7132"/>
    <cellStyle name="20% - 强调文字颜色 4 2 2 2 3" xfId="7133"/>
    <cellStyle name="60% - 强调文字颜色 5 2 3 4 2 2" xfId="7134"/>
    <cellStyle name="40% - 强调文字颜色 1 3 3 3 2" xfId="7135"/>
    <cellStyle name="60% - 强调文字颜色 4 2 2 2 8" xfId="7136"/>
    <cellStyle name="20% - 强调文字颜色 4 2 2 2 3 2" xfId="7137"/>
    <cellStyle name="输入 2 5 2 2 4 3" xfId="7138"/>
    <cellStyle name="计算 2 2 3 2 2 2 4 2" xfId="7139"/>
    <cellStyle name="强调文字颜色 1 2 2 3 5" xfId="7140"/>
    <cellStyle name="标题 3 5 2" xfId="7141"/>
    <cellStyle name="输入 2 8 7" xfId="7142"/>
    <cellStyle name="输出 2 4 2 2 2 3" xfId="7143"/>
    <cellStyle name="计算 2 2 9 4" xfId="7144"/>
    <cellStyle name="汇总 2 8 5 3 2 2" xfId="7145"/>
    <cellStyle name="常规 6 3 3 3 2 2" xfId="7146"/>
    <cellStyle name="标题 5 2 3" xfId="7147"/>
    <cellStyle name="60% - 强调文字颜色 2 2 3 2 5 2" xfId="7148"/>
    <cellStyle name="60% - 强调文字颜色 6 2 3 5 2 3" xfId="7149"/>
    <cellStyle name="输出 2 2 4 3 4 2 2" xfId="7150"/>
    <cellStyle name="计算 2 3 3 7" xfId="7151"/>
    <cellStyle name="常规 12 4 4 2" xfId="7152"/>
    <cellStyle name="40% - 强调文字颜色 5 2 2 2 2 2 3 2 2" xfId="7153"/>
    <cellStyle name="汇总 2 3 2 7 3" xfId="7154"/>
    <cellStyle name="输入 2 2 4 5 2 2 2" xfId="7155"/>
    <cellStyle name="标题 1 2 2 2 2 2" xfId="7156"/>
    <cellStyle name="20% - 强调文字颜色 2 2 2 6 2" xfId="7157"/>
    <cellStyle name="标题 3 2 2 2 2 3 2 2 2" xfId="7158"/>
    <cellStyle name="输入 2 5 2 3 4 3" xfId="7159"/>
    <cellStyle name="40% - 强调文字颜色 1 2 2 2 2 3 3" xfId="7160"/>
    <cellStyle name="20% - 强调文字颜色 4 2 2 3 3 2" xfId="7161"/>
    <cellStyle name="60% - 强调文字颜色 5 2 3 5 2 2" xfId="7162"/>
    <cellStyle name="20% - 强调文字颜色 4 2 2 3 3 2 2" xfId="7163"/>
    <cellStyle name="40% - 强调文字颜色 1 2 2 2 2 3 3 2" xfId="7164"/>
    <cellStyle name="强调文字颜色 5 2 6 3 2" xfId="7165"/>
    <cellStyle name="20% - 强调文字颜色 3 2 2 2 2 2 4 3 2" xfId="7166"/>
    <cellStyle name="差 2 3 2 7" xfId="7167"/>
    <cellStyle name="常规 10 3 2 5 2 2" xfId="7168"/>
    <cellStyle name="20% - 强调文字颜色 4 2 2 4 3" xfId="7169"/>
    <cellStyle name="60% - 强调文字颜色 5 2 3 6 2" xfId="7170"/>
    <cellStyle name="常规 5 4 8" xfId="7171"/>
    <cellStyle name="警告文本 2 2 2 2 4 2 2" xfId="7172"/>
    <cellStyle name="40% - 强调文字颜色 1 4 2 3 2" xfId="7173"/>
    <cellStyle name="60% - 强调文字颜色 5 2 4 3 2 2" xfId="7174"/>
    <cellStyle name="输出 2 2 10" xfId="7175"/>
    <cellStyle name="常规 16" xfId="7176"/>
    <cellStyle name="常规 21" xfId="7177"/>
    <cellStyle name="警告文本 2 2 2 2 4 3 2" xfId="7178"/>
    <cellStyle name="输入 2 2 8 2 2 2" xfId="7179"/>
    <cellStyle name="汇总 2 2 2 5 5" xfId="7180"/>
    <cellStyle name="解释性文本 2 2 2 4" xfId="7181"/>
    <cellStyle name="60% - 强调文字颜色 3 2 2 2 3 4" xfId="7182"/>
    <cellStyle name="60% - 强调文字颜色 4 2 3 3 2 2 2" xfId="7183"/>
    <cellStyle name="40% - 强调文字颜色 4 2 2 2 2 2 3 3 2" xfId="7184"/>
    <cellStyle name="汇总 2 2 5 2 2 5 2 2" xfId="7185"/>
    <cellStyle name="计算 2 5 14" xfId="7186"/>
    <cellStyle name="注释 2 4 3 3 2 2 2" xfId="7187"/>
    <cellStyle name="60% - 强调文字颜色 5 2 2 2 3 3" xfId="7188"/>
    <cellStyle name="好 2 2 3 4 2 3" xfId="7189"/>
    <cellStyle name="40% - 强调文字颜色 2 3 2 2" xfId="7190"/>
    <cellStyle name="标题 4 2 2 2 2 2 3" xfId="7191"/>
    <cellStyle name="输入 2 6 2 2 4 2 2" xfId="7192"/>
    <cellStyle name="注释 2 2 4 4 2 2" xfId="7193"/>
    <cellStyle name="计算 2 6 3 2 4 2 2" xfId="7194"/>
    <cellStyle name="汇总 2 8 2 3 2" xfId="7195"/>
    <cellStyle name="强调文字颜色 6 2 3 4 3 2" xfId="7196"/>
    <cellStyle name="检查单元格 2 2 2 2 2 3 2" xfId="7197"/>
    <cellStyle name="40% - 强调文字颜色 6 2 3 2 5 2" xfId="7198"/>
    <cellStyle name="输入 2 2 7 2 3 3" xfId="7199"/>
    <cellStyle name="超链接 2 7" xfId="7200"/>
    <cellStyle name="汇总 2 2 2 2 2 2 3 2" xfId="7201"/>
    <cellStyle name="常规 6 3 5 2 2" xfId="7202"/>
    <cellStyle name="20% - 强调文字颜色 5 2 3 3 4" xfId="7203"/>
    <cellStyle name="输出 2 2 6 2 5" xfId="7204"/>
    <cellStyle name="20% - 强调文字颜色 2 2 2 2 4 3 2" xfId="7205"/>
    <cellStyle name="20% - 强调文字颜色 5 2 8 2" xfId="7206"/>
    <cellStyle name="20% - 强调文字颜色 5 2 2 4 3" xfId="7207"/>
    <cellStyle name="输出 2 2 5 3 4" xfId="7208"/>
    <cellStyle name="超链接 3 2 2 2 3 3 2" xfId="7209"/>
    <cellStyle name="汇总 2 5 2 10 2 2" xfId="7210"/>
    <cellStyle name="标题 2 4" xfId="7211"/>
    <cellStyle name="计算 2 2 7 2 9" xfId="7212"/>
    <cellStyle name="60% - 强调文字颜色 6 2 3 6 2" xfId="7213"/>
    <cellStyle name="注释 2 2 3 5 2 3 2" xfId="7214"/>
    <cellStyle name="常规 5 3 2 7" xfId="7215"/>
    <cellStyle name="60% - 强调文字颜色 5 2 6" xfId="7216"/>
    <cellStyle name="强调文字颜色 6 2 4 2 2 2 2 2" xfId="7217"/>
    <cellStyle name="解释性文本 2 2 3 2 2 2 3" xfId="7218"/>
    <cellStyle name="60% - 强调文字颜色 5 2 2 4 3 2 2 2" xfId="7219"/>
    <cellStyle name="输入 3 3 4" xfId="7220"/>
    <cellStyle name="输入 2 5 2 2 2 3 3" xfId="7221"/>
    <cellStyle name="标题 4 4 2 4" xfId="7222"/>
    <cellStyle name="适中 2 3" xfId="7223"/>
    <cellStyle name="标题 5 2 4 5 3" xfId="7224"/>
    <cellStyle name="输入 2 2 11 4" xfId="7225"/>
    <cellStyle name="汇总 2 2 4 5 6" xfId="7226"/>
    <cellStyle name="汇总 2 2 2 2 3 4 2 2" xfId="7227"/>
    <cellStyle name="计算 2 2 4 2 3 3 4" xfId="7228"/>
    <cellStyle name="汇总 2 3 2 5 2" xfId="7229"/>
    <cellStyle name="汇总 2 7 4 2 6" xfId="7230"/>
    <cellStyle name="输入 2 2 2 2 8" xfId="7231"/>
    <cellStyle name="20% - 强调文字颜色 4 2 2 2 2 2 3 3 2 2" xfId="7232"/>
    <cellStyle name="汇总 2 2 6 2 4 2 2" xfId="7233"/>
    <cellStyle name="60% - 强调文字颜色 5 2 4 4 2" xfId="7234"/>
    <cellStyle name="汇总 2 7 3 2 3 3" xfId="7235"/>
    <cellStyle name="好 3 2 2 2 2 2" xfId="7236"/>
    <cellStyle name="40% - 强调文字颜色 3 2 2 3 4 2 2 2" xfId="7237"/>
    <cellStyle name="40% - 强调文字颜色 5 2 2 6 3 2" xfId="7238"/>
    <cellStyle name="常规 10 2 5 2" xfId="7239"/>
    <cellStyle name="常规 12 2 2 2 3 2 2" xfId="7240"/>
    <cellStyle name="60% - 强调文字颜色 5 2 2 5 3" xfId="7241"/>
    <cellStyle name="超链接 3 2 6" xfId="7242"/>
    <cellStyle name="40% - 强调文字颜色 1 2 4 4" xfId="7243"/>
    <cellStyle name="计算 2 5 2 3 2 3 3" xfId="7244"/>
    <cellStyle name="60% - 强调文字颜色 6 2 2 4 3 2 2" xfId="7245"/>
    <cellStyle name="Normal 4 2 3 2" xfId="7246"/>
    <cellStyle name="20% - 强调文字颜色 6 2 5 4" xfId="7247"/>
    <cellStyle name="汇总 2 2 5 2 11" xfId="7248"/>
    <cellStyle name="差 2 2 2 2 2 2 2 2 3" xfId="7249"/>
    <cellStyle name="40% - 强调文字颜色 4 3 2 4 2 2 2" xfId="7250"/>
    <cellStyle name="强调文字颜色 6 2 4 2 2 3" xfId="7251"/>
    <cellStyle name="常规 4 6 4 2" xfId="7252"/>
    <cellStyle name="注释 2 3 4 2 3 2" xfId="7253"/>
    <cellStyle name="输入 2 2 5 2 2 4" xfId="7254"/>
    <cellStyle name="汇总 2 2 17 3" xfId="7255"/>
    <cellStyle name="解释性文本 2 3 4 2" xfId="7256"/>
    <cellStyle name="计算 2 2 5 2 2 2 4 2 2" xfId="7257"/>
    <cellStyle name="注释 3 5" xfId="7258"/>
    <cellStyle name="输出 2 2 4 2 12" xfId="7259"/>
    <cellStyle name="解释性文本 2 2 2 5 2 3" xfId="7260"/>
    <cellStyle name="超链接 2 5 2 2" xfId="7261"/>
    <cellStyle name="常规 12 2 2 4" xfId="7262"/>
    <cellStyle name="20% - 强调文字颜色 3 2 2 4 2" xfId="7263"/>
    <cellStyle name="常规 8 5 3" xfId="7264"/>
    <cellStyle name="计算 2 2 3 4 2 3 2 2" xfId="7265"/>
    <cellStyle name="60% - 强调文字颜色 4 2 2 7 2" xfId="7266"/>
    <cellStyle name="汇总 2 10 2 4 2" xfId="7267"/>
    <cellStyle name="常规 5 6 3 3 3" xfId="7268"/>
    <cellStyle name="20% - 强调文字颜色 4 3 4 2 2" xfId="7269"/>
    <cellStyle name="计算 2 2 3 3 2 2 2" xfId="7270"/>
    <cellStyle name="注释 2 2 3 2 5 4" xfId="7271"/>
    <cellStyle name="40% - 强调文字颜色 6 2 7 2" xfId="7272"/>
    <cellStyle name="60% - 强调文字颜色 2 2 4 2 2 2 2 2" xfId="7273"/>
    <cellStyle name="警告文本 2 2 2 2 7" xfId="7274"/>
    <cellStyle name="20% - 强调文字颜色 3 3 3 2" xfId="7275"/>
    <cellStyle name="汇总 2 11 3 2" xfId="7276"/>
    <cellStyle name="计算 2 2 5 2 2 4 3" xfId="7277"/>
    <cellStyle name="标题 2 2 2 4" xfId="7278"/>
    <cellStyle name="20% - 强调文字颜色 4 2 4 7" xfId="7279"/>
    <cellStyle name="百分比 2 2 3 3 2" xfId="7280"/>
    <cellStyle name="40% - 强调文字颜色 3 2 3 7 2" xfId="7281"/>
    <cellStyle name="警告文本 3 10" xfId="7282"/>
    <cellStyle name="汇总 4 8 2" xfId="7283"/>
    <cellStyle name="40% - 强调文字颜色 5 6 2 2 2" xfId="7284"/>
    <cellStyle name="输入 2 2 5 4 4 2 2" xfId="7285"/>
    <cellStyle name="计算 2 7 5 7" xfId="7286"/>
    <cellStyle name="注释 2 4 3 2 2 4" xfId="7287"/>
    <cellStyle name="输入 2 2 8 6 3" xfId="7288"/>
    <cellStyle name="适中 2 2 2 2 2 2" xfId="7289"/>
    <cellStyle name="20% - 强调文字颜色 5 2 2 2 2 3 2" xfId="7290"/>
    <cellStyle name="计算 2 2 5 2 2 6 2 2" xfId="7291"/>
    <cellStyle name="标题 2 2 4 3 2" xfId="7292"/>
    <cellStyle name="注释 2 2 5 2 2 6" xfId="7293"/>
    <cellStyle name="注释 3 2 2 2 2 3" xfId="7294"/>
    <cellStyle name="汇总 2 2 4 6 3" xfId="7295"/>
    <cellStyle name="汇总 2 2 4 2 3 6 3" xfId="7296"/>
    <cellStyle name="60% - 强调文字颜色 5 2 8" xfId="7297"/>
    <cellStyle name="输出 2 5 4 2 3 2" xfId="7298"/>
    <cellStyle name="注释 2 4 2 2 3 2 2 2" xfId="7299"/>
    <cellStyle name="60% - 强调文字颜色 1 2 2 6" xfId="7300"/>
    <cellStyle name="汇总 2 4 10 2" xfId="7301"/>
    <cellStyle name="标题 2 6" xfId="7302"/>
    <cellStyle name="输出 2 2 5 3 6" xfId="7303"/>
    <cellStyle name="汇总 2 5 4 3 2 3" xfId="7304"/>
    <cellStyle name="20% - 强调文字颜色 5 2 2 4 5" xfId="7305"/>
    <cellStyle name="60% - 强调文字颜色 2 3 2 2 3 2 2 2" xfId="7306"/>
    <cellStyle name="输入 2 5 5 4 3" xfId="7307"/>
    <cellStyle name="60% - 强调文字颜色 5 3 10" xfId="7308"/>
    <cellStyle name="汇总 2 4 5 2 2" xfId="7309"/>
    <cellStyle name="输入 2 11 2" xfId="7310"/>
    <cellStyle name="60% - 强调文字颜色 2 3 4 2 2" xfId="7311"/>
    <cellStyle name="计算 2 6 9" xfId="7312"/>
    <cellStyle name="60% - 强调文字颜色 5 3 2 3" xfId="7313"/>
    <cellStyle name="常规 5 3 3 3 3" xfId="7314"/>
    <cellStyle name="60% - 强调文字颜色 6 5 2" xfId="7315"/>
    <cellStyle name="计算 2 2 8 5 5" xfId="7316"/>
    <cellStyle name="计算 2 5 3 2 2 5 2" xfId="7317"/>
    <cellStyle name="常规 4 3 4 2 3" xfId="7318"/>
    <cellStyle name="注释 2 2 3 3 3 2 2" xfId="7319"/>
    <cellStyle name="40% - 强调文字颜色 5 2 4 2 2 2 2" xfId="7320"/>
    <cellStyle name="计算 4 2 2 3" xfId="7321"/>
    <cellStyle name="20% - 强调文字颜色 6 2 2 5 3 2" xfId="7322"/>
    <cellStyle name="检查单元格 2 2 3 6 2" xfId="7323"/>
    <cellStyle name="标题 3 6 2 2" xfId="7324"/>
    <cellStyle name="强调文字颜色 1 2 2 4 5 2" xfId="7325"/>
    <cellStyle name="汇总 2 3 2 2" xfId="7326"/>
    <cellStyle name="注释 3 5 2" xfId="7327"/>
    <cellStyle name="解释性文本 2 3 4 2 2" xfId="7328"/>
    <cellStyle name="汇总 2 6 3 2 3 2 2" xfId="7329"/>
    <cellStyle name="警告文本 2 3 2 2 3" xfId="7330"/>
    <cellStyle name="注释 2 2 4 2 3 2 3" xfId="7331"/>
    <cellStyle name="计算 2 6 8 2" xfId="7332"/>
    <cellStyle name="60% - 强调文字颜色 5 3 2 2 2" xfId="7333"/>
    <cellStyle name="输入 2 5 3 3 2 2" xfId="7334"/>
    <cellStyle name="强调文字颜色 4 2 6 3 3" xfId="7335"/>
    <cellStyle name="输出 2 2 7 5 2" xfId="7336"/>
    <cellStyle name="汇总 4 7 3" xfId="7337"/>
    <cellStyle name="注释 4 3 2 3" xfId="7338"/>
    <cellStyle name="20% - 强调文字颜色 6 3 2 2 2 2" xfId="7339"/>
    <cellStyle name="60% - 强调文字颜色 2 2 2 3 8" xfId="7340"/>
    <cellStyle name="标题 4 3 2 5 2" xfId="7341"/>
    <cellStyle name="40% - 强调文字颜色 6 3 2 5" xfId="7342"/>
    <cellStyle name="常规 5 3 7" xfId="7343"/>
    <cellStyle name="计算 2 7 8 2 2" xfId="7344"/>
    <cellStyle name="60% - 强调文字颜色 5 3 3 2 2 2" xfId="7345"/>
    <cellStyle name="注释 3 2 5 3" xfId="7346"/>
    <cellStyle name="输入 2 7 2 3 3" xfId="7347"/>
    <cellStyle name="标题 4 2 4 4 2" xfId="7348"/>
    <cellStyle name="60% - 强调文字颜色 1 2 2 2 2 3 2 2 2" xfId="7349"/>
    <cellStyle name="输入 2 2 5 3 3 2 2" xfId="7350"/>
    <cellStyle name="强调文字颜色 5 3 3 4" xfId="7351"/>
    <cellStyle name="标题 4 2 4 3 3 3" xfId="7352"/>
    <cellStyle name="40% - 强调文字颜色 5 2 2 2 3 3 2" xfId="7353"/>
    <cellStyle name="标题 5 2 3 4 3" xfId="7354"/>
    <cellStyle name="标题 6 5 3" xfId="7355"/>
    <cellStyle name="强调文字颜色 1 2 6 2 3" xfId="7356"/>
    <cellStyle name="常规 3 3 3 3 2" xfId="7357"/>
    <cellStyle name="60% - 强调文字颜色 2 2 2 2 2 2 2 2" xfId="7358"/>
    <cellStyle name="计算 2 3 3 3 4" xfId="7359"/>
    <cellStyle name="强调文字颜色 6 2 3 2 4" xfId="7360"/>
    <cellStyle name="60% - 强调文字颜色 5 2 2 4 4 2" xfId="7361"/>
    <cellStyle name="40% - 强调文字颜色 1 2 3 5 2" xfId="7362"/>
    <cellStyle name="链接单元格 2 4 3 3 2" xfId="7363"/>
    <cellStyle name="计算 2 2 7 10" xfId="7364"/>
    <cellStyle name="汇总 2 6 4 2 2 2" xfId="7365"/>
    <cellStyle name="计算 2 5 2 3 2 6" xfId="7366"/>
    <cellStyle name="计算 2 7 9" xfId="7367"/>
    <cellStyle name="60% - 强调文字颜色 5 3 3 3" xfId="7368"/>
    <cellStyle name="60% - 强调文字颜色 5 3 3 4" xfId="7369"/>
    <cellStyle name="60% - 强调文字颜色 6 2 3 2 2 2 2 2 2" xfId="7370"/>
    <cellStyle name="常规 2 2 3 4" xfId="7371"/>
    <cellStyle name="40% - 强调文字颜色 4 2 2 6 3 2" xfId="7372"/>
    <cellStyle name="计算 2 2 7 3 8" xfId="7373"/>
    <cellStyle name="计算 2 2 3 2 10" xfId="7374"/>
    <cellStyle name="常规 5 3 3 6" xfId="7375"/>
    <cellStyle name="60% - 强调文字颜色 5 3 5" xfId="7376"/>
    <cellStyle name="输出 2 2 5 4 3" xfId="7377"/>
    <cellStyle name="20% - 强调文字颜色 5 2 2 5 2" xfId="7378"/>
    <cellStyle name="60% - 强调文字颜色 5 2 9 2" xfId="7379"/>
    <cellStyle name="标题 3 3" xfId="7380"/>
    <cellStyle name="标题 1 2 3 2 8" xfId="7381"/>
    <cellStyle name="输入 2 6 2" xfId="7382"/>
    <cellStyle name="注释 2 5 6" xfId="7383"/>
    <cellStyle name="计算 2 2 5 3 3 2 3" xfId="7384"/>
    <cellStyle name="60% - 强调文字颜色 2 3 2 3 2 2" xfId="7385"/>
    <cellStyle name="计算 2 5 2 3 9" xfId="7386"/>
    <cellStyle name="汇总 2 2 4 2 3 7 2" xfId="7387"/>
    <cellStyle name="60% - 强调文字颜色 5 5" xfId="7388"/>
    <cellStyle name="输入 2 4 2 2 2 2 2" xfId="7389"/>
    <cellStyle name="常规 4 3 4 3" xfId="7390"/>
    <cellStyle name="计算 4 6 2 2" xfId="7391"/>
    <cellStyle name="40% - 强调文字颜色 6 2 2 2 3" xfId="7392"/>
    <cellStyle name="强调文字颜色 6 2 2 5 2" xfId="7393"/>
    <cellStyle name="40% - 强调文字颜色 1 4" xfId="7394"/>
    <cellStyle name="汇总 2 7 3 2" xfId="7395"/>
    <cellStyle name="40% - 强调文字颜色 6 2 2 3 4" xfId="7396"/>
    <cellStyle name="计算 2 2 11" xfId="7397"/>
    <cellStyle name="20% - 强调文字颜色 6 2 3 4 2 2 2" xfId="7398"/>
    <cellStyle name="60% - 强调文字颜色 4 2 2 2 3 2" xfId="7399"/>
    <cellStyle name="输入 2 2 3 2 2 4 2" xfId="7400"/>
    <cellStyle name="常规 5 2 2 3 2 3 2" xfId="7401"/>
    <cellStyle name="输入 5 2 2" xfId="7402"/>
    <cellStyle name="注释 2 5 3 5 2" xfId="7403"/>
    <cellStyle name="40% - 强调文字颜色 3 2 2 5" xfId="7404"/>
    <cellStyle name="计算 2 4 2 2 2 2 3" xfId="7405"/>
    <cellStyle name="输入 2 5 7" xfId="7406"/>
    <cellStyle name="标题 3 2 2" xfId="7407"/>
    <cellStyle name="60% - 强调文字颜色 5 2 2 4 5" xfId="7408"/>
    <cellStyle name="40% - 强调文字颜色 1 2 3 6" xfId="7409"/>
    <cellStyle name="20% - 强调文字颜色 5 2 2 2 2 2 3 2 2" xfId="7410"/>
    <cellStyle name="输入 2 2 7 7 3" xfId="7411"/>
    <cellStyle name="20% - 强调文字颜色 1 2 3 2 3" xfId="7412"/>
    <cellStyle name="适中 2 4 2 2 2 2 2" xfId="7413"/>
    <cellStyle name="汇总 2 2 6 4 2 3 3" xfId="7414"/>
    <cellStyle name="链接单元格 2 2 2 3 3" xfId="7415"/>
    <cellStyle name="标题 4 2 3 7" xfId="7416"/>
    <cellStyle name="60% - 强调文字颜色 3 3 6 2" xfId="7417"/>
    <cellStyle name="20% - 强调文字颜色 5 2 5 3 2 2 2" xfId="7418"/>
    <cellStyle name="汇总 2 4 3 2 3 3" xfId="7419"/>
    <cellStyle name="60% - 强调文字颜色 2 2 4 4 2" xfId="7420"/>
    <cellStyle name="标题 6 9" xfId="7421"/>
    <cellStyle name="常规 2 2 2 2 4 2 2" xfId="7422"/>
    <cellStyle name="计算 2 2 3 3 6 2 2" xfId="7423"/>
    <cellStyle name="常规 13 3 2 3" xfId="7424"/>
    <cellStyle name="汇总 2 6 2 4 2" xfId="7425"/>
    <cellStyle name="计算 5 2 2" xfId="7426"/>
    <cellStyle name="20% - 强调文字颜色 6 2 2 2 4 2 2" xfId="7427"/>
    <cellStyle name="差 3 4 3" xfId="7428"/>
    <cellStyle name="计算 2 5 2 2 6" xfId="7429"/>
    <cellStyle name="60% - 强调文字颜色 4 2 2 2 7 2" xfId="7430"/>
    <cellStyle name="汇总 2 2 3 2 2 3 3 3" xfId="7431"/>
    <cellStyle name="标题 1 2 2 2 2" xfId="7432"/>
    <cellStyle name="20% - 强调文字颜色 2 2 2 6" xfId="7433"/>
    <cellStyle name="计算 2 3 4 6 2" xfId="7434"/>
    <cellStyle name="差 2 3 3 7" xfId="7435"/>
    <cellStyle name="输入 2 2 4 5 2 2" xfId="7436"/>
    <cellStyle name="输出 2 2 3 2 6 3" xfId="7437"/>
    <cellStyle name="40% - 强调文字颜色 5 4 4 2 2 2" xfId="7438"/>
    <cellStyle name="强调文字颜色 3 2 3 2 2 2 2 2" xfId="7439"/>
    <cellStyle name="计算 2 3 3 2 5" xfId="7440"/>
    <cellStyle name="注释 2 2 13 2" xfId="7441"/>
    <cellStyle name="常规 6 3 2 2 3 3" xfId="7442"/>
    <cellStyle name="20% - 强调文字颜色 6 2 4" xfId="7443"/>
    <cellStyle name="链接单元格 2 3 2 3 4" xfId="7444"/>
    <cellStyle name="标题 5 2 3 8" xfId="7445"/>
    <cellStyle name="强调文字颜色 5 2 3 5 3" xfId="7446"/>
    <cellStyle name="计算 2 2 2 12" xfId="7447"/>
    <cellStyle name="计算 2 2 5 2 7 3" xfId="7448"/>
    <cellStyle name="计算 2 2 2 3 2 4 3" xfId="7449"/>
    <cellStyle name="60% - 强调文字颜色 5 5 2 2" xfId="7450"/>
    <cellStyle name="60% - 强调文字颜色 5 2 3 3 2" xfId="7451"/>
    <cellStyle name="40% - 强调文字颜色 1 3 2 3" xfId="7452"/>
    <cellStyle name="注释 2 4 3 3 3" xfId="7453"/>
    <cellStyle name="计算 2 5 2 2 2 8" xfId="7454"/>
    <cellStyle name="汇总 2 2 4 10" xfId="7455"/>
    <cellStyle name="40% - 强调文字颜色 2 2 3 5 2 2 2" xfId="7456"/>
    <cellStyle name="汇总 2 2 3 3 3 3" xfId="7457"/>
    <cellStyle name="说明文本 2 3 3" xfId="7458"/>
    <cellStyle name="差 2 2 2 2 4 2 2" xfId="7459"/>
    <cellStyle name="60% - 强调文字颜色 4 2 2 3 5 2" xfId="7460"/>
    <cellStyle name="汇总 2 3 2 2 3 3" xfId="7461"/>
    <cellStyle name="差 2 2 4 3 2 3" xfId="7462"/>
    <cellStyle name="输出 2 3 2 2 3" xfId="7463"/>
    <cellStyle name="20% - 强调文字颜色 2 2 3 6 2 2" xfId="7464"/>
    <cellStyle name="40% - 强调文字颜色 2 2 2 6 3 2 2" xfId="7465"/>
    <cellStyle name="差 4 2 3" xfId="7466"/>
    <cellStyle name="强调文字颜色 4 2 5 2" xfId="7467"/>
    <cellStyle name="输出 2 6 8 2" xfId="7468"/>
    <cellStyle name="注释 2 2 3 2 2 2 2 2 3" xfId="7469"/>
    <cellStyle name="60% - 强调文字颜色 6 4 4 2 3" xfId="7470"/>
    <cellStyle name="20% - 强调文字颜色 3 2 2 9" xfId="7471"/>
    <cellStyle name="标题 1 3 2 2 5" xfId="7472"/>
    <cellStyle name="汇总 2 2 3 2 4 3 2" xfId="7473"/>
    <cellStyle name="强调文字颜色 2 2 2 2" xfId="7474"/>
    <cellStyle name="常规 4 4 4 5" xfId="7475"/>
    <cellStyle name="20% - 强调文字颜色 1 3" xfId="7476"/>
    <cellStyle name="20% - 强调文字颜色 3 2 2 2 4 2 2 2" xfId="7477"/>
    <cellStyle name="差 2 3 3 2 2 3" xfId="7478"/>
    <cellStyle name="强调文字颜色 2 2 2 2 3 3 2" xfId="7479"/>
    <cellStyle name="计算 2 9 8" xfId="7480"/>
    <cellStyle name="60% - 强调文字颜色 5 3 5 2" xfId="7481"/>
    <cellStyle name="检查单元格 2 3 3" xfId="7482"/>
    <cellStyle name="输出 2 2 5 4 3 2" xfId="7483"/>
    <cellStyle name="20% - 强调文字颜色 5 2 2 5 2 2" xfId="7484"/>
    <cellStyle name="输入 2 6 7" xfId="7485"/>
    <cellStyle name="标题 3 3 2" xfId="7486"/>
    <cellStyle name="强调文字颜色 5 2 2 6 2" xfId="7487"/>
    <cellStyle name="链接单元格 2 4 6 3" xfId="7488"/>
    <cellStyle name="60% - 强调文字颜色 6 2 2 3 5 2 2" xfId="7489"/>
    <cellStyle name="60% - 强调文字颜色 1 2 2 5 2" xfId="7490"/>
    <cellStyle name="注释 2 3 2 2 2 2 2" xfId="7491"/>
    <cellStyle name="20% - 强调文字颜色 6 3 2 2" xfId="7492"/>
    <cellStyle name="标题 7 5" xfId="7493"/>
    <cellStyle name="40% - 强调文字颜色 2 2 3 4 3" xfId="7494"/>
    <cellStyle name="标题 5 2 4 4" xfId="7495"/>
    <cellStyle name="输入 2 4 3 3 2 2" xfId="7496"/>
    <cellStyle name="60% - 强调文字颜色 5 2 2 2 2 2 2 2 2" xfId="7497"/>
    <cellStyle name="强调文字颜色 3 2 6 3 3" xfId="7498"/>
    <cellStyle name="标题 4 2 4 9" xfId="7499"/>
    <cellStyle name="标题 3 3 2 2 3 2 2 2" xfId="7500"/>
    <cellStyle name="强调文字颜色 1 3 2 2 3 2" xfId="7501"/>
    <cellStyle name="适中 2 2 6 2 2 2" xfId="7502"/>
    <cellStyle name="计算 2 8 4 2 2 2" xfId="7503"/>
    <cellStyle name="好 6 2" xfId="7504"/>
    <cellStyle name="注释 2 10 2 3" xfId="7505"/>
    <cellStyle name="好 2 2 2 2 4 3" xfId="7506"/>
    <cellStyle name="40% - 强调文字颜色 5 2 2 2 2 4 2 2 2" xfId="7507"/>
    <cellStyle name="常规 4 2 3 2 2 2 2" xfId="7508"/>
    <cellStyle name="注释 2 6 2 3" xfId="7509"/>
    <cellStyle name="汇总 2 5 5 3 3" xfId="7510"/>
    <cellStyle name="输出 2 2 15" xfId="7511"/>
    <cellStyle name="40% - 强调文字颜色 2 2 2 4 2 2 2 2" xfId="7512"/>
    <cellStyle name="常规 26" xfId="7513"/>
    <cellStyle name="链接单元格 2 2 2 2 3 2 2 2" xfId="7514"/>
    <cellStyle name="输入 2 4 2 5 2" xfId="7515"/>
    <cellStyle name="计算 2 4 2 2 5 3" xfId="7516"/>
    <cellStyle name="常规 11 3 2 5" xfId="7517"/>
    <cellStyle name="60% - 强调文字颜色 5 6 2" xfId="7518"/>
    <cellStyle name="常规 5 3 6 3" xfId="7519"/>
    <cellStyle name="常规 6 3 2 2" xfId="7520"/>
    <cellStyle name="链接单元格 2 2 5 4" xfId="7521"/>
    <cellStyle name="计算 2 5 2 2 2 2 4" xfId="7522"/>
    <cellStyle name="输入 2 3 5 2 2" xfId="7523"/>
    <cellStyle name="强调文字颜色 4 2 3 2 2 2 3" xfId="7524"/>
    <cellStyle name="常规 3 3 2 5 2 2 2" xfId="7525"/>
    <cellStyle name="60% - 强调文字颜色 5 2 2 3" xfId="7526"/>
    <cellStyle name="计算 2 2 7 2 5 3" xfId="7527"/>
    <cellStyle name="常规 12 4" xfId="7528"/>
    <cellStyle name="汇总 2 5 5 6 2" xfId="7529"/>
    <cellStyle name="常规 5 4 2 3" xfId="7530"/>
    <cellStyle name="60% - 强调文字颜色 6 2 2" xfId="7531"/>
    <cellStyle name="汇总 2 5 3 2 5 2" xfId="7532"/>
    <cellStyle name="计算 2 2 8 2 5" xfId="7533"/>
    <cellStyle name="输入 2 2 2 3 6" xfId="7534"/>
    <cellStyle name="计算 2 2 2 6 2 2" xfId="7535"/>
    <cellStyle name="输入 2 2 3 3 2 2 2" xfId="7536"/>
    <cellStyle name="注释 2 7 2 2 2 2" xfId="7537"/>
    <cellStyle name="解释性文本 2 2 2 5 3" xfId="7538"/>
    <cellStyle name="20% - 强调文字颜色 6 5 2" xfId="7539"/>
    <cellStyle name="20% - 强调文字颜色 6 2 3 3 2" xfId="7540"/>
    <cellStyle name="60% - 强调文字颜色 2 2 2 3 2" xfId="7541"/>
    <cellStyle name="常规 3 3 2 2 2 2 2 2" xfId="7542"/>
    <cellStyle name="汇总 2 2 5 6 2 2" xfId="7543"/>
    <cellStyle name="60% - 强调文字颜色 6 4 2 3 2" xfId="7544"/>
    <cellStyle name="汇总 2 2 4 2 3 2 3 2 2" xfId="7545"/>
    <cellStyle name="常规 9 3 6 2" xfId="7546"/>
    <cellStyle name="标题 1 2 5 4" xfId="7547"/>
    <cellStyle name="60% - 强调文字颜色 6 2 2 2 4 3 2 2" xfId="7548"/>
    <cellStyle name="计算 2 2 4 2 2 2 2 2" xfId="7549"/>
    <cellStyle name="适中 2 3 2 6" xfId="7550"/>
    <cellStyle name="常规 4 2 2 2 2 5" xfId="7551"/>
    <cellStyle name="差 2 2 2 2 6 2" xfId="7552"/>
    <cellStyle name="输入 3 10 2" xfId="7553"/>
    <cellStyle name="汇总 2 2 5 3 2 8" xfId="7554"/>
    <cellStyle name="输入 2 7 2 5 2" xfId="7555"/>
    <cellStyle name="注释 3 2 7 2" xfId="7556"/>
    <cellStyle name="差 4 2 2 2 2" xfId="7557"/>
    <cellStyle name="汇总 2 5 3 2 8" xfId="7558"/>
    <cellStyle name="计算 2 2 3 2 2 3 3 3" xfId="7559"/>
    <cellStyle name="计算 2 7 6 2" xfId="7560"/>
    <cellStyle name="强调文字颜色 5 2 2 2 2 2" xfId="7561"/>
    <cellStyle name="强调文字颜色 5 2 2 4 6" xfId="7562"/>
    <cellStyle name="汇总 2 2 8 7 2" xfId="7563"/>
    <cellStyle name="计算 2 2 2 2 3 6" xfId="7564"/>
    <cellStyle name="标题 4 2 3 4 2 2 2" xfId="7565"/>
    <cellStyle name="计算 2 2 4 3 9" xfId="7566"/>
    <cellStyle name="常规 10 2 2 2 2 7" xfId="7567"/>
    <cellStyle name="60% - 强调文字颜色 2 3 6" xfId="7568"/>
    <cellStyle name="链接单元格 2 2 6 3 2 2" xfId="7569"/>
    <cellStyle name="输入 2 5 8" xfId="7570"/>
    <cellStyle name="标题 3 2 3" xfId="7571"/>
    <cellStyle name="注释 2 3 4 2 2 2 2" xfId="7572"/>
    <cellStyle name="汇总 2 2 3 2 4 2 3" xfId="7573"/>
    <cellStyle name="计算 2 2 6 5" xfId="7574"/>
    <cellStyle name="60% - 强调文字颜色 3 2 2 5 2" xfId="7575"/>
    <cellStyle name="输入 2 2 4 2 2 2 2 3" xfId="7576"/>
    <cellStyle name="计算 2 6 4 2" xfId="7577"/>
    <cellStyle name="强调文字颜色 3 2 4 5 3" xfId="7578"/>
    <cellStyle name="强调文字颜色 1 2 3 2 2 3" xfId="7579"/>
    <cellStyle name="汇总 2 2 2 2 6 2" xfId="7580"/>
    <cellStyle name="强调文字颜色 2 2 2 3 5 3" xfId="7581"/>
    <cellStyle name="输出 2 4 8 3" xfId="7582"/>
    <cellStyle name="60% - 强调文字颜色 6 2 2 2 2 2 3 2" xfId="7583"/>
    <cellStyle name="检查单元格 4" xfId="7584"/>
    <cellStyle name="计算 2 7 3" xfId="7585"/>
    <cellStyle name="60% - 强调文字颜色 6 2 2 2 2 3 2" xfId="7586"/>
    <cellStyle name="40% - 强调文字颜色 1 2 2 4 3 3" xfId="7587"/>
    <cellStyle name="注释 2 2 5 2 4" xfId="7588"/>
    <cellStyle name="好 5 2 2" xfId="7589"/>
    <cellStyle name="常规 3 2 2 4 3 2 2" xfId="7590"/>
    <cellStyle name="计算 2 2 2 4 5 2 2" xfId="7591"/>
    <cellStyle name="60% - 强调文字颜色 6 2 2 2 2 3 2 2 3" xfId="7592"/>
    <cellStyle name="输出 2 7 3 6" xfId="7593"/>
    <cellStyle name="强调文字颜色 4 2 2 6 2" xfId="7594"/>
    <cellStyle name="计算 2 2 7 2 2 2 2" xfId="7595"/>
    <cellStyle name="计算 2 5 4 3 3 2 2" xfId="7596"/>
    <cellStyle name="注释 2 7 2 2 3" xfId="7597"/>
    <cellStyle name="强调文字颜色 6 3 2 2" xfId="7598"/>
    <cellStyle name="常规 7 2 3 2 2 2 2" xfId="7599"/>
    <cellStyle name="60% - 强调文字颜色 6 2 3 2 3 2 2 2" xfId="7600"/>
    <cellStyle name="60% - 强调文字颜色 1 2 2 4 2 3" xfId="7601"/>
    <cellStyle name="标题 4 4 4" xfId="7602"/>
    <cellStyle name="强调文字颜色 1 2 3 2 7" xfId="7603"/>
    <cellStyle name="Normal 5" xfId="7604"/>
    <cellStyle name="常规 5 2 2 2 2 2 3 3" xfId="7605"/>
    <cellStyle name="汇总 2 5 3 2" xfId="7606"/>
    <cellStyle name="计算 4 4 3 3" xfId="7607"/>
    <cellStyle name="检查单元格 2 3 2 3 3 2 2" xfId="7608"/>
    <cellStyle name="注释 2 10" xfId="7609"/>
    <cellStyle name="40% - 强调文字颜色 5 3 2 2 2 2 2 2" xfId="7610"/>
    <cellStyle name="标题 5 8" xfId="7611"/>
    <cellStyle name="输入 2 2 4 5 3 2 2" xfId="7612"/>
    <cellStyle name="标题 3 2 2 2 2 3 3 2 2" xfId="7613"/>
    <cellStyle name="60% - 强调文字颜色 6 2 2 2 2 3 2 3" xfId="7614"/>
    <cellStyle name="检查单元格 4 3" xfId="7615"/>
    <cellStyle name="计算 2 7 3 3" xfId="7616"/>
    <cellStyle name="计算 2 2 2 3 2 7" xfId="7617"/>
    <cellStyle name="输入 2 3 4 2 3 2" xfId="7618"/>
    <cellStyle name="计算 2 2 4 3 2 2 3 2 2" xfId="7619"/>
    <cellStyle name="输入 2 2 3 3 5 3" xfId="7620"/>
    <cellStyle name="60% - 强调文字颜色 5 2 6 3 2 2" xfId="7621"/>
    <cellStyle name="计算 2 2 2 9 3" xfId="7622"/>
    <cellStyle name="计算 2 2 12" xfId="7623"/>
    <cellStyle name="常规 13 3 2 2 2" xfId="7624"/>
    <cellStyle name="强调文字颜色 3 2 4 2 2 2 2 2" xfId="7625"/>
    <cellStyle name="输出 2 5 2 2 4 2 2" xfId="7626"/>
    <cellStyle name="60% - 强调文字颜色 2 2 2 4 3 2 2 2" xfId="7627"/>
    <cellStyle name="计算 2 6 4 7" xfId="7628"/>
    <cellStyle name="20% - 强调文字颜色 3 3 2 2 4" xfId="7629"/>
    <cellStyle name="常规 5 2 3 4 4 3" xfId="7630"/>
    <cellStyle name="输入 2 2 7 5 3" xfId="7631"/>
    <cellStyle name="汇总 2 2 5 2 6 2 2" xfId="7632"/>
    <cellStyle name="20% - 强调文字颜色 5 3 3 2 2 2 2" xfId="7633"/>
    <cellStyle name="40% - 强调文字颜色 3 2 2 2 2 3 2" xfId="7634"/>
    <cellStyle name="60% - 强调文字颜色 1 2 2 2" xfId="7635"/>
    <cellStyle name="20% - 强调文字颜色 5 2 3 6 2 2 2" xfId="7636"/>
    <cellStyle name="40% - 强调文字颜色 3 2 3 3 2 2 2" xfId="7637"/>
    <cellStyle name="计算 2 2 3 2 5 2" xfId="7638"/>
    <cellStyle name="20% - 强调文字颜色 1 5 2 2" xfId="7639"/>
    <cellStyle name="输出 2 5 5 2" xfId="7640"/>
    <cellStyle name="适中 2 2 7" xfId="7641"/>
    <cellStyle name="输出 4 2 6" xfId="7642"/>
    <cellStyle name="计算 2 8 5" xfId="7643"/>
    <cellStyle name="强调文字颜色 6 2 3 2 2 2 2" xfId="7644"/>
    <cellStyle name="输出 2 2 3 4 2 3 2" xfId="7645"/>
    <cellStyle name="好 2 2 2 4 3" xfId="7646"/>
    <cellStyle name="60% - 强调文字颜色 5 2 2 3 3 2" xfId="7647"/>
    <cellStyle name="好 2 2 3 5 2 2" xfId="7648"/>
    <cellStyle name="40% - 强调文字颜色 1 2 2 4 2" xfId="7649"/>
    <cellStyle name="计算 3 6 3" xfId="7650"/>
    <cellStyle name="60% - 强调文字颜色 6 2 2 2 3 2 2" xfId="7651"/>
    <cellStyle name="60% - 强调文字颜色 4 2 4 7" xfId="7652"/>
    <cellStyle name="计算 2 2 3 4 2 5 2" xfId="7653"/>
    <cellStyle name="注释 3 9 2" xfId="7654"/>
    <cellStyle name="20% - 强调文字颜色 2 3 2 2 3 2 2 2" xfId="7655"/>
    <cellStyle name="输出 2 2 3 2 4 3" xfId="7656"/>
    <cellStyle name="标题 2 3 2 4 2 2 2" xfId="7657"/>
    <cellStyle name="注释 2 2 11 2" xfId="7658"/>
    <cellStyle name="超链接 3 3 4 2 2 3" xfId="7659"/>
    <cellStyle name="20% - 强调文字颜色 3 2 2 4 2 2" xfId="7660"/>
    <cellStyle name="常规 8 5 3 2" xfId="7661"/>
    <cellStyle name="汇总 2 2 11 2" xfId="7662"/>
    <cellStyle name="注释 3 2 8" xfId="7663"/>
    <cellStyle name="输入 2 7 2 6" xfId="7664"/>
    <cellStyle name="警告文本 2 2 3 10" xfId="7665"/>
    <cellStyle name="60% - 强调文字颜色 1 2 3 4 2 2 2" xfId="7666"/>
    <cellStyle name="输入 2 6 3 2 2 2 2" xfId="7667"/>
    <cellStyle name="注释 2 3 4 2 2 2" xfId="7668"/>
    <cellStyle name="汇总 2 2 16 3" xfId="7669"/>
    <cellStyle name="输出 2 2 2 2 2 2 3 3" xfId="7670"/>
    <cellStyle name="标题 2 5 2 2 2" xfId="7671"/>
    <cellStyle name="注释 2 2 6 4" xfId="7672"/>
    <cellStyle name="标题 2 2 3 2 2 2" xfId="7673"/>
    <cellStyle name="强调文字颜色 2 3 2 2 3" xfId="7674"/>
    <cellStyle name="超链接 2 2 2 3 2 2" xfId="7675"/>
    <cellStyle name="常规 5 4 3 2" xfId="7676"/>
    <cellStyle name="60% - 强调文字颜色 6 2 2 2 4 2 3" xfId="7677"/>
    <cellStyle name="常规 10 2 2 6 2 2" xfId="7678"/>
    <cellStyle name="60% - 强调文字颜色 1 2 2 2 5" xfId="7679"/>
    <cellStyle name="汇总 2 2 4 5 2 2 2" xfId="7680"/>
    <cellStyle name="计算 2 2 7 3 2 5" xfId="7681"/>
    <cellStyle name="汇总 2 2 5 2 2 2 2 3" xfId="7682"/>
    <cellStyle name="计算 2 2 4 3 2 5 3" xfId="7683"/>
    <cellStyle name="60% - 强调文字颜色 2 2 2 2 5 2" xfId="7684"/>
    <cellStyle name="60% - 强调文字颜色 3 2 3 4 3 2" xfId="7685"/>
    <cellStyle name="计算 2 2 5 9 2 2" xfId="7686"/>
    <cellStyle name="20% - 强调文字颜色 2 2 2 2 4 2" xfId="7687"/>
    <cellStyle name="常规 10 2 4 4 2 2" xfId="7688"/>
    <cellStyle name="60% - 强调文字颜色 6 2 2 4 2 2 3" xfId="7689"/>
    <cellStyle name="常规 7 2 3 2" xfId="7690"/>
    <cellStyle name="强调文字颜色 5 2 2 4 5 2" xfId="7691"/>
    <cellStyle name="输出 2 2 3 2 9" xfId="7692"/>
    <cellStyle name="常规 10 2 2 2 2 6 2" xfId="7693"/>
    <cellStyle name="60% - 强调文字颜色 2 2 2 4 3 2 2" xfId="7694"/>
    <cellStyle name="汇总 2 2 4 2 16" xfId="7695"/>
    <cellStyle name="40% - 强调文字颜色 2 2 3 2 2 5" xfId="7696"/>
    <cellStyle name="标题 5 4 5" xfId="7697"/>
    <cellStyle name="40% - 强调文字颜色 5 2 2 2 2 2 4" xfId="7698"/>
    <cellStyle name="标题 5 2 2 3 5" xfId="7699"/>
    <cellStyle name="输出 2 2 3 2 4 6" xfId="7700"/>
    <cellStyle name="常规 10 5 2 4 2" xfId="7701"/>
    <cellStyle name="常规 4 2 2 7" xfId="7702"/>
    <cellStyle name="计算 2 2 4 3 2 2 5 2" xfId="7703"/>
    <cellStyle name="注释 2 2 3 2 4 3 2" xfId="7704"/>
    <cellStyle name="60% - 强调文字颜色 1 2 2 4 3" xfId="7705"/>
    <cellStyle name="强调文字颜色 2 2 4 2 2" xfId="7706"/>
    <cellStyle name="标题 2 2 2 2 2 2 2 2 2 3" xfId="7707"/>
    <cellStyle name="常规 6 2 2 4 2 2 2" xfId="7708"/>
    <cellStyle name="汇总 2 2 6 3 2 2 3" xfId="7709"/>
    <cellStyle name="好 2 6 3 2 2" xfId="7710"/>
    <cellStyle name="标题 3 2 2 7" xfId="7711"/>
    <cellStyle name="标题 2 2 2 2 2 2 4" xfId="7712"/>
    <cellStyle name="60% - 强调文字颜色 2 3 5 2" xfId="7713"/>
    <cellStyle name="计算 2 2 6 4 7" xfId="7714"/>
    <cellStyle name="60% - 强调文字颜色 4 2 2 3 2 2 2 2 2" xfId="7715"/>
    <cellStyle name="强调文字颜色 4 2 4 6" xfId="7716"/>
    <cellStyle name="输出 4 2 6 2 2" xfId="7717"/>
    <cellStyle name="适中 2 2 7 2 2" xfId="7718"/>
    <cellStyle name="计算 2 8 5 2 2" xfId="7719"/>
    <cellStyle name="汇总 2 6 2 12" xfId="7720"/>
    <cellStyle name="输出 2 5 4 6" xfId="7721"/>
    <cellStyle name="标题 1 2 3 2 2 3" xfId="7722"/>
    <cellStyle name="汇总 2 2 2 3 2 5" xfId="7723"/>
    <cellStyle name="汇总 2 2 4 2 2 5 2 2" xfId="7724"/>
    <cellStyle name="60% - 强调文字颜色 2 3 2 5 2" xfId="7725"/>
    <cellStyle name="强调文字颜色 4 2 3 4 3 3" xfId="7726"/>
    <cellStyle name="强调文字颜色 1 2 2 2 4 3 2" xfId="7727"/>
    <cellStyle name="强调文字颜色 1 2 3 2 3 3 2" xfId="7728"/>
    <cellStyle name="60% - 强调文字颜色 3 2 3 3 3 2" xfId="7729"/>
    <cellStyle name="常规 10 2 2 4 2 2" xfId="7730"/>
    <cellStyle name="标题 2 2 6 3 3" xfId="7731"/>
    <cellStyle name="60% - 强调文字颜色 3 2 2 6 2 2" xfId="7732"/>
    <cellStyle name="注释 2 8 4" xfId="7733"/>
    <cellStyle name="输入 2 6 8 2" xfId="7734"/>
    <cellStyle name="标题 3 3 3 2" xfId="7735"/>
    <cellStyle name="计算 2 2 7 5 2" xfId="7736"/>
    <cellStyle name="汇总 2 10 2 3 2" xfId="7737"/>
    <cellStyle name="60% - 强调文字颜色 4 2 2 6 2" xfId="7738"/>
    <cellStyle name="60% - 强调文字颜色 3 3 3 3" xfId="7739"/>
    <cellStyle name="强调文字颜色 4 2 3 2 2 2 2 2" xfId="7740"/>
    <cellStyle name="注释 2 2 5 4 4" xfId="7741"/>
    <cellStyle name="输出 2 2 3 6" xfId="7742"/>
    <cellStyle name="输入 4 2 4 2" xfId="7743"/>
    <cellStyle name="60% - 强调文字颜色 5 3 3" xfId="7744"/>
    <cellStyle name="计算 2 2 5 3 6 3" xfId="7745"/>
    <cellStyle name="计算 2 2 2 3 3 3 3" xfId="7746"/>
    <cellStyle name="链接单元格 2 2 5 3 2" xfId="7747"/>
    <cellStyle name="输入 2 2 6 3 2 3" xfId="7748"/>
    <cellStyle name="计算 2 5 2 2 2 2 3 2" xfId="7749"/>
    <cellStyle name="标题 1 2 2 2 2 4" xfId="7750"/>
    <cellStyle name="常规 5 3 6 2 2" xfId="7751"/>
    <cellStyle name="20% - 强调文字颜色 3 2 2 4 3 2 2" xfId="7752"/>
    <cellStyle name="检查单元格 3 6" xfId="7753"/>
    <cellStyle name="强调文字颜色 2 2 3 2 2 2 2 2 2" xfId="7754"/>
    <cellStyle name="计算 2 6 4 5 3" xfId="7755"/>
    <cellStyle name="链接单元格 4 4 2" xfId="7756"/>
    <cellStyle name="警告文本 2 3 2 4 3 2" xfId="7757"/>
    <cellStyle name="20% - 强调文字颜色 3 2 3 2 2 4 3" xfId="7758"/>
    <cellStyle name="60% - 强调文字颜色 1 3 5 2 2 2" xfId="7759"/>
    <cellStyle name="20% - 强调文字颜色 3 2 2 3 5 2" xfId="7760"/>
    <cellStyle name="计算 2 2 2 2 2 2 2 3 2 2" xfId="7761"/>
    <cellStyle name="汇总 2 2 5 2" xfId="7762"/>
    <cellStyle name="标题 2 2 2 7 2 2" xfId="7763"/>
    <cellStyle name="汇总 2 2 6 2 2 2 3 2 2" xfId="7764"/>
    <cellStyle name="汇总 2 2 4 2 6 5" xfId="7765"/>
    <cellStyle name="40% - 强调文字颜色 5 2 3 2 2 2" xfId="7766"/>
    <cellStyle name="Normal 2 2 3" xfId="7767"/>
    <cellStyle name="40% - 强调文字颜色 6 3 2 4 2 2" xfId="7768"/>
    <cellStyle name="40% - 强调文字颜色 6 2 3 2 2 2 2 2 2 2" xfId="7769"/>
    <cellStyle name="40% - 强调文字颜色 1 2 3 2" xfId="7770"/>
    <cellStyle name="60% - 强调文字颜色 1 2 2 6 3 2 2" xfId="7771"/>
    <cellStyle name="汇总 2 2 5 4 2 4 3" xfId="7772"/>
    <cellStyle name="汇总 2 6 4 2" xfId="7773"/>
    <cellStyle name="40% - 强调文字颜色 4 2 2 3 2 2 2 2 2" xfId="7774"/>
    <cellStyle name="常规 4 2 6 4" xfId="7775"/>
    <cellStyle name="20% - 强调文字颜色 1 2 5" xfId="7776"/>
    <cellStyle name="计算 2 8 2 2 3 2" xfId="7777"/>
    <cellStyle name="适中 2 2 4 2 3 2" xfId="7778"/>
    <cellStyle name="注释 3 2 2 3" xfId="7779"/>
    <cellStyle name="20% - 强调文字颜色 3 2 2 3 4 3 2" xfId="7780"/>
    <cellStyle name="汇总 2 7 12 2" xfId="7781"/>
    <cellStyle name="标题 4 2 6 2" xfId="7782"/>
    <cellStyle name="20% - 强调文字颜色 2 2 2 2 2 3 2 2 2" xfId="7783"/>
    <cellStyle name="超链接 2 5 3 2 2" xfId="7784"/>
    <cellStyle name="计算 2 2 4 15" xfId="7785"/>
    <cellStyle name="60% - 强调文字颜色 6 4 4 2 2" xfId="7786"/>
    <cellStyle name="注释 2 3 3" xfId="7787"/>
    <cellStyle name="20% - 强调文字颜色 5 2 2 2 2 4 2 2 2" xfId="7788"/>
    <cellStyle name="强调文字颜色 4 2 2 5 2" xfId="7789"/>
    <cellStyle name="适中 2 3 5 2" xfId="7790"/>
    <cellStyle name="标题 1 4 4" xfId="7791"/>
    <cellStyle name="计算 2 9 3 2" xfId="7792"/>
    <cellStyle name="强调文字颜色 4 3 4 3" xfId="7793"/>
    <cellStyle name="标题 4 2 3 2 3 3 2 2" xfId="7794"/>
    <cellStyle name="60% - 强调文字颜色 6 2 2 2 2 5 2 2" xfId="7795"/>
    <cellStyle name="40% - 强调文字颜色 1 2 2 4 3" xfId="7796"/>
    <cellStyle name="60% - 强调文字颜色 5 2 2 3 3 3" xfId="7797"/>
    <cellStyle name="输入 2 2 2 2 4 2" xfId="7798"/>
    <cellStyle name="强调文字颜色 6 2 2 6 2 2 2" xfId="7799"/>
    <cellStyle name="汇总 2 7 4 2 2 2" xfId="7800"/>
    <cellStyle name="40% - 强调文字颜色 2 4 2 2" xfId="7801"/>
    <cellStyle name="标题 4 2 2 2 3 2 3" xfId="7802"/>
    <cellStyle name="汇总 2 2 4 5" xfId="7803"/>
    <cellStyle name="60% - 强调文字颜色 2 2 2 2 2 4 2" xfId="7804"/>
    <cellStyle name="20% - 强调文字颜色 6 3 2 2 2 2 2" xfId="7805"/>
    <cellStyle name="标题 5 2 5 3" xfId="7806"/>
    <cellStyle name="注释 2 4 7 3" xfId="7807"/>
    <cellStyle name="40% - 强调文字颜色 2 2 3 5 2" xfId="7808"/>
    <cellStyle name="40% - 强调文字颜色 6 2 2 4 4 2 2" xfId="7809"/>
    <cellStyle name="汇总 3 2 3 3 2" xfId="7810"/>
    <cellStyle name="强调文字颜色 4 2 2 2 2 4 3 2" xfId="7811"/>
    <cellStyle name="输出 2 4 2 7 3" xfId="7812"/>
    <cellStyle name="强调文字颜色 5 2 2 3 4 2 3" xfId="7813"/>
    <cellStyle name="输出 2 5 3 6 2" xfId="7814"/>
    <cellStyle name="检查单元格 2 3 4 3 2" xfId="7815"/>
    <cellStyle name="标题 1 2 2 3 10" xfId="7816"/>
    <cellStyle name="20% - 强调文字颜色 3 3 3 3" xfId="7817"/>
    <cellStyle name="注释 2 4 3 2 2" xfId="7818"/>
    <cellStyle name="注释 2 2 3 2 5 5" xfId="7819"/>
    <cellStyle name="汇总 2 11 3 3" xfId="7820"/>
    <cellStyle name="汇总 2 5 3" xfId="7821"/>
    <cellStyle name="40% - 强调文字颜色 5 2 2 3 5 2" xfId="7822"/>
    <cellStyle name="输入 2 2 4 3 7" xfId="7823"/>
    <cellStyle name="警告文本 2 4 9" xfId="7824"/>
    <cellStyle name="计算 2 5 2 3 2 4 3" xfId="7825"/>
    <cellStyle name="60% - 强调文字颜色 6 2 2 4 3 3 2" xfId="7826"/>
    <cellStyle name="标题 2 2 4 4 2" xfId="7827"/>
    <cellStyle name="标题 1 2 3 3 6" xfId="7828"/>
    <cellStyle name="强调文字颜色 1 3 3 3" xfId="7829"/>
    <cellStyle name="输入 2 3 7 3" xfId="7830"/>
    <cellStyle name="常规 5 2 4 4 2" xfId="7831"/>
    <cellStyle name="60% - 强调文字颜色 4 4 3 2" xfId="7832"/>
    <cellStyle name="标题 3 2 2 6 2" xfId="7833"/>
    <cellStyle name="汇总 2 2 6 3 2 2 2 2" xfId="7834"/>
    <cellStyle name="输出 2 2 3 2 4 2 5" xfId="7835"/>
    <cellStyle name="适中 2 10" xfId="7836"/>
    <cellStyle name="强调文字颜色 2 2 2 2 8" xfId="7837"/>
    <cellStyle name="20% - 强调文字颜色 5 2 2 2 2 3" xfId="7838"/>
    <cellStyle name="标题 4 2 3 2 2" xfId="7839"/>
    <cellStyle name="计算 2 2 5 2 2 6 2" xfId="7840"/>
    <cellStyle name="标题 2 2 4 3" xfId="7841"/>
    <cellStyle name="适中 2 4 3 2 3" xfId="7842"/>
    <cellStyle name="强调文字颜色 3 2 2 2 3 5" xfId="7843"/>
    <cellStyle name="输入 2 3 2 2 2 2 2 2" xfId="7844"/>
    <cellStyle name="输出 2 2 5 3 2 3" xfId="7845"/>
    <cellStyle name="标题 3 2 3 3 6" xfId="7846"/>
    <cellStyle name="60% - 强调文字颜色 6 2 2 8" xfId="7847"/>
    <cellStyle name="计算 2 5 5 2 6" xfId="7848"/>
    <cellStyle name="计算 2 2 5 3 2 3" xfId="7849"/>
    <cellStyle name="标题 4 2 3 2 4 4" xfId="7850"/>
    <cellStyle name="计算 2 3 15" xfId="7851"/>
    <cellStyle name="常规 5 2 2 2 2 2 2" xfId="7852"/>
    <cellStyle name="计算 2 2 8 2 6 2" xfId="7853"/>
    <cellStyle name="20% - 强调文字颜色 3 2 5 2 2 2 2" xfId="7854"/>
    <cellStyle name="注释 2 2 2 2 10" xfId="7855"/>
    <cellStyle name="常规 5 4 2 4 2" xfId="7856"/>
    <cellStyle name="60% - 强调文字颜色 6 2 3 2" xfId="7857"/>
    <cellStyle name="60% - 强调文字颜色 6 2 3 2 2 2 2 2 3" xfId="7858"/>
    <cellStyle name="强调文字颜色 6 4 2 2" xfId="7859"/>
    <cellStyle name="60% - 强调文字颜色 6 2 3 2 3 3 2 2" xfId="7860"/>
    <cellStyle name="常规 7 2 3 2 3 2 2" xfId="7861"/>
    <cellStyle name="超链接 2 3 2 3 2 2" xfId="7862"/>
    <cellStyle name="60% - 强调文字颜色 6 2 3 2 4 2 3" xfId="7863"/>
    <cellStyle name="汇总 2 2 4 3 3 3 2" xfId="7864"/>
    <cellStyle name="60% - 强调文字颜色 6 2 3 2 5 2" xfId="7865"/>
    <cellStyle name="20% - 强调文字颜色 5 2 6 2 2" xfId="7866"/>
    <cellStyle name="20% - 强调文字颜色 2 2 3 2 5 2 2 2" xfId="7867"/>
    <cellStyle name="输出 2 4 5 2 4" xfId="7868"/>
    <cellStyle name="汇总 2 2 4 3 3 3 2 2" xfId="7869"/>
    <cellStyle name="汇总 2 5 2 5" xfId="7870"/>
    <cellStyle name="常规 8 7" xfId="7871"/>
    <cellStyle name="60% - 强调文字颜色 2 2 2 2 5 2 2" xfId="7872"/>
    <cellStyle name="汇总 2 2 4 3 3 3 3" xfId="7873"/>
    <cellStyle name="60% - 强调文字颜色 6 2 3 2 5 3" xfId="7874"/>
    <cellStyle name="警告文本 2 2 2 2 3 2" xfId="7875"/>
    <cellStyle name="40% - 强调文字颜色 3 2 3 2 2 5" xfId="7876"/>
    <cellStyle name="40% - 强调文字颜色 5 2 2 4 4 2" xfId="7877"/>
    <cellStyle name="40% - 强调文字颜色 5 4 5" xfId="7878"/>
    <cellStyle name="输入 2 2 5 2 7" xfId="7879"/>
    <cellStyle name="强调文字颜色 2 2 2 2 5 2 2 2" xfId="7880"/>
    <cellStyle name="注释 2 7 3 6" xfId="7881"/>
    <cellStyle name="常规 9 5 4 2" xfId="7882"/>
    <cellStyle name="20% - 强调文字颜色 3 2 3 4 3 2" xfId="7883"/>
    <cellStyle name="汇总 2 5 2 3 6 2" xfId="7884"/>
    <cellStyle name="标题 3 2 5 2 2 3" xfId="7885"/>
    <cellStyle name="20% - 强调文字颜色 1 2 3 4 3 2" xfId="7886"/>
    <cellStyle name="注释 2 2 2 2 3 3 2" xfId="7887"/>
    <cellStyle name="60% - 强调文字颜色 1 2 2 5 2 2 2" xfId="7888"/>
    <cellStyle name="计算 2 2 4 5 3 2 2" xfId="7889"/>
    <cellStyle name="计算 2 3 4 6" xfId="7890"/>
    <cellStyle name="超链接 2 2 2 5 2" xfId="7891"/>
    <cellStyle name="标题 3 2 2 2 2 3 2" xfId="7892"/>
    <cellStyle name="汇总 2 2 2 13" xfId="7893"/>
    <cellStyle name="输入 2 2 4 5 2" xfId="7894"/>
    <cellStyle name="40% - 强调文字颜色 5 4 4 2 2" xfId="7895"/>
    <cellStyle name="20% - 强调文字颜色 2 2 2 2 4 2 2" xfId="7896"/>
    <cellStyle name="常规 10 3 2 5 3" xfId="7897"/>
    <cellStyle name="40% - 强调文字颜色 6 2 3 6 2" xfId="7898"/>
    <cellStyle name="40% - 强调文字颜色 4 2 2 3 4 2 2 2" xfId="7899"/>
    <cellStyle name="60% - 强调文字颜色 6 3 2 3 2 3" xfId="7900"/>
    <cellStyle name="输出 2 2 5 2 2 2 2" xfId="7901"/>
    <cellStyle name="标题 5 4 3 4" xfId="7902"/>
    <cellStyle name="计算 2 6 2 2 3 2 2 2" xfId="7903"/>
    <cellStyle name="注释 2 6 5 4" xfId="7904"/>
    <cellStyle name="40% - 强调文字颜色 2 2 5 3 3" xfId="7905"/>
    <cellStyle name="解释性文本 2 4 2 2 2 3" xfId="7906"/>
    <cellStyle name="60% - 强调文字颜色 5 2 3 7" xfId="7907"/>
    <cellStyle name="强调文字颜色 6 2 2 2 4 2 2" xfId="7908"/>
    <cellStyle name="计算 2 2 4 3 3 2" xfId="7909"/>
    <cellStyle name="汇总 2 2 8 2 5" xfId="7910"/>
    <cellStyle name="40% - 强调文字颜色 6 2 3 3 2 2 2 2 2" xfId="7911"/>
    <cellStyle name="汇总 2 2 6 4 2 4 2" xfId="7912"/>
    <cellStyle name="常规 2 2 2 2 2 4 2 2" xfId="7913"/>
    <cellStyle name="链接单元格 2 2 2 4 2" xfId="7914"/>
    <cellStyle name="标题 4 2 4 6" xfId="7915"/>
    <cellStyle name="标题 2 2 4 10" xfId="7916"/>
    <cellStyle name="60% - 强调文字颜色 6 2 4 2 2 3" xfId="7917"/>
    <cellStyle name="链接单元格 2 3 2 3 2 2" xfId="7918"/>
    <cellStyle name="标题 5 2 3 6 2" xfId="7919"/>
    <cellStyle name="常规 2 2 4 5" xfId="7920"/>
    <cellStyle name="警告文本 2 2 2 2 4 2 2 2" xfId="7921"/>
    <cellStyle name="注释 2 4 2 4 2" xfId="7922"/>
    <cellStyle name="计算 2 5 2 4" xfId="7923"/>
    <cellStyle name="输出 2 2 10 2" xfId="7924"/>
    <cellStyle name="常规 16 2" xfId="7925"/>
    <cellStyle name="常规 21 2" xfId="7926"/>
    <cellStyle name="标题 3 4 5 2" xfId="7927"/>
    <cellStyle name="常规 12 2 2 6" xfId="7928"/>
    <cellStyle name="标题 5 2 2 3 2 3" xfId="7929"/>
    <cellStyle name="40% - 强调文字颜色 1 4 2 3 2 2" xfId="7930"/>
    <cellStyle name="40% - 强调文字颜色 6 3 3 2 2 2 2" xfId="7931"/>
    <cellStyle name="40% - 强调文字颜色 5 2 2 2 4 3" xfId="7932"/>
    <cellStyle name="输入 2 2 3 2 8" xfId="7933"/>
    <cellStyle name="60% - 强调文字颜色 4 2 2 2 2 3 2" xfId="7934"/>
    <cellStyle name="输入 2 2 3 4 2 2 2" xfId="7935"/>
    <cellStyle name="常规 6 3 2 2 4 2" xfId="7936"/>
    <cellStyle name="输出 2 2 3 2 7 2" xfId="7937"/>
    <cellStyle name="链接单元格 2 3 2 4 3" xfId="7938"/>
    <cellStyle name="强调文字颜色 2 2 7 2 3" xfId="7939"/>
    <cellStyle name="20% - 强调文字颜色 4 2 3 2 2 2 2 2" xfId="7940"/>
    <cellStyle name="检查单元格 2 3 2 2 2 3" xfId="7941"/>
    <cellStyle name="输入 2 7 2 2 4 2" xfId="7942"/>
    <cellStyle name="汇总 3 2 2 2 2 3" xfId="7943"/>
    <cellStyle name="常规 12 9" xfId="7944"/>
    <cellStyle name="40% - 强调文字颜色 3 2 2 2 4 3 2" xfId="7945"/>
    <cellStyle name="标题 5 2 3 5 2" xfId="7946"/>
    <cellStyle name="60% - 强调文字颜色 1 2 2 2 6 2 2" xfId="7947"/>
    <cellStyle name="标题 6 6 2" xfId="7948"/>
    <cellStyle name="链接单元格 2 2 8" xfId="7949"/>
    <cellStyle name="计算 2 5 2 2 2 5" xfId="7950"/>
    <cellStyle name="输入 2 2 5 8 3" xfId="7951"/>
    <cellStyle name="20% - 强调文字颜色 4 2 3 2 2 3 2" xfId="7952"/>
    <cellStyle name="注释 2 2 3 4 4 3" xfId="7953"/>
    <cellStyle name="60% - 强调文字颜色 2 2 4 3 2 2 2" xfId="7954"/>
    <cellStyle name="百分比 2 2 2 2 2 3" xfId="7955"/>
    <cellStyle name="强调文字颜色 2 2 2 6 2 2" xfId="7956"/>
    <cellStyle name="汇总 2 5 4 2 5 2" xfId="7957"/>
    <cellStyle name="计算 2 2 8 2 5 3" xfId="7958"/>
    <cellStyle name="超链接 2 2 4 3 2" xfId="7959"/>
    <cellStyle name="常规 5 4 2 3 3" xfId="7960"/>
    <cellStyle name="60% - 强调文字颜色 6 2 2 3" xfId="7961"/>
    <cellStyle name="汇总 2 3 2 2 2 7" xfId="7962"/>
    <cellStyle name="差 2 2 2 2 5 2 2" xfId="7963"/>
    <cellStyle name="强调文字颜色 5 2 2 4" xfId="7964"/>
    <cellStyle name="汇总 2 2 3 4 3 3" xfId="7965"/>
    <cellStyle name="计算 2 2 5 3 4 3" xfId="7966"/>
    <cellStyle name="警告文本 2 2 7" xfId="7967"/>
    <cellStyle name="60% - 强调文字颜色 6 2 4 8" xfId="7968"/>
    <cellStyle name="计算 2 2 8 2 8" xfId="7969"/>
    <cellStyle name="输入 2 2 2 3 9" xfId="7970"/>
    <cellStyle name="20% - 强调文字颜色 6 3 8" xfId="7971"/>
    <cellStyle name="好 2 5 2 2 2" xfId="7972"/>
    <cellStyle name="超链接 3 2 2 3 2" xfId="7973"/>
    <cellStyle name="40% - 强调文字颜色 4 2 3 2 2 5 2" xfId="7974"/>
    <cellStyle name="常规 9 2 2 2 2 3" xfId="7975"/>
    <cellStyle name="强调文字颜色 1 4 2" xfId="7976"/>
    <cellStyle name="40% - 强调文字颜色 4 2 3 2" xfId="7977"/>
    <cellStyle name="标题 4 2 3 2 3 3 3" xfId="7978"/>
    <cellStyle name="输入 2 3 2 2 5 2" xfId="7979"/>
    <cellStyle name="计算 2 2 7 7 2 2" xfId="7980"/>
    <cellStyle name="汇总 4 2 6 3" xfId="7981"/>
    <cellStyle name="汇总 2 2 7 8 2 2" xfId="7982"/>
    <cellStyle name="40% - 强调文字颜色 6 2 3 4 3 2 2" xfId="7983"/>
    <cellStyle name="40% - 强调文字颜色 3 2 2 5 2" xfId="7984"/>
    <cellStyle name="计算 2 2 8 2 9" xfId="7985"/>
    <cellStyle name="警告文本 2 2 5 2" xfId="7986"/>
    <cellStyle name="注释 2 6 2 2 3 3" xfId="7987"/>
    <cellStyle name="20% - 强调文字颜色 4 2 3 2 3 2 2 2" xfId="7988"/>
    <cellStyle name="60% - 强调文字颜色 6 2 6" xfId="7989"/>
    <cellStyle name="输出 2 2 6 3 4" xfId="7990"/>
    <cellStyle name="20% - 强调文字颜色 5 2 3 4 3" xfId="7991"/>
    <cellStyle name="输入 2 2 5 2 2 2 2 2" xfId="7992"/>
    <cellStyle name="强调文字颜色 4 2 3 4 2" xfId="7993"/>
    <cellStyle name="输入 2 2 2 8 2" xfId="7994"/>
    <cellStyle name="好 2 2 2 2 3 2 3" xfId="7995"/>
    <cellStyle name="40% - 强调文字颜色 2 3 2 3 2 2 2" xfId="7996"/>
    <cellStyle name="解释性文本 2 2 2 2" xfId="7997"/>
    <cellStyle name="注释 2 2 7 4 3" xfId="7998"/>
    <cellStyle name="输出 2 4 3 5" xfId="7999"/>
    <cellStyle name="标题 4 2 5 3 2 2" xfId="8000"/>
    <cellStyle name="40% - 强调文字颜色 3 2 4 2" xfId="8001"/>
    <cellStyle name="注释 2 5 2 3 3 2" xfId="8002"/>
    <cellStyle name="注释 2 4 11" xfId="8003"/>
    <cellStyle name="链接单元格 2 3 2 3 3 3" xfId="8004"/>
    <cellStyle name="60% - 强调文字颜色 6 2 9 2" xfId="8005"/>
    <cellStyle name="20% - 强调文字颜色 5 2 2 2 2 3 3 2" xfId="8006"/>
    <cellStyle name="适中 2 2 2 2 2 3 2" xfId="8007"/>
    <cellStyle name="常规 3 2 3 4" xfId="8008"/>
    <cellStyle name="输出 2 4 4 4" xfId="8009"/>
    <cellStyle name="注释 2 2 7 5 2" xfId="8010"/>
    <cellStyle name="检查单元格 2 3 3 3" xfId="8011"/>
    <cellStyle name="40% - 强调文字颜色 4 2 2 2 6 2 2" xfId="8012"/>
    <cellStyle name="强调文字颜色 1 2 3 4 2" xfId="8013"/>
    <cellStyle name="输出 2 6 8" xfId="8014"/>
    <cellStyle name="超链接 3 4 3 2 2 2" xfId="8015"/>
    <cellStyle name="强调文字颜色 4 2 5" xfId="8016"/>
    <cellStyle name="输出 2 2 3 5 2 2 2 2" xfId="8017"/>
    <cellStyle name="输入 3 3 6 2" xfId="8018"/>
    <cellStyle name="适中 2 2 4 3 3 2" xfId="8019"/>
    <cellStyle name="注释 3 3 2 3" xfId="8020"/>
    <cellStyle name="汇总 2 2 4 3 11" xfId="8021"/>
    <cellStyle name="标题 2 2 3 4 2 2" xfId="8022"/>
    <cellStyle name="标题 2 2 3 3 2 2" xfId="8023"/>
    <cellStyle name="计算 2 2 5 2 2 2 8" xfId="8024"/>
    <cellStyle name="40% - 强调文字颜色 6 2 7 2 2 2" xfId="8025"/>
    <cellStyle name="百分比 2 2 2 4 3" xfId="8026"/>
    <cellStyle name="60% - 强调文字颜色 4 4 2 3" xfId="8027"/>
    <cellStyle name="标题 2 2 2 2 3 2 2 2" xfId="8028"/>
    <cellStyle name="计算 2 3 8 2" xfId="8029"/>
    <cellStyle name="40% - 强调文字颜色 4 2 3 3 3" xfId="8030"/>
    <cellStyle name="链接单元格 3 2 2 3 2" xfId="8031"/>
    <cellStyle name="输出 2 2 4 2 3 3" xfId="8032"/>
    <cellStyle name="20% - 强调文字颜色 5 3 6 2" xfId="8033"/>
    <cellStyle name="输入 2 2 4 2 4 2 3" xfId="8034"/>
    <cellStyle name="标题 4 3" xfId="8035"/>
    <cellStyle name="60% - 强调文字颜色 5 4 5" xfId="8036"/>
    <cellStyle name="标题 1 5 2 2 2 2" xfId="8037"/>
    <cellStyle name="输出 2 2 5 5 3" xfId="8038"/>
    <cellStyle name="20% - 强调文字颜色 5 2 2 6 2" xfId="8039"/>
    <cellStyle name="强调文字颜色 2 2 3 2 3 3" xfId="8040"/>
    <cellStyle name="无色 3" xfId="8041"/>
    <cellStyle name="输出 2 4 5 4" xfId="8042"/>
    <cellStyle name="注释 2 2 7 6 2" xfId="8043"/>
    <cellStyle name="计算 2 3 3 5 3" xfId="8044"/>
    <cellStyle name="常规 8 3 2 3 2 2" xfId="8045"/>
    <cellStyle name="常规 3 2 4 3" xfId="8046"/>
    <cellStyle name="计算 3 5 2 2" xfId="8047"/>
    <cellStyle name="百分比 2 4 2 2 3" xfId="8048"/>
    <cellStyle name="强调文字颜色 4 3 4 2" xfId="8049"/>
    <cellStyle name="汇总 2 6 2 6 2 2" xfId="8050"/>
    <cellStyle name="输入 2 3 3 6" xfId="8051"/>
    <cellStyle name="计算 5 4 2 2" xfId="8052"/>
    <cellStyle name="计算 2 5 2 5 3" xfId="8053"/>
    <cellStyle name="常规 8 3 4 2 2 2" xfId="8054"/>
    <cellStyle name="标题 3 3 2 4" xfId="8055"/>
    <cellStyle name="注释 2 7 6" xfId="8056"/>
    <cellStyle name="汇总 2 7 3 5 3" xfId="8057"/>
    <cellStyle name="计算 2 2 7 4 4" xfId="8058"/>
    <cellStyle name="好 2 2 2 2 6 2" xfId="8059"/>
    <cellStyle name="输出 2 5 2 2 9" xfId="8060"/>
    <cellStyle name="强调文字颜色 2 2 3 2 2 2" xfId="8061"/>
    <cellStyle name="输出 3 3 5 2" xfId="8062"/>
    <cellStyle name="汇总 2 2 6 3 4 2" xfId="8063"/>
    <cellStyle name="输出 2 5 11" xfId="8064"/>
    <cellStyle name="常规 3 2 3 2" xfId="8065"/>
    <cellStyle name="注释 2 6 5 5" xfId="8066"/>
    <cellStyle name="常规 2 2 2 2 2 5 2 2" xfId="8067"/>
    <cellStyle name="计算 2 4 2 8" xfId="8068"/>
    <cellStyle name="输入 2 4 4 2 2 2 2" xfId="8069"/>
    <cellStyle name="计算 2 4 3 3 4" xfId="8070"/>
    <cellStyle name="60% - 强调文字颜色 2 2 2 2 3 2 2 2" xfId="8071"/>
    <cellStyle name="60% - 强调文字颜色 6 4 2 2 2 3" xfId="8072"/>
    <cellStyle name="输入 2 2 4 2 11" xfId="8073"/>
    <cellStyle name="百分比 2 2 7" xfId="8074"/>
    <cellStyle name="强调文字颜色 1 2 2 2 3 2 2" xfId="8075"/>
    <cellStyle name="输入 2 7 5 2 2" xfId="8076"/>
    <cellStyle name="强调文字颜色 4 2 3 3 2 3" xfId="8077"/>
    <cellStyle name="输入 2 2 8 3 2 4" xfId="8078"/>
    <cellStyle name="20% - 强调文字颜色 1 2 4 3 2 2" xfId="8079"/>
    <cellStyle name="20% - 强调文字颜色 3 2 5 5 2" xfId="8080"/>
    <cellStyle name="常规 13 3 2 2" xfId="8081"/>
    <cellStyle name="40% - 强调文字颜色 1 2 6 3 2 2" xfId="8082"/>
    <cellStyle name="20% - 强调文字颜色 6 2 2 2 2 4" xfId="8083"/>
    <cellStyle name="20% - 强调文字颜色 5 4 2 4" xfId="8084"/>
    <cellStyle name="标题 4 2 2 2 4 3 2 2" xfId="8085"/>
    <cellStyle name="60% - 强调文字颜色 6 4 6" xfId="8086"/>
    <cellStyle name="40% - 强调文字颜色 6 3 2 4 2 2 2" xfId="8087"/>
    <cellStyle name="警告文本 2 2 7 2" xfId="8088"/>
    <cellStyle name="计算 2 2 2 2 8" xfId="8089"/>
    <cellStyle name="好 2 3 2 3 3 2" xfId="8090"/>
    <cellStyle name="计算 2 6 2 11" xfId="8091"/>
    <cellStyle name="60% - 强调文字颜色 6 5 3" xfId="8092"/>
    <cellStyle name="常规 10 2" xfId="8093"/>
    <cellStyle name="40% - 强调文字颜色 4 2 5 2" xfId="8094"/>
    <cellStyle name="60% - 强调文字颜色 6 2 4 4 2 3" xfId="8095"/>
    <cellStyle name="输出 2 2 4 4 3 2 2" xfId="8096"/>
    <cellStyle name="输出 2 2 4 2 2 9" xfId="8097"/>
    <cellStyle name="60% - 强调文字颜色 1 2 2 3 2" xfId="8098"/>
    <cellStyle name="注释 2 2 16" xfId="8099"/>
    <cellStyle name="40% - 强调文字颜色 4 2 2 6 3" xfId="8100"/>
    <cellStyle name="输出 2 2 5 2 2 7" xfId="8101"/>
    <cellStyle name="40% - 强调文字颜色 5 2 3 3 2 2" xfId="8102"/>
    <cellStyle name="解释性文本 2 2 8" xfId="8103"/>
    <cellStyle name="Normal 3 2 3" xfId="8104"/>
    <cellStyle name="20% - 强调文字颜色 1 3 2 2 3 2 2 2" xfId="8105"/>
    <cellStyle name="强调文字颜色 5 2 2 3 2 2" xfId="8106"/>
    <cellStyle name="20% - 强调文字颜色 3 2 2 2 2 2 4" xfId="8107"/>
    <cellStyle name="强调文字颜色 5 2 6" xfId="8108"/>
    <cellStyle name="差 2 4 3 3" xfId="8109"/>
    <cellStyle name="差 3 2 6" xfId="8110"/>
    <cellStyle name="输出 6 3" xfId="8111"/>
    <cellStyle name="60% - 强调文字颜色 3 2 3 3 2 2 2 2" xfId="8112"/>
    <cellStyle name="20% - 强调文字颜色 3 2 2 2 3 4" xfId="8113"/>
    <cellStyle name="计算 2 2 8 8" xfId="8114"/>
    <cellStyle name="标题 3 4 6" xfId="8115"/>
    <cellStyle name="60% - 强调文字颜色 1 4 4 2 2 2" xfId="8116"/>
    <cellStyle name="注释 3 2 2 2 2 2" xfId="8117"/>
    <cellStyle name="汇总 2 2 4 6 2" xfId="8118"/>
    <cellStyle name="解释性文本 2 3 4 2 3" xfId="8119"/>
    <cellStyle name="注释 3 5 3" xfId="8120"/>
    <cellStyle name="超链接 2 3 9" xfId="8121"/>
    <cellStyle name="常规 6 3 4 3 2" xfId="8122"/>
    <cellStyle name="20% - 强调文字颜色 5 2 2 4 4" xfId="8123"/>
    <cellStyle name="汇总 2 5 4 3 2 2" xfId="8124"/>
    <cellStyle name="输出 2 2 5 3 5" xfId="8125"/>
    <cellStyle name="强调文字颜色 6 2 2 3 5 2 2" xfId="8126"/>
    <cellStyle name="计算 2 2 5 4 3 2" xfId="8127"/>
    <cellStyle name="计算 2 2 8 3 2 3" xfId="8128"/>
    <cellStyle name="输入 2 2 2 4 3 3" xfId="8129"/>
    <cellStyle name="标题 3 3 5" xfId="8130"/>
    <cellStyle name="强调文字颜色 4 2 4 4 3" xfId="8131"/>
    <cellStyle name="输入 2 2 3 8 3" xfId="8132"/>
    <cellStyle name="强调文字颜色 1 2 5 3" xfId="8133"/>
    <cellStyle name="输入 2 5 2 3 2 3 2" xfId="8134"/>
    <cellStyle name="常规 5 2 2 2 6" xfId="8135"/>
    <cellStyle name="常规 13 2 2 2 4" xfId="8136"/>
    <cellStyle name="40% - 强调文字颜色 6 2 2 2 2 2 4 2 2 2" xfId="8137"/>
    <cellStyle name="60% - 强调文字颜色 3 2 2 2 2 4 3 2" xfId="8138"/>
    <cellStyle name="常规 3 3 6 3 2" xfId="8139"/>
    <cellStyle name="链接单元格 2 3 2 2 3" xfId="8140"/>
    <cellStyle name="标题 5 2 2 7" xfId="8141"/>
    <cellStyle name="常规 5 2 3 6 2" xfId="8142"/>
    <cellStyle name="输入 2 2 9 3" xfId="8143"/>
    <cellStyle name="60% - 强调文字颜色 4 3 5 2" xfId="8144"/>
    <cellStyle name="20% - 强调文字颜色 1 2 4 3" xfId="8145"/>
    <cellStyle name="强调文字颜色 5 2 5 3 2 2" xfId="8146"/>
    <cellStyle name="20% - 强调文字颜色 3 2 2 2 2 2 3 3 2 2" xfId="8147"/>
    <cellStyle name="差 2 3 2 3 2 2 2" xfId="8148"/>
    <cellStyle name="注释 2 2 2 3 2" xfId="8149"/>
    <cellStyle name="注释 9" xfId="8150"/>
    <cellStyle name="常规 3 3 4" xfId="8151"/>
    <cellStyle name="40% - 强调文字颜色 5 3 2 2 2" xfId="8152"/>
    <cellStyle name="输入 2 2 8 8 2" xfId="8153"/>
    <cellStyle name="计算 2 2 3 4 4 2 2" xfId="8154"/>
    <cellStyle name="20% - 强调文字颜色 4 2 2 3 2 2 2 2 2" xfId="8155"/>
    <cellStyle name="输入 2 5 2 2 3 2 3" xfId="8156"/>
    <cellStyle name="适中 2 12" xfId="8157"/>
    <cellStyle name="注释 2 5 5 3" xfId="8158"/>
    <cellStyle name="40% - 强调文字颜色 2 2 4 3 2" xfId="8159"/>
    <cellStyle name="强调文字颜色 4 2 2 3 3 4" xfId="8160"/>
    <cellStyle name="汇总 2 3 2 2 2 3 2" xfId="8161"/>
    <cellStyle name="汇总 4 3 3" xfId="8162"/>
    <cellStyle name="60% - 强调文字颜色 4 2 2 4 2 3 2" xfId="8163"/>
    <cellStyle name="注释 2 2 6 6" xfId="8164"/>
    <cellStyle name="计算 2 2 6 6 3 2" xfId="8165"/>
    <cellStyle name="标题 4 2 2 2 2 4 2 3" xfId="8166"/>
    <cellStyle name="标题 3 2 6 2 2" xfId="8167"/>
    <cellStyle name="超链接 2 4 3 2 2 2" xfId="8168"/>
    <cellStyle name="计算 2 2 5 6 2 2" xfId="8169"/>
    <cellStyle name="输入 2 5 2 3 6" xfId="8170"/>
    <cellStyle name="汇总 2 2 9 2 4 2" xfId="8171"/>
    <cellStyle name="强调文字颜色 4 2 4 2 2 2 2" xfId="8172"/>
    <cellStyle name="60% - 强调文字颜色 3 2 2 4 3 2 2" xfId="8173"/>
    <cellStyle name="输入 2 2 4 5 4 2" xfId="8174"/>
    <cellStyle name="计算 2 5 3 2 2 2 3" xfId="8175"/>
    <cellStyle name="百分比 2 2 5 2" xfId="8176"/>
    <cellStyle name="百分比 2 2 5 3" xfId="8177"/>
    <cellStyle name="60% - 强调文字颜色 6 3 3 3 2 2 2" xfId="8178"/>
    <cellStyle name="强调文字颜色 4 2 2 3 9" xfId="8179"/>
    <cellStyle name="输入 2 2 2 7 2 2" xfId="8180"/>
    <cellStyle name="标题 5 8 3" xfId="8181"/>
    <cellStyle name="汇总 2 2 8 4 5" xfId="8182"/>
    <cellStyle name="常规 11 3 2 2 2" xfId="8183"/>
    <cellStyle name="标题 5 3 2 3 3 2 2" xfId="8184"/>
    <cellStyle name="检查单元格 2 2 2 3 6" xfId="8185"/>
    <cellStyle name="汇总 2 9 6" xfId="8186"/>
    <cellStyle name="强调文字颜色 6 2 4 8" xfId="8187"/>
    <cellStyle name="计算 2 6 3 2 2 2" xfId="8188"/>
    <cellStyle name="百分比 2 3 4" xfId="8189"/>
    <cellStyle name="标题 1 2 2 6 3" xfId="8190"/>
    <cellStyle name="汇总 2 3 3 2 2 3" xfId="8191"/>
    <cellStyle name="60% - 强调文字颜色 1 2 4 3 2" xfId="8192"/>
    <cellStyle name="注释 5 2 2 2" xfId="8193"/>
    <cellStyle name="计算 2 2 2 3 3 3 2" xfId="8194"/>
    <cellStyle name="计算 2 2 5 3 6 2" xfId="8195"/>
    <cellStyle name="60% - 强调文字颜色 3 3 3 2" xfId="8196"/>
    <cellStyle name="60% - 强调文字颜色 2 2 2 4 4 2 2" xfId="8197"/>
    <cellStyle name="输出 2 2 4 2 9" xfId="8198"/>
    <cellStyle name="20% - 强调文字颜色 6 2 2 2 2 2 2" xfId="8199"/>
    <cellStyle name="20% - 强调文字颜色 4 2 4" xfId="8200"/>
    <cellStyle name="60% - 强调文字颜色 4 2 2 4 3 3 2" xfId="8201"/>
    <cellStyle name="标题 2 2 4 8" xfId="8202"/>
    <cellStyle name="汇总 5 3 3" xfId="8203"/>
    <cellStyle name="汇总 2 3 2 2 3 3 2" xfId="8204"/>
    <cellStyle name="60% - 强调文字颜色 4 2 2 3 4" xfId="8205"/>
    <cellStyle name="输入 6 3" xfId="8206"/>
    <cellStyle name="输入 2 2 3 2 3 5" xfId="8207"/>
    <cellStyle name="常规 5 2 2 3 3 4" xfId="8208"/>
    <cellStyle name="超链接 3 2 4 3" xfId="8209"/>
    <cellStyle name="计算 2 10 2 2" xfId="8210"/>
    <cellStyle name="常规 5 3 4 2" xfId="8211"/>
    <cellStyle name="60% - 强调文字颜色 6 2 2 2 3 3 3" xfId="8212"/>
    <cellStyle name="注释 2 2 6 2 5" xfId="8213"/>
    <cellStyle name="60% - 强调文字颜色 3 2 2 3 3 2 2 2" xfId="8214"/>
    <cellStyle name="超链接 2 2 2 2 3 2" xfId="8215"/>
    <cellStyle name="好 2 2 6 3 3" xfId="8216"/>
    <cellStyle name="汇总 2 5 3 2 2" xfId="8217"/>
    <cellStyle name="Normal 5 2" xfId="8218"/>
    <cellStyle name="强调文字颜色 4 2 3 3 2 2" xfId="8219"/>
    <cellStyle name="标题 2 2 3 2 3 2 3" xfId="8220"/>
    <cellStyle name="20% - 强调文字颜色 1 2 4 3 3" xfId="8221"/>
    <cellStyle name="注释 2 2 2 3 2 3" xfId="8222"/>
    <cellStyle name="强调文字颜色 4 2 4 3 2 2 2" xfId="8223"/>
    <cellStyle name="强调文字颜色 5 2 2 2 3 3 2" xfId="8224"/>
    <cellStyle name="好 2 3 4 4" xfId="8225"/>
    <cellStyle name="警告文本 2 3 2 2 2 3" xfId="8226"/>
    <cellStyle name="差 2 2 2 3 3 3" xfId="8227"/>
    <cellStyle name="标题 2 2 4" xfId="8228"/>
    <cellStyle name="适中 2 4 3 2" xfId="8229"/>
    <cellStyle name="输出 4 4 2 2" xfId="8230"/>
    <cellStyle name="输入 2 3 13" xfId="8231"/>
    <cellStyle name="40% - 强调文字颜色 2 2 2 4 3 3 2" xfId="8232"/>
    <cellStyle name="百分比 2 3 2 4" xfId="8233"/>
    <cellStyle name="60% - 强调文字颜色 6 2 2 5 3 3" xfId="8234"/>
    <cellStyle name="汇总 2 2 2 3 2 2 2 2" xfId="8235"/>
    <cellStyle name="汇总 2 2 10 3 2" xfId="8236"/>
    <cellStyle name="40% - 强调文字颜色 3 2 2 3 2 2 2" xfId="8237"/>
    <cellStyle name="输出 2 9 6" xfId="8238"/>
    <cellStyle name="40% - 强调文字颜色 5 2 6 3 2" xfId="8239"/>
    <cellStyle name="注释 2 2 2 4 3 2 2" xfId="8240"/>
    <cellStyle name="40% - 强调文字颜色 5 2 3 3 2 2 2" xfId="8241"/>
    <cellStyle name="计算 2 5 4 2 3" xfId="8242"/>
    <cellStyle name="20% - 强调文字颜色 2 3 2 5 2" xfId="8243"/>
    <cellStyle name="强调文字颜色 5 2 2 3 3 4" xfId="8244"/>
    <cellStyle name="20% - 强调文字颜色 6 2 2 3 4 2 2 2" xfId="8245"/>
    <cellStyle name="汇总 2 6 2 2 2" xfId="8246"/>
    <cellStyle name="输入 5 2 3 2" xfId="8247"/>
    <cellStyle name="输入 2 4" xfId="8248"/>
    <cellStyle name="计算 2 5 2 12" xfId="8249"/>
    <cellStyle name="常规 4 2 4 4 2" xfId="8250"/>
    <cellStyle name="输出 5 2 2 2 2" xfId="8251"/>
    <cellStyle name="输出 3 6" xfId="8252"/>
    <cellStyle name="百分比 2 3 5 3" xfId="8253"/>
    <cellStyle name="60% - 强调文字颜色 4 2 8 2" xfId="8254"/>
    <cellStyle name="百分比 2 4 3 3" xfId="8255"/>
    <cellStyle name="60% - 强调文字颜色 5 4 2 3" xfId="8256"/>
    <cellStyle name="标题 2 2 2 2 4 2 2 2" xfId="8257"/>
    <cellStyle name="20% - 强调文字颜色 1 4 3 2 2 2" xfId="8258"/>
    <cellStyle name="计算 2 5 2 3 10" xfId="8259"/>
    <cellStyle name="常规 11 3 2 3 2" xfId="8260"/>
    <cellStyle name="常规 15 2 2 2" xfId="8261"/>
    <cellStyle name="汇总 4 6" xfId="8262"/>
    <cellStyle name="注释 2 2 2 4 2 2 3" xfId="8263"/>
    <cellStyle name="40% - 强调文字颜色 5 2 5 3 3" xfId="8264"/>
    <cellStyle name="百分比 2 8" xfId="8265"/>
    <cellStyle name="计算 2 5 5 2 3 3" xfId="8266"/>
    <cellStyle name="输入 2 5 3 4" xfId="8267"/>
    <cellStyle name="汇总 2 7 6 5" xfId="8268"/>
    <cellStyle name="注释 2 2 2 2 2 4 2 2" xfId="8269"/>
    <cellStyle name="常规 16 5" xfId="8270"/>
    <cellStyle name="输出 2 2 10 5" xfId="8271"/>
    <cellStyle name="标题 1 2 2 2 2 2 4" xfId="8272"/>
    <cellStyle name="汇总 2 3 5 2 2 2" xfId="8273"/>
    <cellStyle name="标题 1 2 2 2 2 3 3 2" xfId="8274"/>
    <cellStyle name="20% - 强调文字颜色 5 4 5 2" xfId="8275"/>
    <cellStyle name="20% - 强调文字颜色 6 2 2 2 5 2" xfId="8276"/>
    <cellStyle name="输入 2 4 4 2 4" xfId="8277"/>
    <cellStyle name="汇总 2 9 6 2 2" xfId="8278"/>
    <cellStyle name="20% - 强调文字颜色 4 2 4 2 2" xfId="8279"/>
    <cellStyle name="60% - 强调文字颜色 6 2 2 3 2 2 2 2 2" xfId="8280"/>
    <cellStyle name="60% - 强调文字颜色 4 2 6 2" xfId="8281"/>
    <cellStyle name="强调文字颜色 5 3 8" xfId="8282"/>
    <cellStyle name="60% - 强调文字颜色 6 2 2 6 2 2" xfId="8283"/>
    <cellStyle name="输入 2 3 2 8 2" xfId="8284"/>
    <cellStyle name="20% - 强调文字颜色 2 2 2 2 2 2 3 3 2" xfId="8285"/>
    <cellStyle name="20% - 强调文字颜色 6 2 2 3 5 2 2" xfId="8286"/>
    <cellStyle name="标题 4 2 11" xfId="8287"/>
    <cellStyle name="强调文字颜色 1 2 2 4 6" xfId="8288"/>
    <cellStyle name="标题 3 6 3" xfId="8289"/>
    <cellStyle name="输入 2 9 8" xfId="8290"/>
    <cellStyle name="输入 2 5 8 2" xfId="8291"/>
    <cellStyle name="60% - 强调文字颜色 6 2 10" xfId="8292"/>
    <cellStyle name="标题 3 2 3 2" xfId="8293"/>
    <cellStyle name="计算 2 2 6 5 2" xfId="8294"/>
    <cellStyle name="汇总 4 2 3 2" xfId="8295"/>
    <cellStyle name="汇总 2 3 2 2 2 2 2 2" xfId="8296"/>
    <cellStyle name="输出 2 2 2 3 6" xfId="8297"/>
    <cellStyle name="60% - 强调文字颜色 3 3 2 3 2" xfId="8298"/>
    <cellStyle name="强调文字颜色 1 2 4 5 2 2" xfId="8299"/>
    <cellStyle name="注释 4 2 3 2 2" xfId="8300"/>
    <cellStyle name="20% - 强调文字颜色 1 2 2 2 3" xfId="8301"/>
    <cellStyle name="20% - 强调文字颜色 5 2 4 2 2 2 2 2" xfId="8302"/>
    <cellStyle name="汇总 3 8 2 2" xfId="8303"/>
    <cellStyle name="40% - 强调文字颜色 5 3 5 2 2" xfId="8304"/>
    <cellStyle name="常规 10 2 3 5 3" xfId="8305"/>
    <cellStyle name="常规 6 3 4" xfId="8306"/>
    <cellStyle name="计算 2 2 8 4 6" xfId="8307"/>
    <cellStyle name="常规 5 4 4 4" xfId="8308"/>
    <cellStyle name="60% - 强调文字颜色 6 4 3" xfId="8309"/>
    <cellStyle name="60% - 强调文字颜色 1 2 2 3 7" xfId="8310"/>
    <cellStyle name="40% - 强调文字颜色 2 2 2 4 5" xfId="8311"/>
    <cellStyle name="注释 2 5 10" xfId="8312"/>
    <cellStyle name="60% - 强调文字颜色 5 2 2 2 3 2 2" xfId="8313"/>
    <cellStyle name="20% - 强调文字颜色 3 2 6" xfId="8314"/>
    <cellStyle name="汇总 2 10 6" xfId="8315"/>
    <cellStyle name="60% - 强调文字颜色 5 2 2 6" xfId="8316"/>
    <cellStyle name="输出 2 5 2 12" xfId="8317"/>
    <cellStyle name="60% - 强调文字颜色 4 2 2 4 2 2 2 2" xfId="8318"/>
    <cellStyle name="输出 2 8 3" xfId="8319"/>
    <cellStyle name="注释 2 6 3 2 2 2" xfId="8320"/>
    <cellStyle name="常规 2 2 2 7" xfId="8321"/>
    <cellStyle name="20% - 强调文字颜色 5 3 3 3 2" xfId="8322"/>
    <cellStyle name="输出 2 5 2 3 4" xfId="8323"/>
    <cellStyle name="标题 5 2 6 4" xfId="8324"/>
    <cellStyle name="常规 2 4 5 2" xfId="8325"/>
    <cellStyle name="计算 2 2 2 2 4" xfId="8326"/>
    <cellStyle name="常规 3 2 2 2 2" xfId="8327"/>
    <cellStyle name="标题 1 2 2 2 6" xfId="8328"/>
    <cellStyle name="强调文字颜色 1 2 2 3" xfId="8329"/>
    <cellStyle name="60% - 强调文字颜色 1 2 2 2 4 2" xfId="8330"/>
    <cellStyle name="标题 4 4 4 2 3" xfId="8331"/>
    <cellStyle name="强调文字颜色 5 2 4 3 4" xfId="8332"/>
    <cellStyle name="20% - 强调文字颜色 2 4 3 2 2 2" xfId="8333"/>
    <cellStyle name="输出 3 3 4 2 2" xfId="8334"/>
    <cellStyle name="计算 2 3 2 10" xfId="8335"/>
    <cellStyle name="40% - 强调文字颜色 6 3 5 2" xfId="8336"/>
    <cellStyle name="60% - 强调文字颜色 2 2 3 2 2 2 2 2 2" xfId="8337"/>
    <cellStyle name="60% - 强调文字颜色 3 2 4 2 2 2 2 2" xfId="8338"/>
    <cellStyle name="汇总 2 5 2 3 3 3" xfId="8339"/>
    <cellStyle name="百分比 2 2 2 3 2 2 3" xfId="8340"/>
    <cellStyle name="链接单元格 3 4 2" xfId="8341"/>
    <cellStyle name="60% - 强调文字颜色 6 4 4 3" xfId="8342"/>
    <cellStyle name="强调文字颜色 3 2 2 3 3 2" xfId="8343"/>
    <cellStyle name="标题 2 4 2 2 2 2" xfId="8344"/>
    <cellStyle name="差 2 2 6" xfId="8345"/>
    <cellStyle name="标题 2 2 3 3 2 2 2 2 2" xfId="8346"/>
    <cellStyle name="计算 2 4 2 4 4" xfId="8347"/>
    <cellStyle name="20% - 强调文字颜色 3 2 3 2 2 2 2" xfId="8348"/>
    <cellStyle name="适中 2 2 2 2 4 2 2 2" xfId="8349"/>
    <cellStyle name="解释性文本 2 3 2 4 2 2 2" xfId="8350"/>
    <cellStyle name="输入 2 2 4 3 2 2 2 2" xfId="8351"/>
    <cellStyle name="20% - 强调文字颜色 1 2 2 2 4 3 2" xfId="8352"/>
    <cellStyle name="标题 4 2 3 2 3 2 2 2" xfId="8353"/>
    <cellStyle name="60% - 强调文字颜色 6 2 2 2 2 4 2 2" xfId="8354"/>
    <cellStyle name="输入 2 4 4 7" xfId="8355"/>
    <cellStyle name="输入 2 5 2 3 5 2 2" xfId="8356"/>
    <cellStyle name="计算 2 2 4 2 5 7" xfId="8357"/>
    <cellStyle name="20% - 强调文字颜色 6 2 3 2 2 4" xfId="8358"/>
    <cellStyle name="20% - 强调文字颜色 6 4 2 4" xfId="8359"/>
    <cellStyle name="计算 2 2 2 2 2 2 7" xfId="8360"/>
    <cellStyle name="40% - 强调文字颜色 1 2 7 3 2 2" xfId="8361"/>
    <cellStyle name="汇总 2 2 5 2 2 6" xfId="8362"/>
    <cellStyle name="常规 4 3 3 2 2 2" xfId="8363"/>
    <cellStyle name="汇总 2 2 7 5 3" xfId="8364"/>
    <cellStyle name="汇总 2 2 4 3 3 2 2 2" xfId="8365"/>
    <cellStyle name="强调文字颜色 6 2 2 3 2 2 2 2 2" xfId="8366"/>
    <cellStyle name="好 2 2 2 2 2 3" xfId="8367"/>
    <cellStyle name="常规 14 3 2 2" xfId="8368"/>
    <cellStyle name="计算 2 9 2 4 3" xfId="8369"/>
    <cellStyle name="汇总 2 2 6 3 4" xfId="8370"/>
    <cellStyle name="解释性文本 4 9" xfId="8371"/>
    <cellStyle name="汇总 2 3 2 7 2 2" xfId="8372"/>
    <cellStyle name="强调文字颜色 4 2 2 3 3 2 3" xfId="8373"/>
    <cellStyle name="常规 4 3 3" xfId="8374"/>
    <cellStyle name="计算 2 2 2 6" xfId="8375"/>
    <cellStyle name="汇总 2 3 6 3 2" xfId="8376"/>
    <cellStyle name="20% - 强调文字颜色 6 2 3 3 5" xfId="8377"/>
    <cellStyle name="40% - 强调文字颜色 4 2 2 5 3 2 2" xfId="8378"/>
    <cellStyle name="计算 2 8 2 2 7" xfId="8379"/>
    <cellStyle name="计算 2 7 8 3" xfId="8380"/>
    <cellStyle name="40% - 强调文字颜色 4 2 4 4 3 2" xfId="8381"/>
    <cellStyle name="注释 3 3 2 2 3" xfId="8382"/>
    <cellStyle name="输入 2 2 3 3 2" xfId="8383"/>
    <cellStyle name="注释 3 10" xfId="8384"/>
    <cellStyle name="注释 2 2 4 2 4" xfId="8385"/>
    <cellStyle name="输入 2 6 2 2 2 4" xfId="8386"/>
    <cellStyle name="40% - 强调文字颜色 1 2 3 3 2 2 2 2 2" xfId="8387"/>
    <cellStyle name="输入 2 3 4 2 2 2 2" xfId="8388"/>
    <cellStyle name="汇总 2 2 3 2 3 2 2" xfId="8389"/>
    <cellStyle name="常规 12 3 3 3 3" xfId="8390"/>
    <cellStyle name="计算 2 2 2 8 3" xfId="8391"/>
    <cellStyle name="差 2 2 4 2 2 2 2" xfId="8392"/>
    <cellStyle name="20% - 强调文字颜色 1 2 2 2 3 5" xfId="8393"/>
    <cellStyle name="常规 5 4 3 2 2 2" xfId="8394"/>
    <cellStyle name="注释 2 2 5 2 2 2 3" xfId="8395"/>
    <cellStyle name="输出 2 2 4 7 2" xfId="8396"/>
    <cellStyle name="汇总 2 2 4 2 2 2 2 3 2" xfId="8397"/>
    <cellStyle name="注释 2 2 5 8" xfId="8398"/>
    <cellStyle name="计算 2 2 4 2 3 2 4 2" xfId="8399"/>
    <cellStyle name="汇总 2 3 2 4 2 2" xfId="8400"/>
    <cellStyle name="20% - 强调文字颜色 3 2 3 2 3 3" xfId="8401"/>
    <cellStyle name="标题 1 2 3 5" xfId="8402"/>
    <cellStyle name="常规 9 3 4 3" xfId="8403"/>
    <cellStyle name="输出 2 4 3 3 2" xfId="8404"/>
    <cellStyle name="标题 2 2 2 2 2 3 2 2" xfId="8405"/>
    <cellStyle name="适中 3 2 5 2 2" xfId="8406"/>
    <cellStyle name="注释 2 4 7 2 2" xfId="8407"/>
    <cellStyle name="适中 2 4 2 4" xfId="8408"/>
    <cellStyle name="计算 2 2 4 2 4 8" xfId="8409"/>
    <cellStyle name="标题 1 2 2 2 3 3 3" xfId="8410"/>
    <cellStyle name="汇总 2 3 6 2 2" xfId="8411"/>
    <cellStyle name="20% - 强调文字颜色 6 4 5" xfId="8412"/>
    <cellStyle name="20% - 强调文字颜色 6 2 3 2 5" xfId="8413"/>
    <cellStyle name="强调文字颜色 4 2 2 4 3 2 2" xfId="8414"/>
    <cellStyle name="标题 3 4 2 3 2 2 2" xfId="8415"/>
    <cellStyle name="标题 1 2 2 2 2 4 3" xfId="8416"/>
    <cellStyle name="20% - 强调文字颜色 6 3 2 5" xfId="8417"/>
    <cellStyle name="汇总 2 2 6 5 4" xfId="8418"/>
    <cellStyle name="标题 4 2 2 2 5 2 2 3" xfId="8419"/>
    <cellStyle name="常规 5 2 3 6 2 2" xfId="8420"/>
    <cellStyle name="输入 2 2 4 5 2 3" xfId="8421"/>
    <cellStyle name="标题 1 2 2 2 3" xfId="8422"/>
    <cellStyle name="20% - 强调文字颜色 2 2 2 7" xfId="8423"/>
    <cellStyle name="标题 3 2 2 2 2 3 2 3" xfId="8424"/>
    <cellStyle name="60% - 强调文字颜色 1 2 2 4 2 2 2" xfId="8425"/>
    <cellStyle name="链接单元格 2 3 2 5 2" xfId="8426"/>
    <cellStyle name="60% - 强调文字颜色 6 2 2 3 4 3 2" xfId="8427"/>
    <cellStyle name="常规 2 2 2 2 2 3" xfId="8428"/>
    <cellStyle name="输出 2 3 4 2 2 3" xfId="8429"/>
    <cellStyle name="计算 2 2 7 2 3" xfId="8430"/>
    <cellStyle name="强调文字颜色 6 2 2 5 3 2" xfId="8431"/>
    <cellStyle name="汇总 2 7 3 3 2" xfId="8432"/>
    <cellStyle name="40% - 强调文字颜色 1 5 2" xfId="8433"/>
    <cellStyle name="60% - 强调文字颜色 5 6 2 2" xfId="8434"/>
    <cellStyle name="40% - 强调文字颜色 1 2 2 2 3 2 2 2" xfId="8435"/>
    <cellStyle name="汇总 2 5 2 2 6 3" xfId="8436"/>
    <cellStyle name="常规 5 2 2 4 4" xfId="8437"/>
    <cellStyle name="40% - 强调文字颜色 1 3 5 2 2 2" xfId="8438"/>
    <cellStyle name="20% - 强调文字颜色 6 2 2 2 4 3" xfId="8439"/>
    <cellStyle name="汇总 2 2 4 2 2 2 5 2 2" xfId="8440"/>
    <cellStyle name="标题 1 2 2 2 2 3 2 3" xfId="8441"/>
    <cellStyle name="汇总 2 5 3 3 3 2 2" xfId="8442"/>
    <cellStyle name="输出 2 2 4 7" xfId="8443"/>
    <cellStyle name="注释 2 2 5 5 5" xfId="8444"/>
    <cellStyle name="汇总 2 5 2 6 2 2 2" xfId="8445"/>
    <cellStyle name="常规 19 3" xfId="8446"/>
    <cellStyle name="标题 1 2 2 2 3 6" xfId="8447"/>
    <cellStyle name="60% - 强调文字颜色 4 2 2 3 5 2 2" xfId="8448"/>
    <cellStyle name="差 4 2 3 2" xfId="8449"/>
    <cellStyle name="常规 5 2 3 2 2 2 2" xfId="8450"/>
    <cellStyle name="40% - 强调文字颜色 5 2 3 2 2 4 2 2 2" xfId="8451"/>
    <cellStyle name="计算 2 2 6 17" xfId="8452"/>
    <cellStyle name="常规 5 4 3 4 2 2" xfId="8453"/>
    <cellStyle name="40% - 强调文字颜色 1 2 2 2 2 2 2 2 2" xfId="8454"/>
    <cellStyle name="60% - 强调文字颜色 6 3 3 2 2" xfId="8455"/>
    <cellStyle name="输出 2 2 6 7 2" xfId="8456"/>
    <cellStyle name="计算 2 4 2 6 2" xfId="8457"/>
    <cellStyle name="计算 3 12" xfId="8458"/>
    <cellStyle name="40% - 强调文字颜色 1 2 2 3 4" xfId="8459"/>
    <cellStyle name="警告文本 2 2 3 4 2 3" xfId="8460"/>
    <cellStyle name="标题 4 4 3 2 2 2" xfId="8461"/>
    <cellStyle name="强调文字颜色 5 2 3 3 3 2" xfId="8462"/>
    <cellStyle name="计算 2 5 3 2 3 2 2" xfId="8463"/>
    <cellStyle name="60% - 强调文字颜色 1 2 3 4 3 2" xfId="8464"/>
    <cellStyle name="60% - 强调文字颜色 5 2 2 2 2 2" xfId="8465"/>
    <cellStyle name="警告文本 2 2 3 4 4" xfId="8466"/>
    <cellStyle name="输入 2 2 5 3 2 2" xfId="8467"/>
    <cellStyle name="标题 4 2 5 2 3" xfId="8468"/>
    <cellStyle name="注释 2 2 3 2 2 2 3 2" xfId="8469"/>
    <cellStyle name="输出 3 2 5" xfId="8470"/>
    <cellStyle name="标题 1 2 2 2 4 2 2 2" xfId="8471"/>
    <cellStyle name="汇总 2 5 3 3 4 3" xfId="8472"/>
    <cellStyle name="汇总 2 2 4 2 5 3 2" xfId="8473"/>
    <cellStyle name="百分比 2 2 4 3" xfId="8474"/>
    <cellStyle name="60% - 强调文字颜色 6 2 2 4 5 2" xfId="8475"/>
    <cellStyle name="标题 1 2 2 2 4 2 2 3" xfId="8476"/>
    <cellStyle name="输出 3 2 6" xfId="8477"/>
    <cellStyle name="链接单元格 2 3 4 2 2" xfId="8478"/>
    <cellStyle name="汇总 2 5 2 2 2 5 2 2" xfId="8479"/>
    <cellStyle name="60% - 强调文字颜色 6 2 2 2 5 2" xfId="8480"/>
    <cellStyle name="计算 2 2 4 4 3 5" xfId="8481"/>
    <cellStyle name="汇总 2 2 4 2 3 3 2" xfId="8482"/>
    <cellStyle name="百分比 2 2 4 4" xfId="8483"/>
    <cellStyle name="警告文本 2 2 3 2 2 2 2" xfId="8484"/>
    <cellStyle name="60% - 强调文字颜色 6 2 2 4 5 3" xfId="8485"/>
    <cellStyle name="汇总 2 2 4 2 5 3 3" xfId="8486"/>
    <cellStyle name="计算 2 8 4" xfId="8487"/>
    <cellStyle name="标题 1 2 2 2 4 3 2 2" xfId="8488"/>
    <cellStyle name="输出 4 2 5" xfId="8489"/>
    <cellStyle name="适中 2 2 6" xfId="8490"/>
    <cellStyle name="输入 2 5 3 8" xfId="8491"/>
    <cellStyle name="汇总 2 2 4 2 6 3 2" xfId="8492"/>
    <cellStyle name="20% - 强调文字颜色 5 2 4 4" xfId="8493"/>
    <cellStyle name="注释 2 6 2 3 3" xfId="8494"/>
    <cellStyle name="解释性文本 2 2 7 2" xfId="8495"/>
    <cellStyle name="Normal 3 2 2 2" xfId="8496"/>
    <cellStyle name="汇总 2 2 6 6 5" xfId="8497"/>
    <cellStyle name="40% - 强调文字颜色 1 2 4 3 2 2 2" xfId="8498"/>
    <cellStyle name="40% - 强调文字颜色 2 3 2 3 2 2" xfId="8499"/>
    <cellStyle name="差 3 2 4 2 3" xfId="8500"/>
    <cellStyle name="解释性文本 2 2 2" xfId="8501"/>
    <cellStyle name="标题 3 2 2 3 2 2 3" xfId="8502"/>
    <cellStyle name="60% - 强调文字颜色 2 2 2 6 2" xfId="8503"/>
    <cellStyle name="输入 2 2 8 3 4" xfId="8504"/>
    <cellStyle name="输入 2 2 4 2 6 2" xfId="8505"/>
    <cellStyle name="40% - 强调文字颜色 4 4 4 2" xfId="8506"/>
    <cellStyle name="20% - 强调文字颜色 6 2 2 2 2 5 2" xfId="8507"/>
    <cellStyle name="常规 5 2 2 5" xfId="8508"/>
    <cellStyle name="60% - 强调文字颜色 4 2 4" xfId="8509"/>
    <cellStyle name="解释性文本 2 3 2 2 4" xfId="8510"/>
    <cellStyle name="输入 2 5 5 2" xfId="8511"/>
    <cellStyle name="常规 7 3 5" xfId="8512"/>
    <cellStyle name="40% - 强调文字颜色 5 2 2 2 2 2 5 2" xfId="8513"/>
    <cellStyle name="计算 2 2 4 3 6 2" xfId="8514"/>
    <cellStyle name="计算 2 2 2 2 3 3 2" xfId="8515"/>
    <cellStyle name="汇总 2 6 5 2 3" xfId="8516"/>
    <cellStyle name="40% - 强调文字颜色 3 2 2 2 2 2 4" xfId="8517"/>
    <cellStyle name="常规 3 2 4 3 4 2" xfId="8518"/>
    <cellStyle name="标题 5 2 2 2 8" xfId="8519"/>
    <cellStyle name="差 2 2 2 2 5 2" xfId="8520"/>
    <cellStyle name="常规 11 3 5 2 2" xfId="8521"/>
    <cellStyle name="计算 2 7 2 8" xfId="8522"/>
    <cellStyle name="强调文字颜色 5 2 4 4 2 2" xfId="8523"/>
    <cellStyle name="检查单元格 3 8" xfId="8524"/>
    <cellStyle name="40% - 强调文字颜色 6 2 5 4 2" xfId="8525"/>
    <cellStyle name="注释 2 2 3 4 2 3 2" xfId="8526"/>
    <cellStyle name="60% - 强调文字颜色 2 2 2 2 2 5 2 2" xfId="8527"/>
    <cellStyle name="汇总 2 8 2 4 3" xfId="8528"/>
    <cellStyle name="60% - 强调文字颜色 2 2 6 3 2 2" xfId="8529"/>
    <cellStyle name="常规 5 2 5 6" xfId="8530"/>
    <cellStyle name="40% - 强调文字颜色 3 2 2 2 2 2 5" xfId="8531"/>
    <cellStyle name="计算 2 2 3 2 2 3 2 2 2" xfId="8532"/>
    <cellStyle name="60% - 强调文字颜色 2 2 2 7 2 2" xfId="8533"/>
    <cellStyle name="检查单元格 2 2 2 4 2 2 2" xfId="8534"/>
    <cellStyle name="强调文字颜色 5 3 2 2 4" xfId="8535"/>
    <cellStyle name="强调文字颜色 1 2 2 3 3 2 2 2" xfId="8536"/>
    <cellStyle name="检查单元格 3 9" xfId="8537"/>
    <cellStyle name="40% - 强调文字颜色 3 2 3 2 2 3 3 2" xfId="8538"/>
    <cellStyle name="强调文字颜色 5 2 4 4 2 3" xfId="8539"/>
    <cellStyle name="标题 1 2 2 3 4 3" xfId="8540"/>
    <cellStyle name="强调文字颜色 3 2 3 6" xfId="8541"/>
    <cellStyle name="解释性文本 2 4 2 2" xfId="8542"/>
    <cellStyle name="标题 3 3 4 3" xfId="8543"/>
    <cellStyle name="注释 2 9 5" xfId="8544"/>
    <cellStyle name="强调文字颜色 2 2 3 2 4 2 2 2" xfId="8545"/>
    <cellStyle name="20% - 强调文字颜色 2 3 4 2 2 2" xfId="8546"/>
    <cellStyle name="强调文字颜色 2 2 2 2 2 2 3 2" xfId="8547"/>
    <cellStyle name="标题 1 2 2 3 4 4" xfId="8548"/>
    <cellStyle name="强调文字颜色 3 2 3 7" xfId="8549"/>
    <cellStyle name="Normal 3 3" xfId="8550"/>
    <cellStyle name="注释 2 2 2 2 4 2 2" xfId="8551"/>
    <cellStyle name="汇总 4 2 6 2" xfId="8552"/>
    <cellStyle name="20% - 强调文字颜色 1 2 3 5 2 2" xfId="8553"/>
    <cellStyle name="检查单元格 2 5 3 2 2" xfId="8554"/>
    <cellStyle name="40% - 强调文字颜色 3 2 2 2 3 2" xfId="8555"/>
    <cellStyle name="强调文字颜色 3 2 2 2 5" xfId="8556"/>
    <cellStyle name="60% - 强调文字颜色 4 2 3 2 2 2" xfId="8557"/>
    <cellStyle name="输入 2 2 3 3 2 3 2" xfId="8558"/>
    <cellStyle name="常规 5 2 2 4 2 2 2" xfId="8559"/>
    <cellStyle name="常规 5 6 2 4 2" xfId="8560"/>
    <cellStyle name="计算 2 2 6 2 2 2 4 2" xfId="8561"/>
    <cellStyle name="汇总 3 4 5" xfId="8562"/>
    <cellStyle name="输入 2 2 7 2 3 2" xfId="8563"/>
    <cellStyle name="标题 1 2 2 3 9" xfId="8564"/>
    <cellStyle name="强调文字颜色 1 2 3 6" xfId="8565"/>
    <cellStyle name="强调文字颜色 5 2 2 4 2 3" xfId="8566"/>
    <cellStyle name="注释 2 2 2 3 4 2" xfId="8567"/>
    <cellStyle name="20% - 强调文字颜色 5 2 2 2 2 5" xfId="8568"/>
    <cellStyle name="汇总 5 2 6" xfId="8569"/>
    <cellStyle name="20% - 强调文字颜色 1 2 4 5 2" xfId="8570"/>
    <cellStyle name="40% - 强调文字颜色 2 2 3 2 2 4 3" xfId="8571"/>
    <cellStyle name="20% - 强调文字颜色 1 2 2 4" xfId="8572"/>
    <cellStyle name="汇总 3 2 2 3 5" xfId="8573"/>
    <cellStyle name="60% - 强调文字颜色 1 2 2 2 3 2 2 2" xfId="8574"/>
    <cellStyle name="汇总 2 2 3 5 2 2" xfId="8575"/>
    <cellStyle name="说明文本 4 2 2" xfId="8576"/>
    <cellStyle name="计算 2 2 3 2 4 2 3" xfId="8577"/>
    <cellStyle name="强调文字颜色 2 2 3 4 3 3" xfId="8578"/>
    <cellStyle name="60% - 强调文字颜色 2 2 8" xfId="8579"/>
    <cellStyle name="好 2 3 2 4 2 2" xfId="8580"/>
    <cellStyle name="输入 2 5 2 4 3" xfId="8581"/>
    <cellStyle name="计算 2 3 3 2 2 2" xfId="8582"/>
    <cellStyle name="汇总 3 2 3 6" xfId="8583"/>
    <cellStyle name="20% - 强调文字颜色 1 4 5" xfId="8584"/>
    <cellStyle name="标题 1 3 2 4 2 2 2" xfId="8585"/>
    <cellStyle name="好 2 2 2 2 2 2" xfId="8586"/>
    <cellStyle name="常规 13 2 3 2 2" xfId="8587"/>
    <cellStyle name="注释 4 2 6 3" xfId="8588"/>
    <cellStyle name="强调文字颜色 3 2 4 3 3 2" xfId="8589"/>
    <cellStyle name="20% - 强调文字颜色 4 2 3 2 3" xfId="8590"/>
    <cellStyle name="常规 5 5 2 3 4" xfId="8591"/>
    <cellStyle name="标题 2 4 4 2 2 2" xfId="8592"/>
    <cellStyle name="计算 4 4 3" xfId="8593"/>
    <cellStyle name="40% - 强调文字颜色 5 3 6" xfId="8594"/>
    <cellStyle name="40% - 强调文字颜色 5 2 2 4 3 3" xfId="8595"/>
    <cellStyle name="60% - 强调文字颜色 4 2 2 2 4 2 2" xfId="8596"/>
    <cellStyle name="强调文字颜色 2 2 2 2 2 3 3 2 2" xfId="8597"/>
    <cellStyle name="输入 2 2 3 4" xfId="8598"/>
    <cellStyle name="输入 2 8 3 2 2 2" xfId="8599"/>
    <cellStyle name="汇总 2 2 4 4 2 4 2 2" xfId="8600"/>
    <cellStyle name="计算 2 2 4 4 2 3 2" xfId="8601"/>
    <cellStyle name="汇总 2 4 2 2 2 5" xfId="8602"/>
    <cellStyle name="60% - 强调文字颜色 6 2 2 4 2 2 2 2" xfId="8603"/>
    <cellStyle name="汇总 2 2 9 5 2 2" xfId="8604"/>
    <cellStyle name="计算 2 4 9 2 2" xfId="8605"/>
    <cellStyle name="输入 2 4 3 3 3" xfId="8606"/>
    <cellStyle name="汇总 2 3 2 6" xfId="8607"/>
    <cellStyle name="计算 3 2 2 6 3" xfId="8608"/>
    <cellStyle name="40% - 强调文字颜色 1 2 4 2 2 2 2 2" xfId="8609"/>
    <cellStyle name="输入 2 5 3 2 4" xfId="8610"/>
    <cellStyle name="标题 5 3 2 5 2" xfId="8611"/>
    <cellStyle name="60% - 强调文字颜色 1 2 2 3 5 2 2" xfId="8612"/>
    <cellStyle name="常规 4 5 3 3 3" xfId="8613"/>
    <cellStyle name="好 2 2 2 2 8" xfId="8614"/>
    <cellStyle name="20% - 强调文字颜色 3 2 4 2 2" xfId="8615"/>
    <cellStyle name="注释 2 10 6" xfId="8616"/>
    <cellStyle name="标题 1 2 2 4 2 2 2 2" xfId="8617"/>
    <cellStyle name="汇总 2 8 3 2 3 2 2" xfId="8618"/>
    <cellStyle name="强调文字颜色 3 2 2 5 2 2" xfId="8619"/>
    <cellStyle name="常规 5 3 4 2 4" xfId="8620"/>
    <cellStyle name="标题 2 3 5 3" xfId="8621"/>
    <cellStyle name="标题 1 2 2 3 3 2 2 2" xfId="8622"/>
    <cellStyle name="汇总 2 6 2 3 4 3" xfId="8623"/>
    <cellStyle name="标题 4 6 2 2 2" xfId="8624"/>
    <cellStyle name="计算 2 2 4 2 10" xfId="8625"/>
    <cellStyle name="标题 5 3 2 2" xfId="8626"/>
    <cellStyle name="标题 5 2 2 2 2 2" xfId="8627"/>
    <cellStyle name="20% - 强调文字颜色 4 5" xfId="8628"/>
    <cellStyle name="输出 2 2 7 5 3" xfId="8629"/>
    <cellStyle name="60% - 强调文字颜色 3 2 2 2 2 4 2" xfId="8630"/>
    <cellStyle name="强调文字颜色 2 2 2 2 2 3 2 2" xfId="8631"/>
    <cellStyle name="标题 1 2 2 4 3 4" xfId="8632"/>
    <cellStyle name="输出 2 4 2 14" xfId="8633"/>
    <cellStyle name="百分比 2 2 5" xfId="8634"/>
    <cellStyle name="标题 1 2 2 5 4" xfId="8635"/>
    <cellStyle name="汇总 2 6 15" xfId="8636"/>
    <cellStyle name="计算 2 2 3 2 2 3 3 2 2" xfId="8637"/>
    <cellStyle name="20% - 强调文字颜色 1 3 2" xfId="8638"/>
    <cellStyle name="计算 2 4 10" xfId="8639"/>
    <cellStyle name="强调文字颜色 2 2 2 2 2" xfId="8640"/>
    <cellStyle name="汇总 2 2 3 2 4 3 2 2" xfId="8641"/>
    <cellStyle name="计算 2 2 7 4 2" xfId="8642"/>
    <cellStyle name="强调文字颜色 1 2 4 2 3" xfId="8643"/>
    <cellStyle name="20% - 强调文字颜色 5 2 2 5 2 2 2" xfId="8644"/>
    <cellStyle name="注释 2 7 4" xfId="8645"/>
    <cellStyle name="输入 2 6 7 2" xfId="8646"/>
    <cellStyle name="标题 3 3 2 2" xfId="8647"/>
    <cellStyle name="常规 2 3 5" xfId="8648"/>
    <cellStyle name="汇总 2 6 3 2 7" xfId="8649"/>
    <cellStyle name="计算 2 4 3 10" xfId="8650"/>
    <cellStyle name="计算 2 2 3 3 2 4 3" xfId="8651"/>
    <cellStyle name="60% - 强调文字颜色 3 2 3 8" xfId="8652"/>
    <cellStyle name="计算 2 2 5 3 6" xfId="8653"/>
    <cellStyle name="计算 2 2 2 3 3 3" xfId="8654"/>
    <cellStyle name="汇总 2 14 3" xfId="8655"/>
    <cellStyle name="强调文字颜色 2 3 2 2 3 2" xfId="8656"/>
    <cellStyle name="计算 2 2 6 4 4 2 2" xfId="8657"/>
    <cellStyle name="差 3 3 4 2" xfId="8658"/>
    <cellStyle name="输入 2 4 4 4" xfId="8659"/>
    <cellStyle name="计算 2 2 4 2 5 4" xfId="8660"/>
    <cellStyle name="计算 2 2 2 2 2 2 4" xfId="8661"/>
    <cellStyle name="好 2 4 3 2 3" xfId="8662"/>
    <cellStyle name="标题 1 2 2 8" xfId="8663"/>
    <cellStyle name="标题 1 2 3 2 3 2" xfId="8664"/>
    <cellStyle name="汇总 2 2 2 3 3 4" xfId="8665"/>
    <cellStyle name="标题 1 2 3 2 3 3" xfId="8666"/>
    <cellStyle name="汇总 2 2 2 3 3 5" xfId="8667"/>
    <cellStyle name="标题 1 3 2 3" xfId="8668"/>
    <cellStyle name="常规 3 3 3 3 3" xfId="8669"/>
    <cellStyle name="计算 2 3 3 3 5" xfId="8670"/>
    <cellStyle name="标题 3 2 4 4 2" xfId="8671"/>
    <cellStyle name="强调文字颜色 2 3 2 4" xfId="8672"/>
    <cellStyle name="常规 11 3 2 3 2 2" xfId="8673"/>
    <cellStyle name="20% - 强调文字颜色 6 2 2 2 4 3 2" xfId="8674"/>
    <cellStyle name="差 3 5 3" xfId="8675"/>
    <cellStyle name="40% - 强调文字颜色 1 3 3 3 2 2" xfId="8676"/>
    <cellStyle name="常规 6 3 2 2 4 3" xfId="8677"/>
    <cellStyle name="输出 2 2 3 2 7 3" xfId="8678"/>
    <cellStyle name="20% - 强调文字颜色 6 3 4" xfId="8679"/>
    <cellStyle name="计算 2 2 4 2 3 3 3 3" xfId="8680"/>
    <cellStyle name="60% - 强调文字颜色 4 2 2 6 3 2" xfId="8681"/>
    <cellStyle name="强调文字颜色 3 2 3 5" xfId="8682"/>
    <cellStyle name="标题 1 2 2 3 4 2" xfId="8683"/>
    <cellStyle name="标题 1 2 2 3 5" xfId="8684"/>
    <cellStyle name="60% - 强调文字颜色 6 3 2 2 3 2 3" xfId="8685"/>
    <cellStyle name="强调文字颜色 1 2 3 2" xfId="8686"/>
    <cellStyle name="输入 2 6 3 2 2 2" xfId="8687"/>
    <cellStyle name="注释 2 3 4 2 2" xfId="8688"/>
    <cellStyle name="汇总 2 2 2 4 4 2 2" xfId="8689"/>
    <cellStyle name="强调文字颜色 4 2 3 3 2" xfId="8690"/>
    <cellStyle name="40% - 强调文字颜色 5 4 2 4 2" xfId="8691"/>
    <cellStyle name="输入 2 2 2 7 2" xfId="8692"/>
    <cellStyle name="输出 5" xfId="8693"/>
    <cellStyle name="常规 10 2 3 5 2 2" xfId="8694"/>
    <cellStyle name="60% - 强调文字颜色 6 2 2 3 3 2 3" xfId="8695"/>
    <cellStyle name="常规 5 2 5 5 3" xfId="8696"/>
    <cellStyle name="链接单元格 2 2 6 4" xfId="8697"/>
    <cellStyle name="常规 6 3 3 2" xfId="8698"/>
    <cellStyle name="超链接 3 2 2 2 2 2" xfId="8699"/>
    <cellStyle name="标题 5 3 3 4" xfId="8700"/>
    <cellStyle name="标题 5 2 2 2 3 4" xfId="8701"/>
    <cellStyle name="40% - 强调文字颜色 2 2 4 3 3" xfId="8702"/>
    <cellStyle name="常规 3 6 3 2 2" xfId="8703"/>
    <cellStyle name="计算 2 6 3 2 4" xfId="8704"/>
    <cellStyle name="60% - 强调文字颜色 4 2 2 3 6" xfId="8705"/>
    <cellStyle name="汇总 2 3 3 2 4 2 2" xfId="8706"/>
    <cellStyle name="20% - 强调文字颜色 5 2 3 2 5 2 2 2" xfId="8707"/>
    <cellStyle name="标题 1 2 2 10" xfId="8708"/>
    <cellStyle name="标题 2 2 3 2 5 2 2" xfId="8709"/>
    <cellStyle name="常规 5 6 4 2" xfId="8710"/>
    <cellStyle name="标题 1 2 3 3 2 2 2" xfId="8711"/>
    <cellStyle name="汇总 2 2 2 4 2 4 2" xfId="8712"/>
    <cellStyle name="标题 1 2 3 3 3 3" xfId="8713"/>
    <cellStyle name="强调文字颜色 4 2 2 6" xfId="8714"/>
    <cellStyle name="常规 9 3 4 2" xfId="8715"/>
    <cellStyle name="标题 1 2 3 4" xfId="8716"/>
    <cellStyle name="常规 10 4 4" xfId="8717"/>
    <cellStyle name="强调文字颜色 1 3 2 4 2" xfId="8718"/>
    <cellStyle name="计算 2 7 2 2 3 3" xfId="8719"/>
    <cellStyle name="强调文字颜色 1 2 2 3 3 2 3" xfId="8720"/>
    <cellStyle name="40% - 强调文字颜色 2 4 4 2 2" xfId="8721"/>
    <cellStyle name="40% - 强调文字颜色 3 2 2 2 2 2 3 3" xfId="8722"/>
    <cellStyle name="40% - 强调文字颜色 4 2 2 3 5 2 2" xfId="8723"/>
    <cellStyle name="常规 9 3 4 2 2" xfId="8724"/>
    <cellStyle name="标题 1 2 3 4 2" xfId="8725"/>
    <cellStyle name="汇总 2 8 2 5" xfId="8726"/>
    <cellStyle name="计算 2 2 8 3 2 3 2 2" xfId="8727"/>
    <cellStyle name="40% - 强调文字颜色 3 2 2 2 2 2 3 3 2" xfId="8728"/>
    <cellStyle name="40% - 强调文字颜色 6 2 4 7" xfId="8729"/>
    <cellStyle name="40% - 强调文字颜色 1 2 2 2 2 2 2 3 2" xfId="8730"/>
    <cellStyle name="60% - 强调文字颜色 6 3 3 3 2" xfId="8731"/>
    <cellStyle name="强调文字颜色 3 2 2 2 2 2 2" xfId="8732"/>
    <cellStyle name="40% - 强调文字颜色 3 2 2 2 2 2 3 3 2 2" xfId="8733"/>
    <cellStyle name="标题 1 2 3 4 2 2" xfId="8734"/>
    <cellStyle name="常规 9 3 4 2 2 2" xfId="8735"/>
    <cellStyle name="差 3 2 2 3 2" xfId="8736"/>
    <cellStyle name="计算 4 5 2 2" xfId="8737"/>
    <cellStyle name="输出 2 3 3 2 2 2 2" xfId="8738"/>
    <cellStyle name="输入 2 3 2 5 2" xfId="8739"/>
    <cellStyle name="标题 4 2 2 6 2 2 2" xfId="8740"/>
    <cellStyle name="链接单元格 2 2 2 2 2 2 2 2" xfId="8741"/>
    <cellStyle name="输入 2 2 5 3 4 2 2" xfId="8742"/>
    <cellStyle name="40% - 强调文字颜色 5 5 2 2 2" xfId="8743"/>
    <cellStyle name="常规 10 3 2 5" xfId="8744"/>
    <cellStyle name="注释 3 2 6 3" xfId="8745"/>
    <cellStyle name="输入 2 7 2 4 3" xfId="8746"/>
    <cellStyle name="40% - 强调文字颜色 1 2 2 2 3 3 2" xfId="8747"/>
    <cellStyle name="输出 2 5 2 2 2" xfId="8748"/>
    <cellStyle name="警告文本 2 2 3 4 2 2 2" xfId="8749"/>
    <cellStyle name="输出 2 4 3" xfId="8750"/>
    <cellStyle name="40% - 强调文字颜色 2 2 2 2 4 3 2 2" xfId="8751"/>
    <cellStyle name="40% - 强调文字颜色 2 2 2 2 3 4" xfId="8752"/>
    <cellStyle name="计算 2 2 7 2 2 3 2 2" xfId="8753"/>
    <cellStyle name="汇总 2 5 3 2 2 2 2 2" xfId="8754"/>
    <cellStyle name="输出 2 7 2 2 2" xfId="8755"/>
    <cellStyle name="40% - 强调文字颜色 1 2 2 4 3 3 2" xfId="8756"/>
    <cellStyle name="60% - 强调文字颜色 6 3 2 2 3 2" xfId="8757"/>
    <cellStyle name="警告文本 2 2 3 5 3" xfId="8758"/>
    <cellStyle name="60% - 强调文字颜色 1 2 6 3 2" xfId="8759"/>
    <cellStyle name="注释 5 4 2 2" xfId="8760"/>
    <cellStyle name="注释 2 17" xfId="8761"/>
    <cellStyle name="汇总 2 2 5 2 2 2 3 2" xfId="8762"/>
    <cellStyle name="汇总 2 5 2 9 2 2" xfId="8763"/>
    <cellStyle name="计算 2 2 8 2 2 6" xfId="8764"/>
    <cellStyle name="标题 3 2 7 2 3" xfId="8765"/>
    <cellStyle name="输出 2 4 3 5 2" xfId="8766"/>
    <cellStyle name="常规 9 3 6 3" xfId="8767"/>
    <cellStyle name="40% - 强调文字颜色 3 2 2 2" xfId="8768"/>
    <cellStyle name="强调文字颜色 5 2 3 2 4 2 3" xfId="8769"/>
    <cellStyle name="40% - 强调文字颜色 5 2 3 3 2 2 2 2" xfId="8770"/>
    <cellStyle name="汇总 3 2 4 4 2" xfId="8771"/>
    <cellStyle name="输入 2 2 4 2 3 5 2 2" xfId="8772"/>
    <cellStyle name="超链接 3 3 3 2 2" xfId="8773"/>
    <cellStyle name="60% - 强调文字颜色 5 2 3 2 3 3 2 2" xfId="8774"/>
    <cellStyle name="强调文字颜色 1 2 2 2 2 3 3 3" xfId="8775"/>
    <cellStyle name="强调文字颜色 4 2 3 3 5" xfId="8776"/>
    <cellStyle name="40% - 强调文字颜色 1 3 4" xfId="8777"/>
    <cellStyle name="输入 3 2 2 2 3 2" xfId="8778"/>
    <cellStyle name="计算 2 4 8 3" xfId="8779"/>
    <cellStyle name="适中 4 7" xfId="8780"/>
    <cellStyle name="检查单元格 2 2 2 2 6 3" xfId="8781"/>
    <cellStyle name="差 2 2 2 4 2" xfId="8782"/>
    <cellStyle name="警告文本 2 4 5 2 2" xfId="8783"/>
    <cellStyle name="计算 2 2 3 4 7" xfId="8784"/>
    <cellStyle name="汇总 2 2 3 2 2 2 3 2 2" xfId="8785"/>
    <cellStyle name="20% - 强调文字颜色 2 2 9" xfId="8786"/>
    <cellStyle name="汇总 2 5 4 2 4 2 2" xfId="8787"/>
    <cellStyle name="标题 1 2 4 3 3 3" xfId="8788"/>
    <cellStyle name="强调文字颜色 5 2 2 6" xfId="8789"/>
    <cellStyle name="40% - 强调文字颜色 6 2 2 2 2 2 4 2 2" xfId="8790"/>
    <cellStyle name="常规 3 3 6 3" xfId="8791"/>
    <cellStyle name="40% - 强调文字颜色 3 2 3 3" xfId="8792"/>
    <cellStyle name="60% - 强调文字颜色 5 4 2 4 2" xfId="8793"/>
    <cellStyle name="强调文字颜色 2 2 3 2 2 2 2 2" xfId="8794"/>
    <cellStyle name="标题 2 2 2 3 3 4" xfId="8795"/>
    <cellStyle name="输入 3 4 2" xfId="8796"/>
    <cellStyle name="计算 2 6 10 2" xfId="8797"/>
    <cellStyle name="强调文字颜色 2 2 2 4 6" xfId="8798"/>
    <cellStyle name="输出 2 5 9" xfId="8799"/>
    <cellStyle name="强调文字颜色 1 2 4 2 2 3" xfId="8800"/>
    <cellStyle name="常规 2 4 7" xfId="8801"/>
    <cellStyle name="常规 4 2 3 4 3 2 2" xfId="8802"/>
    <cellStyle name="标题 4 3 3 3 3" xfId="8803"/>
    <cellStyle name="40% - 强调文字颜色 3 2 7 3 2" xfId="8804"/>
    <cellStyle name="计算 2 7 5 3 2" xfId="8805"/>
    <cellStyle name="标题 1 2 2 3 6 3" xfId="8806"/>
    <cellStyle name="强调文字颜色 1 2 3 3 3" xfId="8807"/>
    <cellStyle name="检查单元格 2 3 2 4" xfId="8808"/>
    <cellStyle name="20% - 强调文字颜色 4 2 2" xfId="8809"/>
    <cellStyle name="输出 2 2 6 5 2 2" xfId="8810"/>
    <cellStyle name="汇总 2 6 9 2 2" xfId="8811"/>
    <cellStyle name="汇总 2 6 3 9" xfId="8812"/>
    <cellStyle name="20% - 强调文字颜色 2 3 5 2" xfId="8813"/>
    <cellStyle name="60% - 强调文字颜色 2 2 3 7" xfId="8814"/>
    <cellStyle name="计算 2 2 3 2 2 4 2" xfId="8815"/>
    <cellStyle name="标题 1 2 4 4 2 2 2" xfId="8816"/>
    <cellStyle name="常规 10 2 5" xfId="8817"/>
    <cellStyle name="20% - 强调文字颜色 2 4 2 3 2 2 2" xfId="8818"/>
    <cellStyle name="常规 6 3 2 2 2 2 2 2" xfId="8819"/>
    <cellStyle name="强调文字颜色 2 2 3 2 5 2" xfId="8820"/>
    <cellStyle name="汇总 2 2 2 2 2 5" xfId="8821"/>
    <cellStyle name="解释性文本 3 4" xfId="8822"/>
    <cellStyle name="强调文字颜色 2 2 2 2 2 3 2 3" xfId="8823"/>
    <cellStyle name="标题 1 2 4 9" xfId="8824"/>
    <cellStyle name="40% - 强调文字颜色 1 2 3 2 5 2" xfId="8825"/>
    <cellStyle name="20% - 强调文字颜色 3 2 2 2 2 2 3 3 2" xfId="8826"/>
    <cellStyle name="强调文字颜色 5 2 5 3 2" xfId="8827"/>
    <cellStyle name="好 2 3 2 2 2 2 2 2" xfId="8828"/>
    <cellStyle name="标题 4 2 2 6 3" xfId="8829"/>
    <cellStyle name="链接单元格 2 2 2 2 2 3" xfId="8830"/>
    <cellStyle name="计算 2 2 4 2 2 2 3" xfId="8831"/>
    <cellStyle name="标题 3 4 2 2 2 3" xfId="8832"/>
    <cellStyle name="计算 2 2 5 3 3 2 2 2" xfId="8833"/>
    <cellStyle name="强调文字颜色 4 2 2 3 3 3" xfId="8834"/>
    <cellStyle name="注释 2 5 5 2" xfId="8835"/>
    <cellStyle name="输入 4 2 3" xfId="8836"/>
    <cellStyle name="适中 2 11" xfId="8837"/>
    <cellStyle name="输入 2 5 2 2 3 2 2" xfId="8838"/>
    <cellStyle name="60% - 强调文字颜色 6 2 2 2 8" xfId="8839"/>
    <cellStyle name="60% - 强调文字颜色 6 2 2 6 2 2 2" xfId="8840"/>
    <cellStyle name="汇总 4 3 2" xfId="8841"/>
    <cellStyle name="常规 12 4 2 4 2" xfId="8842"/>
    <cellStyle name="标题 1 2 5 3" xfId="8843"/>
    <cellStyle name="输入 2 2 2 2 2 3 3" xfId="8844"/>
    <cellStyle name="40% - 强调文字颜色 6 4 2 2 2 2 2" xfId="8845"/>
    <cellStyle name="强调文字颜色 4 2 2 3 4 3" xfId="8846"/>
    <cellStyle name="注释 2 5 6 2" xfId="8847"/>
    <cellStyle name="标题 2 3 2 5 2" xfId="8848"/>
    <cellStyle name="20% - 强调文字颜色 1 3 3 2 2 2" xfId="8849"/>
    <cellStyle name="输出 2 2 2 2 10" xfId="8850"/>
    <cellStyle name="汇总 2 5 2 5 4 2" xfId="8851"/>
    <cellStyle name="60% - 强调文字颜色 3 6" xfId="8852"/>
    <cellStyle name="汇总 2 2 4 2 2 2 2 6" xfId="8853"/>
    <cellStyle name="强调文字颜色 3 2 3 4 2 3" xfId="8854"/>
    <cellStyle name="计算 2 4 3 2" xfId="8855"/>
    <cellStyle name="常规 5 4 3 2 5" xfId="8856"/>
    <cellStyle name="输入 2 2 2 2 2 4 3" xfId="8857"/>
    <cellStyle name="解释性文本 2 2 2 2 3 3 3" xfId="8858"/>
    <cellStyle name="超链接 2 2 3 2 3" xfId="8859"/>
    <cellStyle name="标题 1 2 6 3" xfId="8860"/>
    <cellStyle name="汇总 4 4 2" xfId="8861"/>
    <cellStyle name="40% - 强调文字颜色 1 2 3 2 2 4 2 2" xfId="8862"/>
    <cellStyle name="汇总 2 6 2 8" xfId="8863"/>
    <cellStyle name="汇总 2 2 5 2 4 3 3" xfId="8864"/>
    <cellStyle name="计算 5 6" xfId="8865"/>
    <cellStyle name="输出 2 3 3 3 3" xfId="8866"/>
    <cellStyle name="好 2 2 3 6 2" xfId="8867"/>
    <cellStyle name="60% - 强调文字颜色 5 2 2 4 3" xfId="8868"/>
    <cellStyle name="40% - 强调文字颜色 1 2 3 4" xfId="8869"/>
    <cellStyle name="标题 1 2 7 2 2 2" xfId="8870"/>
    <cellStyle name="汇总 2 2 6 3 2 4" xfId="8871"/>
    <cellStyle name="40% - 强调文字颜色 6 2 3 2 2 2 2 2" xfId="8872"/>
    <cellStyle name="超链接 2 2 3 3 2 2 2" xfId="8873"/>
    <cellStyle name="40% - 强调文字颜色 4 2 2 2 4 3 2" xfId="8874"/>
    <cellStyle name="20% - 强调文字颜色 4 4 2" xfId="8875"/>
    <cellStyle name="常规 6 3 4 2 2" xfId="8876"/>
    <cellStyle name="输入 3 2 2 5 2 2" xfId="8877"/>
    <cellStyle name="40% - 强调文字颜色 4 2 4" xfId="8878"/>
    <cellStyle name="输入 2 3 2 2 6" xfId="8879"/>
    <cellStyle name="40% - 强调文字颜色 6 4 2 2 2 2" xfId="8880"/>
    <cellStyle name="好 2 2 3 6 3" xfId="8881"/>
    <cellStyle name="60% - 强调文字颜色 5 2 2 4 4" xfId="8882"/>
    <cellStyle name="计算 2 7 3 2 2 2 2" xfId="8883"/>
    <cellStyle name="40% - 强调文字颜色 1 2 3 5" xfId="8884"/>
    <cellStyle name="40% - 强调文字颜色 2 2 3 2 4 2 2 2" xfId="8885"/>
    <cellStyle name="20% - 强调文字颜色 1 2 5 2" xfId="8886"/>
    <cellStyle name="常规 4 2 6 4 2" xfId="8887"/>
    <cellStyle name="常规 2 2" xfId="8888"/>
    <cellStyle name="60% - 强调文字颜色 4 3 3 2 2 2" xfId="8889"/>
    <cellStyle name="输入 2 2 7 3 2 2" xfId="8890"/>
    <cellStyle name="输入 2 2 4 3 2 3 2" xfId="8891"/>
    <cellStyle name="常规 5 2 3 4 2 2 2" xfId="8892"/>
    <cellStyle name="40% - 强调文字颜色 1 2 11" xfId="8893"/>
    <cellStyle name="输入 2 2 7 4 3" xfId="8894"/>
    <cellStyle name="计算 2 6 3 7" xfId="8895"/>
    <cellStyle name="汇总 2 7 4 7" xfId="8896"/>
    <cellStyle name="20% - 强调文字颜色 3 2 2 2 2 2 4 2 2" xfId="8897"/>
    <cellStyle name="40% - 强调文字颜色 1 2 2 2 2 3 2 2" xfId="8898"/>
    <cellStyle name="强调文字颜色 5 2 6 2 2" xfId="8899"/>
    <cellStyle name="强调文字颜色 2 2 2" xfId="8900"/>
    <cellStyle name="汇总 2 2 3 2 4 3" xfId="8901"/>
    <cellStyle name="60% - 强调文字颜色 4 2 2 2 6 2" xfId="8902"/>
    <cellStyle name="差 2 2 4 2 3 3" xfId="8903"/>
    <cellStyle name="差 2 2 2 2 3 3 2" xfId="8904"/>
    <cellStyle name="标题 5 3 5 2" xfId="8905"/>
    <cellStyle name="标题 5 2 2 2 5 2" xfId="8906"/>
    <cellStyle name="链接单元格 2 3 3 6" xfId="8907"/>
    <cellStyle name="常规 4 3 3 2" xfId="8908"/>
    <cellStyle name="标题 1 3 2 2 4" xfId="8909"/>
    <cellStyle name="20% - 强调文字颜色 3 2 2 8" xfId="8910"/>
    <cellStyle name="40% - 强调文字颜色 5 4 4 2" xfId="8911"/>
    <cellStyle name="输入 2 2 5 2 6 2" xfId="8912"/>
    <cellStyle name="注释 2 10 2 2 2" xfId="8913"/>
    <cellStyle name="好 2 2 2 2 4 2 2" xfId="8914"/>
    <cellStyle name="输入 2 2 4 5" xfId="8915"/>
    <cellStyle name="强调文字颜色 3 2 6 3 2 2" xfId="8916"/>
    <cellStyle name="40% - 强调文字颜色 1 2 2 2 2 2 4 2" xfId="8917"/>
    <cellStyle name="标题 1 2 3 3 4" xfId="8918"/>
    <cellStyle name="汇总 2 7 2 2 6 2" xfId="8919"/>
    <cellStyle name="差 2 5 3 3" xfId="8920"/>
    <cellStyle name="20% - 强调文字颜色 3 2 3 6 2 2" xfId="8921"/>
    <cellStyle name="标题 1 3 2 3 2 2 2" xfId="8922"/>
    <cellStyle name="标题 2 2 3 2 4 3 2" xfId="8923"/>
    <cellStyle name="汇总 2 2 3 4 2 2 2" xfId="8924"/>
    <cellStyle name="输入 2 2 6 8 3" xfId="8925"/>
    <cellStyle name="20% - 强调文字颜色 5 2 2 2 2 2 2 3 2" xfId="8926"/>
    <cellStyle name="输入 2 13 2 2" xfId="8927"/>
    <cellStyle name="计算 2 5 2 4 3 2 2" xfId="8928"/>
    <cellStyle name="标题 6 3 5" xfId="8929"/>
    <cellStyle name="注释 3 8" xfId="8930"/>
    <cellStyle name="40% - 强调文字颜色 1 2 2 6 3 2 2" xfId="8931"/>
    <cellStyle name="汇总 2 2 4 3 2 3 3" xfId="8932"/>
    <cellStyle name="计算 2 2 3 2 2 10" xfId="8933"/>
    <cellStyle name="汇总 2 3 3 5 2" xfId="8934"/>
    <cellStyle name="警告文本 2 2 4 5" xfId="8935"/>
    <cellStyle name="好 2 2 4" xfId="8936"/>
    <cellStyle name="40% - 强调文字颜色 2 4 3 2 2 2" xfId="8937"/>
    <cellStyle name="输入 2 4 3 4 2 2" xfId="8938"/>
    <cellStyle name="标题 1 3 3" xfId="8939"/>
    <cellStyle name="标题 1 3 3 3" xfId="8940"/>
    <cellStyle name="计算 2 4 3 3 4 2" xfId="8941"/>
    <cellStyle name="汇总 2 2 3 5 2 3" xfId="8942"/>
    <cellStyle name="无色 2 3 2" xfId="8943"/>
    <cellStyle name="强调文字颜色 2 2 4 5 2 2" xfId="8944"/>
    <cellStyle name="计算 2 2 5 2 2 5 3" xfId="8945"/>
    <cellStyle name="标题 2 2 3 4" xfId="8946"/>
    <cellStyle name="60% - 强调文字颜色 2 2 3 2 4 2 2" xfId="8947"/>
    <cellStyle name="60% - 强调文字颜色 3 2 4 4 2 2" xfId="8948"/>
    <cellStyle name="注释 2 12 2" xfId="8949"/>
    <cellStyle name="好 2 2 2 4 4" xfId="8950"/>
    <cellStyle name="汇总 2 5 2 3 6 2 2" xfId="8951"/>
    <cellStyle name="超链接 2 2 4 4" xfId="8952"/>
    <cellStyle name="20% - 强调文字颜色 6 2 3 2 2 3 3 2 2" xfId="8953"/>
    <cellStyle name="强调文字颜色 2 3 3 3 2" xfId="8954"/>
    <cellStyle name="强调文字颜色 4 2 2 4 6" xfId="8955"/>
    <cellStyle name="60% - 强调文字颜色 1 2 2 4 3 2 2" xfId="8956"/>
    <cellStyle name="标题 1 3 8" xfId="8957"/>
    <cellStyle name="计算 2 9 2 6" xfId="8958"/>
    <cellStyle name="汇总 3 2 2 3 2 3" xfId="8959"/>
    <cellStyle name="汇总 2 6 2 2 3 5" xfId="8960"/>
    <cellStyle name="计算 2 2 6 4 2 4 2" xfId="8961"/>
    <cellStyle name="40% - 强调文字颜色 1 3 2 2 3 2 2" xfId="8962"/>
    <cellStyle name="40% - 强调文字颜色 4 2 5 3" xfId="8963"/>
    <cellStyle name="常规 10 3" xfId="8964"/>
    <cellStyle name="解释性文本 2 2 2 4 3 2 2" xfId="8965"/>
    <cellStyle name="汇总 2 5 2 4 2 3 2" xfId="8966"/>
    <cellStyle name="标题 5 2 2 4 3" xfId="8967"/>
    <cellStyle name="40% - 强调文字颜色 5 2 2 2 2 3 2" xfId="8968"/>
    <cellStyle name="标题 3 2 2 2 4 2" xfId="8969"/>
    <cellStyle name="汇总 2 4 2 2 5" xfId="8970"/>
    <cellStyle name="汇总 2 2 6 5 4 2" xfId="8971"/>
    <cellStyle name="输入 2 2 2 2 3 6" xfId="8972"/>
    <cellStyle name="40% - 强调文字颜色 1 2 2 2 3 2 2 2 2" xfId="8973"/>
    <cellStyle name="标题 1 2 2 2 2 4 3 2" xfId="8974"/>
    <cellStyle name="20% - 强调文字颜色 6 3 2 5 2" xfId="8975"/>
    <cellStyle name="解释性文本 2 3 2 3 2 3" xfId="8976"/>
    <cellStyle name="计算 2 5 2 2 9" xfId="8977"/>
    <cellStyle name="常规 4 3 2 2 3 2 2" xfId="8978"/>
    <cellStyle name="汇总 2 2 4 2 3 6 2" xfId="8979"/>
    <cellStyle name="20% - 强调文字颜色 2 2 2 2 2 3 2 2 2 2" xfId="8980"/>
    <cellStyle name="40% - 强调文字颜色 3 3 3 3 2 2" xfId="8981"/>
    <cellStyle name="60% - 强调文字颜色 4 2 3 3 3" xfId="8982"/>
    <cellStyle name="60% - 强调文字颜色 1 2 4 2" xfId="8983"/>
    <cellStyle name="计算 2 2 3 2 7 2" xfId="8984"/>
    <cellStyle name="强调文字颜色 4 2 2 4 2 2 2 2" xfId="8985"/>
    <cellStyle name="链接单元格 3 5" xfId="8986"/>
    <cellStyle name="60% - 强调文字颜色 4 2 2 2 2 4 3 2" xfId="8987"/>
    <cellStyle name="输出 2 2 2 7" xfId="8988"/>
    <cellStyle name="注释 2 2 5 3 5" xfId="8989"/>
    <cellStyle name="常规 5 2 5 2" xfId="8990"/>
    <cellStyle name="60% - 强调文字颜色 6 2 2 2 2 4 3" xfId="8991"/>
    <cellStyle name="标题 2 2 3 5 2 3" xfId="8992"/>
    <cellStyle name="输入 2 2 6 2 3" xfId="8993"/>
    <cellStyle name="汇总 2 2 4 2 6 3 2 2" xfId="8994"/>
    <cellStyle name="强调文字颜色 3 3 2 2 4" xfId="8995"/>
    <cellStyle name="适中 2 4 2 3" xfId="8996"/>
    <cellStyle name="常规 4 2 2 3 2 2" xfId="8997"/>
    <cellStyle name="60% - 强调文字颜色 1 2 2 2 3 2 2" xfId="8998"/>
    <cellStyle name="计算 3 2 2 3 4 2" xfId="8999"/>
    <cellStyle name="标题 2 2 3 2 8" xfId="9000"/>
    <cellStyle name="60% - 强调文字颜色 6 2 3 9" xfId="9001"/>
    <cellStyle name="常规 11 2 4 2" xfId="9002"/>
    <cellStyle name="计算 2 2 5 3 3 4" xfId="9003"/>
    <cellStyle name="链接单元格 2 3 4" xfId="9004"/>
    <cellStyle name="链接单元格 4 2 2 2" xfId="9005"/>
    <cellStyle name="汇总 2 2 5 5 4" xfId="9006"/>
    <cellStyle name="20% - 强调文字颜色 4 2 3 2 2 2 2 2 2 2" xfId="9007"/>
    <cellStyle name="标题 4 3 2" xfId="9008"/>
    <cellStyle name="40% - 强调文字颜色 4 4 2 3 2 2" xfId="9009"/>
    <cellStyle name="汇总 3 3 2 4 2" xfId="9010"/>
    <cellStyle name="常规 6 2 2 2 5 2" xfId="9011"/>
    <cellStyle name="超链接 2 3 2 3 4" xfId="9012"/>
    <cellStyle name="40% - 强调文字颜色 6 2 2 2 2 4 2 2 2" xfId="9013"/>
    <cellStyle name="汇总 2 7 9 3" xfId="9014"/>
    <cellStyle name="输出 2 4 7 2 2" xfId="9015"/>
    <cellStyle name="常规 3 3 2 6" xfId="9016"/>
    <cellStyle name="20% - 强调文字颜色 1 2 2 2 5 2 2 2" xfId="9017"/>
    <cellStyle name="标题 4 2 3 4 2" xfId="9018"/>
    <cellStyle name="汇总 2 8 2 8" xfId="9019"/>
    <cellStyle name="汇总 2 2 4 2 3 3 2 2" xfId="9020"/>
    <cellStyle name="20% - 强调文字颜色 6 2 2 2 2 3 2 2 2 2" xfId="9021"/>
    <cellStyle name="计算 2 2 10 3 2 2" xfId="9022"/>
    <cellStyle name="60% - 强调文字颜色 2 2 3 3 2 2 2 2" xfId="9023"/>
    <cellStyle name="40% - 强调文字颜色 6 2 2 2 2 4" xfId="9024"/>
    <cellStyle name="计算 2 9 2 3 3" xfId="9025"/>
    <cellStyle name="适中 2 3 4 3 3" xfId="9026"/>
    <cellStyle name="标题 1 3 5 3" xfId="9027"/>
    <cellStyle name="标题 1 2 2 3 2 2 2 2" xfId="9028"/>
    <cellStyle name="常规 4 3 4 2 4" xfId="9029"/>
    <cellStyle name="汇总 2 8 2 2 3 2 2" xfId="9030"/>
    <cellStyle name="汇总 2 2 6 6 3 2 2" xfId="9031"/>
    <cellStyle name="输入 2 3" xfId="9032"/>
    <cellStyle name="汇总 2 2 11 3 3" xfId="9033"/>
    <cellStyle name="20% - 强调文字颜色 1 4 5 2" xfId="9034"/>
    <cellStyle name="注释 2 6 3" xfId="9035"/>
    <cellStyle name="标题 2 3 3 2" xfId="9036"/>
    <cellStyle name="好 2 4 3 3 2" xfId="9037"/>
    <cellStyle name="标题 1 2 3 7" xfId="9038"/>
    <cellStyle name="常规 9 3 4 5" xfId="9039"/>
    <cellStyle name="强调文字颜色 6 2 4 2 2" xfId="9040"/>
    <cellStyle name="20% - 强调文字颜色 3 2 2 2 3 2 2 2 2" xfId="9041"/>
    <cellStyle name="输入 2 2 2 3 2 3 2" xfId="9042"/>
    <cellStyle name="注释 2 2 2 2 9" xfId="9043"/>
    <cellStyle name="好 2 2 7 3" xfId="9044"/>
    <cellStyle name="60% - 强调文字颜色 2 4 5 2" xfId="9045"/>
    <cellStyle name="计算 2 4 2 3 3" xfId="9046"/>
    <cellStyle name="输入 2 2 4 11" xfId="9047"/>
    <cellStyle name="常规 10 3 8" xfId="9048"/>
    <cellStyle name="20% - 强调文字颜色 2 2 4 3 2 2" xfId="9049"/>
    <cellStyle name="20% - 强调文字颜色 5 2 3 5 2" xfId="9050"/>
    <cellStyle name="输出 2 2 6 4 3" xfId="9051"/>
    <cellStyle name="注释 2 3 2 3 2 2 2" xfId="9052"/>
    <cellStyle name="60% - 强调文字颜色 1 3 2 5 2" xfId="9053"/>
    <cellStyle name="输出 2 5 2 2 6" xfId="9054"/>
    <cellStyle name="60% - 强调文字颜色 3 6 2 2 2" xfId="9055"/>
    <cellStyle name="计算 2 2 8 3 8" xfId="9056"/>
    <cellStyle name="20% - 强调文字颜色 2 2 3 2 2 5 2" xfId="9057"/>
    <cellStyle name="常规 9 2 2 4 2" xfId="9058"/>
    <cellStyle name="汇总 2 2 3 3 6" xfId="9059"/>
    <cellStyle name="计算 3 9 2 2" xfId="9060"/>
    <cellStyle name="汇总 3 2 4 2 3" xfId="9061"/>
    <cellStyle name="汇总 2 2 3 6 2 2" xfId="9062"/>
    <cellStyle name="计算 2 3 2 2 2 2 2 2" xfId="9063"/>
    <cellStyle name="常规 9 2 4 2 3 2" xfId="9064"/>
    <cellStyle name="计算 2 8 2 2 2 2" xfId="9065"/>
    <cellStyle name="适中 2 2 4 2 2 2" xfId="9066"/>
    <cellStyle name="20% - 强调文字颜色 5 2 2 4 2 3 2" xfId="9067"/>
    <cellStyle name="强调文字颜色 4 2 2 4 3 3" xfId="9068"/>
    <cellStyle name="计算 2 2 5 3 3 3 2 2" xfId="9069"/>
    <cellStyle name="注释 2 6 5 2" xfId="9070"/>
    <cellStyle name="标题 3 4 2 3 2 3" xfId="9071"/>
    <cellStyle name="输出 2 2 3 2 2 2 2 4" xfId="9072"/>
    <cellStyle name="标题 2 3 3 4 2" xfId="9073"/>
    <cellStyle name="超链接 3 2 4 2" xfId="9074"/>
    <cellStyle name="40% - 强调文字颜色 1 2 4 2 2" xfId="9075"/>
    <cellStyle name="常规 11 4 2 3" xfId="9076"/>
    <cellStyle name="计算 2 5 2 5 6" xfId="9077"/>
    <cellStyle name="20% - 强调文字颜色 1 4 4 2 2" xfId="9078"/>
    <cellStyle name="常规 2 3 3 2 2 2 2 2" xfId="9079"/>
    <cellStyle name="汇总 5 3 2" xfId="9080"/>
    <cellStyle name="计算 2 3 2 9 2" xfId="9081"/>
    <cellStyle name="链接单元格 2 3 2 4 4" xfId="9082"/>
    <cellStyle name="输入 2 2 4 3 5 2" xfId="9083"/>
    <cellStyle name="差 2 10" xfId="9084"/>
    <cellStyle name="40% - 强调文字颜色 1 2 2 2 2 5 2 2 2" xfId="9085"/>
    <cellStyle name="常规 5 3 4 2 3 2" xfId="9086"/>
    <cellStyle name="计算 2 2 3 2 2 8" xfId="9087"/>
    <cellStyle name="注释 2 2 2 3 8" xfId="9088"/>
    <cellStyle name="常规 12 2 2 2 3 3" xfId="9089"/>
    <cellStyle name="20% - 强调文字颜色 2 3 9" xfId="9090"/>
    <cellStyle name="注释 2 7 2 6" xfId="9091"/>
    <cellStyle name="20% - 强调文字颜色 6 6 2 2 2" xfId="9092"/>
    <cellStyle name="20% - 强调文字颜色 3 2 3 4 2 2" xfId="9093"/>
    <cellStyle name="汇总 2 2 4 4 2 5 2" xfId="9094"/>
    <cellStyle name="注释 2 4 2 2 3 2 2" xfId="9095"/>
    <cellStyle name="常规 9 5 3 2" xfId="9096"/>
    <cellStyle name="标题 1 4 2 4" xfId="9097"/>
    <cellStyle name="好 3 2 2" xfId="9098"/>
    <cellStyle name="强调文字颜色 2 2 3 3 3" xfId="9099"/>
    <cellStyle name="标题 1 4 3 2 2" xfId="9100"/>
    <cellStyle name="40% - 强调文字颜色 6 2 2 6 2" xfId="9101"/>
    <cellStyle name="强调文字颜色 6 2 3 2 4 4" xfId="9102"/>
    <cellStyle name="计算 2 2 3 2 3 2" xfId="9103"/>
    <cellStyle name="常规 4 3 8 2" xfId="9104"/>
    <cellStyle name="20% - 强调文字颜色 2 4 3" xfId="9105"/>
    <cellStyle name="标题 3 4 2 2 3" xfId="9106"/>
    <cellStyle name="强调文字颜色 4 2 2 3 4" xfId="9107"/>
    <cellStyle name="强调文字颜色 1 2 2 2 5 2 3" xfId="9108"/>
    <cellStyle name="汇总 2 3 5 3 2" xfId="9109"/>
    <cellStyle name="60% - 强调文字颜色 4 3 5 2 2" xfId="9110"/>
    <cellStyle name="20% - 强调文字颜色 6 2 2 3 5" xfId="9111"/>
    <cellStyle name="40% - 强调文字颜色 4 2 2 5 2 2 2" xfId="9112"/>
    <cellStyle name="计算 2 2 3 4 6 2" xfId="9113"/>
    <cellStyle name="60% - 强调文字颜色 1 4 3 2" xfId="9114"/>
    <cellStyle name="40% - 强调文字颜色 6 2 2 6 3" xfId="9115"/>
    <cellStyle name="常规 4 3 8 3" xfId="9116"/>
    <cellStyle name="20% - 强调文字颜色 2 4 4" xfId="9117"/>
    <cellStyle name="计算 2 2 3 2 3 3" xfId="9118"/>
    <cellStyle name="40% - 强调文字颜色 6 2 3 2 2 4 2 2 2" xfId="9119"/>
    <cellStyle name="常规 12 2 2 3 2 2" xfId="9120"/>
    <cellStyle name="注释 2 2 3 2 7" xfId="9121"/>
    <cellStyle name="标题 1 4 3 2 3" xfId="9122"/>
    <cellStyle name="强调文字颜色 2 2 3 3 4" xfId="9123"/>
    <cellStyle name="20% - 强调文字颜色 2 2 2 2 3 3" xfId="9124"/>
    <cellStyle name="强调文字颜色 4 3 2 2 2 2" xfId="9125"/>
    <cellStyle name="60% - 强调文字颜色 4 2 9 2" xfId="9126"/>
    <cellStyle name="警告文本 2 3 2 8" xfId="9127"/>
    <cellStyle name="强调文字颜色 1 2 2 4 4 2 2" xfId="9128"/>
    <cellStyle name="检查单元格 2 2 3 5 2 2" xfId="9129"/>
    <cellStyle name="强调文字颜色 4 2 3 2 5 2" xfId="9130"/>
    <cellStyle name="汇总 2 8 2 2 2" xfId="9131"/>
    <cellStyle name="强调文字颜色 6 2 3 4 2 2" xfId="9132"/>
    <cellStyle name="检查单元格 2 2 2 2 2 2 2" xfId="9133"/>
    <cellStyle name="计算 2 2 4 2 4 2 3 3" xfId="9134"/>
    <cellStyle name="60% - 强调文字颜色 1 2 6 2 2" xfId="9135"/>
    <cellStyle name="警告文本 2 2 3 4 3" xfId="9136"/>
    <cellStyle name="20% - 强调文字颜色 6 3 6" xfId="9137"/>
    <cellStyle name="60% - 强调文字颜色 2 2 2 3 2 2 2 2 2" xfId="9138"/>
    <cellStyle name="60% - 强调文字颜色 1 2 2 3 4 2 2 2" xfId="9139"/>
    <cellStyle name="汇总 2 3 4 5 2 2" xfId="9140"/>
    <cellStyle name="好 3 2 4 2" xfId="9141"/>
    <cellStyle name="计算 2 3 5 2" xfId="9142"/>
    <cellStyle name="标题 5 2 4 2 4" xfId="9143"/>
    <cellStyle name="警告文本 2 2 3 3 3" xfId="9144"/>
    <cellStyle name="60% - 强调文字颜色 4 2 3 5 2 2" xfId="9145"/>
    <cellStyle name="汇总 2 10 3 2 2 2" xfId="9146"/>
    <cellStyle name="计算 2 2 4 2 4 2 2 3" xfId="9147"/>
    <cellStyle name="标题 2 2 3 2 3 2 2 2" xfId="9148"/>
    <cellStyle name="20% - 强调文字颜色 3 2 3 2 2 2" xfId="9149"/>
    <cellStyle name="20% - 强调文字颜色 2 2 2 3 7" xfId="9150"/>
    <cellStyle name="20% - 强调文字颜色 6 2 4 3 2 2 2" xfId="9151"/>
    <cellStyle name="标题 1 2 2 4" xfId="9152"/>
    <cellStyle name="常规 9 3 3 2" xfId="9153"/>
    <cellStyle name="60% - 强调文字颜色 2 3 2 2 3 2 2" xfId="9154"/>
    <cellStyle name="计算 2 4 9" xfId="9155"/>
    <cellStyle name="强调文字颜色 4 2 2 4 2 2 3" xfId="9156"/>
    <cellStyle name="解释性文本 2 2 2 2 4 2" xfId="9157"/>
    <cellStyle name="输出 2 2 6 3 5" xfId="9158"/>
    <cellStyle name="汇总 2 5 4 4 2 2" xfId="9159"/>
    <cellStyle name="计算 2 2 8 4 2 3" xfId="9160"/>
    <cellStyle name="常规 8 2 4 3 2 2" xfId="9161"/>
    <cellStyle name="40% - 强调文字颜色 4 2 3 7 2" xfId="9162"/>
    <cellStyle name="输入 2 7 11" xfId="9163"/>
    <cellStyle name="输出 2 3 2 3 2 2 2" xfId="9164"/>
    <cellStyle name="20% - 强调文字颜色 5 2 3 2 2 2 2 2 2 2" xfId="9165"/>
    <cellStyle name="计算 4 2 2 3 3" xfId="9166"/>
    <cellStyle name="差 2 3 3 2 2" xfId="9167"/>
    <cellStyle name="差 2 2 4 3 2" xfId="9168"/>
    <cellStyle name="汇总 2 3 2 2 3" xfId="9169"/>
    <cellStyle name="标题 2 2 2 2 2 2 2" xfId="9170"/>
    <cellStyle name="40% - 强调文字颜色 5 5 2 2 2 2" xfId="9171"/>
    <cellStyle name="输入 2 2 7" xfId="9172"/>
    <cellStyle name="60% - 强调文字颜色 5 2 3 6" xfId="9173"/>
    <cellStyle name="常规 10 3 2 5 2" xfId="9174"/>
    <cellStyle name="输入 2 3 2 5 2 2" xfId="9175"/>
    <cellStyle name="常规 5 5 2 3 3 3" xfId="9176"/>
    <cellStyle name="20% - 强调文字颜色 4 2 3 2 2 3" xfId="9177"/>
    <cellStyle name="解释性文本 4 2" xfId="9178"/>
    <cellStyle name="汇总 2 2 2 2 3 3" xfId="9179"/>
    <cellStyle name="差 2 2 3 2 2 3" xfId="9180"/>
    <cellStyle name="20% - 强调文字颜色 2 2 2 5 2 2" xfId="9181"/>
    <cellStyle name="40% - 强调文字颜色 2 2 2 5 2 2 2" xfId="9182"/>
    <cellStyle name="计算 2 4 2 2 2 8" xfId="9183"/>
    <cellStyle name="标题 2 2 2 2 2 2 3" xfId="9184"/>
    <cellStyle name="常规 9 2 2 2 2 2" xfId="9185"/>
    <cellStyle name="标题 3 2 3 2 4 3" xfId="9186"/>
    <cellStyle name="汇总 3 2 3 4 2 2" xfId="9187"/>
    <cellStyle name="汇总 2 5 2 2 6" xfId="9188"/>
    <cellStyle name="超链接 2 3 3 2 2" xfId="9189"/>
    <cellStyle name="输出 2 2 5 14" xfId="9190"/>
    <cellStyle name="强调文字颜色 4 2 3 2 3 3" xfId="9191"/>
    <cellStyle name="强调文字颜色 1 2 2 2 2 3 2" xfId="9192"/>
    <cellStyle name="输入 2 7 4 3 2" xfId="9193"/>
    <cellStyle name="超链接 3 3 3 3 2" xfId="9194"/>
    <cellStyle name="标题 2 2 2 2 2 3 2 2 2" xfId="9195"/>
    <cellStyle name="40% - 强调文字颜色 6 2 3 2 2 5 2" xfId="9196"/>
    <cellStyle name="输出 2 4 2 3 6" xfId="9197"/>
    <cellStyle name="40% - 强调文字颜色 2 2 2 6 3 2" xfId="9198"/>
    <cellStyle name="输入 4 3 2 2 2" xfId="9199"/>
    <cellStyle name="强调文字颜色 1 3 3 4" xfId="9200"/>
    <cellStyle name="标题 1 2 3 3 7" xfId="9201"/>
    <cellStyle name="标题 1 2 4 6" xfId="9202"/>
    <cellStyle name="60% - 强调文字颜色 5 4 2 2 2" xfId="9203"/>
    <cellStyle name="标题 2 2 2 2 4 2" xfId="9204"/>
    <cellStyle name="强调文字颜色 6 2 4 3 2 2" xfId="9205"/>
    <cellStyle name="计算 2 2 4 2 3" xfId="9206"/>
    <cellStyle name="强调文字颜色 6 2 2 2 3 2" xfId="9207"/>
    <cellStyle name="强调文字颜色 3 2 3 2 3 3 3" xfId="9208"/>
    <cellStyle name="标题 3 2 4 8" xfId="9209"/>
    <cellStyle name="强调文字颜色 2 2 2 2 4 3 2 2" xfId="9210"/>
    <cellStyle name="常规 5 2 3 3 2 4" xfId="9211"/>
    <cellStyle name="输入 2 2 4 2 2 5" xfId="9212"/>
    <cellStyle name="计算 2 4 2 2 10" xfId="9213"/>
    <cellStyle name="20% - 强调文字颜色 2 2 2 2 2" xfId="9214"/>
    <cellStyle name="标题 3 2 2 5 4" xfId="9215"/>
    <cellStyle name="20% - 强调文字颜色 4 2 3 2 4 3 2 2" xfId="9216"/>
    <cellStyle name="标题 3 3 2 2 3 2 3" xfId="9217"/>
    <cellStyle name="汇总 2 2 3 7" xfId="9218"/>
    <cellStyle name="20% - 强调文字颜色 1 2 2 2 2 2 2 2 2" xfId="9219"/>
    <cellStyle name="注释 2 2 4 2 7" xfId="9220"/>
    <cellStyle name="计算 2 7 3 2 3 2 2" xfId="9221"/>
    <cellStyle name="计算 2 3 3 2 4 2 2" xfId="9222"/>
    <cellStyle name="40% - 强调文字颜色 5 2 3" xfId="9223"/>
    <cellStyle name="注释 2 4 5 2 2 2 2" xfId="9224"/>
    <cellStyle name="20% - 强调文字颜色 5 2 2 2 4 3 2" xfId="9225"/>
    <cellStyle name="适中 2 2 2 4 2 2" xfId="9226"/>
    <cellStyle name="差 2 3 2 2 3 3" xfId="9227"/>
    <cellStyle name="注释 2 2 5 7 2 2" xfId="9228"/>
    <cellStyle name="输出 2 2 6 4 2" xfId="9229"/>
    <cellStyle name="强调文字颜色 4 2 2 6 2 2 2" xfId="9230"/>
    <cellStyle name="标题 2 2 2 2 3 2 3" xfId="9231"/>
    <cellStyle name="计算 2 4 2 3 2" xfId="9232"/>
    <cellStyle name="强调文字颜色 1 2 2 4 2 2 3" xfId="9233"/>
    <cellStyle name="计算 2 2 8 2 4 2 2" xfId="9234"/>
    <cellStyle name="输入 2 2 2 3 5 2 2" xfId="9235"/>
    <cellStyle name="输入 2 2 4 10" xfId="9236"/>
    <cellStyle name="60% - 强调文字颜色 3 2 3 2 2 4" xfId="9237"/>
    <cellStyle name="检查单元格 2 2 3 3 2 3" xfId="9238"/>
    <cellStyle name="汇总 2 4 4 3 2" xfId="9239"/>
    <cellStyle name="计算 3 2 6" xfId="9240"/>
    <cellStyle name="汇总 2 5 2 2 8" xfId="9241"/>
    <cellStyle name="标题 2 2 3" xfId="9242"/>
    <cellStyle name="链接单元格 2 2 6 2 2 2" xfId="9243"/>
    <cellStyle name="标题 5 2 2 2 3 2 2 2" xfId="9244"/>
    <cellStyle name="差 2 2 4 3" xfId="9245"/>
    <cellStyle name="标题 5 3 3 2 2 2" xfId="9246"/>
    <cellStyle name="20% - 强调文字颜色 4 2 2 2 3 3 2 2" xfId="9247"/>
    <cellStyle name="输出 2 2 3 3 4" xfId="9248"/>
    <cellStyle name="常规 4 8 4" xfId="9249"/>
    <cellStyle name="检查单元格 2 3 2 3 4" xfId="9250"/>
    <cellStyle name="40% - 强调文字颜色 5 2 2 3 6" xfId="9251"/>
    <cellStyle name="40% - 强调文字颜色 2 2 3 2 2 2 3 2" xfId="9252"/>
    <cellStyle name="标题 1 2 3 5 2 3" xfId="9253"/>
    <cellStyle name="输出 2 3 2 3 2 2" xfId="9254"/>
    <cellStyle name="40% - 强调文字颜色 4 2 3 7" xfId="9255"/>
    <cellStyle name="链接单元格 2 2 4 4" xfId="9256"/>
    <cellStyle name="20% - 强调文字颜色 4 2 2 4 3 3 2" xfId="9257"/>
    <cellStyle name="常规 5 2 5 3 3" xfId="9258"/>
    <cellStyle name="输入 2 2 6 9 2" xfId="9259"/>
    <cellStyle name="汇总 2 3 2 2 2 5" xfId="9260"/>
    <cellStyle name="汇总 2 2 4 3 2 4 2 2" xfId="9261"/>
    <cellStyle name="60% - 强调文字颜色 4 2 2 7" xfId="9262"/>
    <cellStyle name="汇总 2 10 2 4" xfId="9263"/>
    <cellStyle name="计算 2 2 3 4 2 3 2" xfId="9264"/>
    <cellStyle name="20% - 强调文字颜色 6 2 2 2 2 3 2 2" xfId="9265"/>
    <cellStyle name="20% - 强调文字颜色 4 3 4 2" xfId="9266"/>
    <cellStyle name="40% - 强调文字颜色 3 2 2 6" xfId="9267"/>
    <cellStyle name="60% - 强调文字颜色 6 3 2 2 3 2 2 2" xfId="9268"/>
    <cellStyle name="超链接 2 2 2 2 2 2 2" xfId="9269"/>
    <cellStyle name="好 2 2 2 5 3" xfId="9270"/>
    <cellStyle name="20% - 强调文字颜色 5 2 3 5 2 2 2" xfId="9271"/>
    <cellStyle name="强调文字颜色 2 2 4 2 3" xfId="9272"/>
    <cellStyle name="汇总 2 11 3" xfId="9273"/>
    <cellStyle name="20% - 强调文字颜色 3 3 3" xfId="9274"/>
    <cellStyle name="计算 2 2 2 2 5 2" xfId="9275"/>
    <cellStyle name="计算 2 2 4 5 5" xfId="9276"/>
    <cellStyle name="40% - 强调文字颜色 3 2 3 2 2 2 2" xfId="9277"/>
    <cellStyle name="40% - 强调文字颜色 6 2 2 2 2 3" xfId="9278"/>
    <cellStyle name="货币[0]" xfId="9279" builtinId="7"/>
    <cellStyle name="汇总 2 2 3 2 2 6 2 2" xfId="9280"/>
    <cellStyle name="60% - 强调文字颜色 2 5 2" xfId="9281"/>
    <cellStyle name="40% - 强调文字颜色 4 2 3 2 2 3 2 2 2" xfId="9282"/>
    <cellStyle name="20% - 强调文字颜色 2 2 2 9 2" xfId="9283"/>
    <cellStyle name="标题 1 2 2 2 5 2" xfId="9284"/>
    <cellStyle name="输入 2 7 4" xfId="9285"/>
    <cellStyle name="强调文字颜色 1 2 2 2 2" xfId="9286"/>
    <cellStyle name="输出 2 5 3 5 2 2" xfId="9287"/>
    <cellStyle name="计算 2 2 3 2 4" xfId="9288"/>
    <cellStyle name="常规 3 2 3 2 2" xfId="9289"/>
    <cellStyle name="标题 2 2 2 3 2 2" xfId="9290"/>
    <cellStyle name="60% - 强调文字颜色 5 4 2 4" xfId="9291"/>
    <cellStyle name="标题 2 2 2 2 4 2 2 3" xfId="9292"/>
    <cellStyle name="输入 2 2 5 2 2 5" xfId="9293"/>
    <cellStyle name="输出 3 3 5 2 2" xfId="9294"/>
    <cellStyle name="强调文字颜色 2 2 3 2 2 2 2" xfId="9295"/>
    <cellStyle name="20% - 强调文字颜色 2 3 2 2 2" xfId="9296"/>
    <cellStyle name="Normal 5 3" xfId="9297"/>
    <cellStyle name="汇总 2 5 3 2 3" xfId="9298"/>
    <cellStyle name="60% - 强调文字颜色 3 3 5 2" xfId="9299"/>
    <cellStyle name="汇总 2 4 3 2 2 3" xfId="9300"/>
    <cellStyle name="60% - 强调文字颜色 2 2 4 3 2" xfId="9301"/>
    <cellStyle name="60% - 强调文字颜色 6 2 2 8 2" xfId="9302"/>
    <cellStyle name="输入 2 5 6 3" xfId="9303"/>
    <cellStyle name="计算 2 2 5 3 2 3 2" xfId="9304"/>
    <cellStyle name="汇总 2 2 2 6 2" xfId="9305"/>
    <cellStyle name="常规 9 2 3 2 3" xfId="9306"/>
    <cellStyle name="汇总 2 2 6 4 2 2 3" xfId="9307"/>
    <cellStyle name="链接单元格 2 2 2 2 3" xfId="9308"/>
    <cellStyle name="标题 4 2 2 7" xfId="9309"/>
    <cellStyle name="计算 4 8" xfId="9310"/>
    <cellStyle name="60% - 强调文字颜色 5 2 2 2 2 4 2" xfId="9311"/>
    <cellStyle name="常规 6 2 2 5 2 2 2" xfId="9312"/>
    <cellStyle name="超链接 2 4 3 3" xfId="9313"/>
    <cellStyle name="20% - 强调文字颜色 5 2 3 2 2 4 3 2" xfId="9314"/>
    <cellStyle name="60% - 强调文字颜色 6 2 2 2 2 4 2 2 2" xfId="9315"/>
    <cellStyle name="汇总 2 5 3 2 3 3" xfId="9316"/>
    <cellStyle name="60% - 强调文字颜色 3 2 4 4 2" xfId="9317"/>
    <cellStyle name="20% - 强调文字颜色 2 2 3 2 3" xfId="9318"/>
    <cellStyle name="标题 2 2 4 2 2 2" xfId="9319"/>
    <cellStyle name="常规 13 3 3 3 2 2" xfId="9320"/>
    <cellStyle name="标题 3 2 7" xfId="9321"/>
    <cellStyle name="计算 2 2 6 9" xfId="9322"/>
    <cellStyle name="60% - 强调文字颜色 4 2 7 2" xfId="9323"/>
    <cellStyle name="输入 2 2 3 2 2 2 2 2 2" xfId="9324"/>
    <cellStyle name="汇总 2 2 2 4 2 3" xfId="9325"/>
    <cellStyle name="标题 2 2 2 2 4 4" xfId="9326"/>
    <cellStyle name="标题 2 2 2 2 5 2 2" xfId="9327"/>
    <cellStyle name="标题 2 2 2 2 5 2 2 2" xfId="9328"/>
    <cellStyle name="60% - 强调文字颜色 6 4 2 3" xfId="9329"/>
    <cellStyle name="常规 5 4 4 3 3" xfId="9330"/>
    <cellStyle name="计算 2 2 10 2 3 2" xfId="9331"/>
    <cellStyle name="常规 9 3 6" xfId="9332"/>
    <cellStyle name="汇总 2 2 4 2 3 2 3 2" xfId="9333"/>
    <cellStyle name="注释 2 2 7 2 4" xfId="9334"/>
    <cellStyle name="60% - 强调文字颜色 6 2 2 2 4 3 2" xfId="9335"/>
    <cellStyle name="20% - 强调文字颜色 6 2 2 2 2 2 3 3 2" xfId="9336"/>
    <cellStyle name="解释性文本 2 3 2 6 3" xfId="9337"/>
    <cellStyle name="40% - 强调文字颜色 4 2 3 2 5 2 2 2" xfId="9338"/>
    <cellStyle name="标题 3 3 3 2 2 2 2" xfId="9339"/>
    <cellStyle name="标题 1 2 2 2 2 5 2 2" xfId="9340"/>
    <cellStyle name="20% - 强调文字颜色 6 3 3 4 2" xfId="9341"/>
    <cellStyle name="常规 5 2 5" xfId="9342"/>
    <cellStyle name="汇总 2 2 6 6 3 2" xfId="9343"/>
    <cellStyle name="输出 2 4 2 11" xfId="9344"/>
    <cellStyle name="20% - 强调文字颜色 6 2 2 4 4 2" xfId="9345"/>
    <cellStyle name="汇总 2 7 4 2 4" xfId="9346"/>
    <cellStyle name="40% - 强调文字颜色 2 4 4" xfId="9347"/>
    <cellStyle name="输入 2 2 2 2 6" xfId="9348"/>
    <cellStyle name="计算 2 6 2 2 7 2" xfId="9349"/>
    <cellStyle name="40% - 强调文字颜色 2 2 3 7" xfId="9350"/>
    <cellStyle name="输出 4 2 2 2 3" xfId="9351"/>
    <cellStyle name="适中 2 2 3 2 3" xfId="9352"/>
    <cellStyle name="汇总 2 2 2 4 3 2" xfId="9353"/>
    <cellStyle name="标题 2 2 2 2 5 3" xfId="9354"/>
    <cellStyle name="标题 2 2 2 2 6 2" xfId="9355"/>
    <cellStyle name="汇总 2 2 8 3 2 2 2" xfId="9356"/>
    <cellStyle name="60% - 强调文字颜色 5 2 3 2 2 3" xfId="9357"/>
    <cellStyle name="百分比 2 3" xfId="9358"/>
    <cellStyle name="输出 2 9 2 4" xfId="9359"/>
    <cellStyle name="20% - 强调文字颜色 3 3 2 2 3 2 2" xfId="9360"/>
    <cellStyle name="输出 2 6 2 7" xfId="9361"/>
    <cellStyle name="常规 8 3" xfId="9362"/>
    <cellStyle name="60% - 强调文字颜色 1 2 2 6 3 2" xfId="9363"/>
    <cellStyle name="标题 3 2 3 6 2 2 2" xfId="9364"/>
    <cellStyle name="强调文字颜色 2 2 4 4 2 2" xfId="9365"/>
    <cellStyle name="汇总 2 13 2 2" xfId="9366"/>
    <cellStyle name="20% - 强调文字颜色 4 2 3 2 2 3 3" xfId="9367"/>
    <cellStyle name="20% - 强调文字颜色 3 5 2 2" xfId="9368"/>
    <cellStyle name="常规 7 3 2 3 2 2" xfId="9369"/>
    <cellStyle name="强调文字颜色 5 2 3 2 3 2" xfId="9370"/>
    <cellStyle name="警告文本 2 2 3 3 2 3" xfId="9371"/>
    <cellStyle name="警告文本 2 2 2 4 4" xfId="9372"/>
    <cellStyle name="40% - 强调文字颜色 6 2 5 2 2" xfId="9373"/>
    <cellStyle name="强调文字颜色 6 2 3 4 2 3" xfId="9374"/>
    <cellStyle name="汇总 2 8 2 2 3" xfId="9375"/>
    <cellStyle name="20% - 强调文字颜色 2 2 3 6 2" xfId="9376"/>
    <cellStyle name="标题 1 2 2 3 2 2" xfId="9377"/>
    <cellStyle name="标题 2 2 2 2 7" xfId="9378"/>
    <cellStyle name="汇总 2 2 8 3 2 3" xfId="9379"/>
    <cellStyle name="40% - 强调文字颜色 3 3 2" xfId="9380"/>
    <cellStyle name="注释 2 2 4 3 8" xfId="9381"/>
    <cellStyle name="60% - 强调文字颜色 2 2 2 2 2 2 2" xfId="9382"/>
    <cellStyle name="标题 2 2 2 2 7 2" xfId="9383"/>
    <cellStyle name="计算 3 2 2 2 4 2" xfId="9384"/>
    <cellStyle name="60% - 强调文字颜色 1 2 2 2 2 2 2" xfId="9385"/>
    <cellStyle name="输入 3 8 2" xfId="9386"/>
    <cellStyle name="40% - 强调文字颜色 3 3 3" xfId="9387"/>
    <cellStyle name="汇总 2 2 8 3 2 4" xfId="9388"/>
    <cellStyle name="标题 2 2 2 2 8" xfId="9389"/>
    <cellStyle name="60% - 强调文字颜色 6 3 2 3" xfId="9390"/>
    <cellStyle name="计算 2 4 2 3 3 2" xfId="9391"/>
    <cellStyle name="输出 2 2 5 8" xfId="9392"/>
    <cellStyle name="标题 2 6 2" xfId="9393"/>
    <cellStyle name="输入 2 2 5 2 3" xfId="9394"/>
    <cellStyle name="60% - 强调文字颜色 2 2 2 3 4 2" xfId="9395"/>
    <cellStyle name="汇总 2 4 2 6 3" xfId="9396"/>
    <cellStyle name="60% - 强调文字颜色 6 2 3 5 2 2 3" xfId="9397"/>
    <cellStyle name="注释 2 4 2 12" xfId="9398"/>
    <cellStyle name="标题 2 2 2 3 2 2 2" xfId="9399"/>
    <cellStyle name="20% - 强调文字颜色 4 2 2 2 2 2 3 3 2" xfId="9400"/>
    <cellStyle name="40% - 强调文字颜色 6 2 3 2 4 3" xfId="9401"/>
    <cellStyle name="20% - 强调文字颜色 1 2 3 2 2 2" xfId="9402"/>
    <cellStyle name="链接单元格 2 3 4 3 3" xfId="9403"/>
    <cellStyle name="输入 2 2 7 2 2 4" xfId="9404"/>
    <cellStyle name="汇总 2 2 2 2 2 2 2 3" xfId="9405"/>
    <cellStyle name="常规 2 2 2 2 2 2 2 2" xfId="9406"/>
    <cellStyle name="40% - 强调文字颜色 2 2 2 3 4" xfId="9407"/>
    <cellStyle name="40% - 强调文字颜色 1 4 5 2" xfId="9408"/>
    <cellStyle name="标题 2 2 2 2 6 2 2 2" xfId="9409"/>
    <cellStyle name="计算 2 5 3 2 2 2 2" xfId="9410"/>
    <cellStyle name="注释 2 2 2 5 2 2" xfId="9411"/>
    <cellStyle name="60% - 强调文字颜色 5 2 3 5" xfId="9412"/>
    <cellStyle name="计算 2 2 3 2 6 3" xfId="9413"/>
    <cellStyle name="20% - 强调文字颜色 1 2 6 3 2" xfId="9414"/>
    <cellStyle name="汇总 6 2 3" xfId="9415"/>
    <cellStyle name="60% - 强调文字颜色 3 2 2 3 6" xfId="9416"/>
    <cellStyle name="汇总 2 3 2 2 4 2 2" xfId="9417"/>
    <cellStyle name="汇总 2 6 3 3 3" xfId="9418"/>
    <cellStyle name="汇总 2 2 2 2 3 4 2" xfId="9419"/>
    <cellStyle name="解释性文本 4 3 2" xfId="9420"/>
    <cellStyle name="常规 2 3 2 4 3 2 2" xfId="9421"/>
    <cellStyle name="40% - 强调文字颜色 1 2 3 2 2 2 2 2 2 2" xfId="9422"/>
    <cellStyle name="60% - 强调文字颜色 4 2 3 2 4" xfId="9423"/>
    <cellStyle name="60% - 强调文字颜色 1 2 3 3" xfId="9424"/>
    <cellStyle name="输入 2 6 2 3 2 2" xfId="9425"/>
    <cellStyle name="注释 2 2 5 2 2" xfId="9426"/>
    <cellStyle name="输入 2 2 3 3 2 5" xfId="9427"/>
    <cellStyle name="标题 2 2 2 3 2 2 2 2" xfId="9428"/>
    <cellStyle name="常规 5 2 2 4 2 4" xfId="9429"/>
    <cellStyle name="标题 2 2 2 2 2 4 2 2" xfId="9430"/>
    <cellStyle name="输出 2 2 3 2 13" xfId="9431"/>
    <cellStyle name="好 2 3 3" xfId="9432"/>
    <cellStyle name="常规 9 4 4 3" xfId="9433"/>
    <cellStyle name="汇总 3 2 2 7 2" xfId="9434"/>
    <cellStyle name="标题 1 3 3 5" xfId="9435"/>
    <cellStyle name="汇总 2 2 2 2 2 2 2" xfId="9436"/>
    <cellStyle name="输出 2 4 4 3 2" xfId="9437"/>
    <cellStyle name="常规 2 3 2 3 2" xfId="9438"/>
    <cellStyle name="强调文字颜色 3 3 2 2 2 2" xfId="9439"/>
    <cellStyle name="输出 2 2 2 2 2 2 2 2 2" xfId="9440"/>
    <cellStyle name="20% - 强调文字颜色 1 2 2 2 3 3" xfId="9441"/>
    <cellStyle name="输入 2 2 2 2 2 2 7" xfId="9442"/>
    <cellStyle name="好 3 2 2 3 2 2 2" xfId="9443"/>
    <cellStyle name="输出 2 4 3 3 3" xfId="9444"/>
    <cellStyle name="常规 5 2 2 4 2 4 2" xfId="9445"/>
    <cellStyle name="标题 2 2 2 3 2 2 2 2 2" xfId="9446"/>
    <cellStyle name="60% - 强调文字颜色 4 2 3 2 4 2" xfId="9447"/>
    <cellStyle name="60% - 强调文字颜色 1 2 3 3 2" xfId="9448"/>
    <cellStyle name="汇总 2 5 2 5 3" xfId="9449"/>
    <cellStyle name="计算 2 2 4 4 3 3 3" xfId="9450"/>
    <cellStyle name="60% - 强调文字颜色 2 2 3 3 3 2" xfId="9451"/>
    <cellStyle name="汇总 2 5 3 3 2 3" xfId="9452"/>
    <cellStyle name="60% - 强调文字颜色 3 2 5 3 2" xfId="9453"/>
    <cellStyle name="标题 4 2 4 3" xfId="9454"/>
    <cellStyle name="40% - 强调文字颜色 6 2 2 2 2 4 2 2" xfId="9455"/>
    <cellStyle name="解释性文本 2 4 5" xfId="9456"/>
    <cellStyle name="输入 2 18" xfId="9457"/>
    <cellStyle name="计算 2 5 2 4 8" xfId="9458"/>
    <cellStyle name="计算 2 6 2 2 2 5 2" xfId="9459"/>
    <cellStyle name="强调文字颜色 6 2 2 2 2 2 2 3" xfId="9460"/>
    <cellStyle name="20% - 强调文字颜色 3 2 7 2 2" xfId="9461"/>
    <cellStyle name="常规 5 2 4 2 5" xfId="9462"/>
    <cellStyle name="标题 2 2 2 3 2 2 3" xfId="9463"/>
    <cellStyle name="标题 2 2 2 3 3 2 2" xfId="9464"/>
    <cellStyle name="常规 5 2 3 4 2 4" xfId="9465"/>
    <cellStyle name="输入 2 2 4 3 2 5" xfId="9466"/>
    <cellStyle name="标题 2 2 2 3 3 2 2 2" xfId="9467"/>
    <cellStyle name="好 2 2 3 4 2 2 2" xfId="9468"/>
    <cellStyle name="20% - 强调文字颜色 4 2 7 2" xfId="9469"/>
    <cellStyle name="60% - 强调文字颜色 4 2 3 2 3 3 2" xfId="9470"/>
    <cellStyle name="输入 2 2 4 4 3 2 2" xfId="9471"/>
    <cellStyle name="40% - 强调文字颜色 2 2 3 4" xfId="9472"/>
    <cellStyle name="60% - 强调文字颜色 3 2 3 2 4 2 2" xfId="9473"/>
    <cellStyle name="标题 2 2 2 2 2 2 3 3" xfId="9474"/>
    <cellStyle name="40% - 强调文字颜色 5 2 2 3 4 2 2 2" xfId="9475"/>
    <cellStyle name="常规 5 2 3 4 5 2" xfId="9476"/>
    <cellStyle name="输入 2 2 7 6 2" xfId="9477"/>
    <cellStyle name="标题 3 3 4 2 2 2" xfId="9478"/>
    <cellStyle name="标题 2 2 2 3 3 3 3" xfId="9479"/>
    <cellStyle name="汇总 2 4 5 3" xfId="9480"/>
    <cellStyle name="输入 2 12" xfId="9481"/>
    <cellStyle name="注释 2 4 2 4 2 2" xfId="9482"/>
    <cellStyle name="计算 2 5 2 4 2" xfId="9483"/>
    <cellStyle name="40% - 强调文字颜色 1 4 2 3 2 2 2" xfId="9484"/>
    <cellStyle name="20% - 强调文字颜色 3 2 5 3 2" xfId="9485"/>
    <cellStyle name="计算 4 5" xfId="9486"/>
    <cellStyle name="汇总 2 2 5 2 4 2 2" xfId="9487"/>
    <cellStyle name="适中 2 2 4 3 4" xfId="9488"/>
    <cellStyle name="标题 4 2 2 2 2 2 2" xfId="9489"/>
    <cellStyle name="20% - 强调文字颜色 5 2 2 2 2 2 4 2 2" xfId="9490"/>
    <cellStyle name="输入 2 2 8 7 3" xfId="9491"/>
    <cellStyle name="常规 3 2 2 4 3 3" xfId="9492"/>
    <cellStyle name="汇总 2 2 4 2 2 7 2" xfId="9493"/>
    <cellStyle name="计算 2 2 5 3 2 2 3" xfId="9494"/>
    <cellStyle name="输入 2 5 5 4" xfId="9495"/>
    <cellStyle name="60% - 强调文字颜色 2 3 2 2 2 2" xfId="9496"/>
    <cellStyle name="标题 5 2 2 6" xfId="9497"/>
    <cellStyle name="链接单元格 2 3 2 2 2" xfId="9498"/>
    <cellStyle name="汇总 2 2 4 2 10 2 2" xfId="9499"/>
    <cellStyle name="标题 2 6 2 2 2" xfId="9500"/>
    <cellStyle name="标题 4 2 4 5 3" xfId="9501"/>
    <cellStyle name="60% - 强调文字颜色 4 2 2 6 2 2 2" xfId="9502"/>
    <cellStyle name="注释 2 3 3 8" xfId="9503"/>
    <cellStyle name="输入 2 2 16 2" xfId="9504"/>
    <cellStyle name="输出 2 3 2 2 4 2 2" xfId="9505"/>
    <cellStyle name="汇总 6 3" xfId="9506"/>
    <cellStyle name="40% - 强调文字颜色 3 2 2 3 5 2 2" xfId="9507"/>
    <cellStyle name="常规 2 3 4 3 2 2" xfId="9508"/>
    <cellStyle name="计算 2 3 3 9" xfId="9509"/>
    <cellStyle name="解释性文本 2 2 2 7" xfId="9510"/>
    <cellStyle name="输入 2 3 8 2 2" xfId="9511"/>
    <cellStyle name="计算 2 6 2 2 2 2" xfId="9512"/>
    <cellStyle name="标题 5 2 3 4 4" xfId="9513"/>
    <cellStyle name="60% - 强调文字颜色 4 3 7" xfId="9514"/>
    <cellStyle name="输入 2 2 3 2 2 2 3 2" xfId="9515"/>
    <cellStyle name="40% - 强调文字颜色 1 2 5 2" xfId="9516"/>
    <cellStyle name="超链接 3 3 4" xfId="9517"/>
    <cellStyle name="60% - 强调文字颜色 6 2 3 3 2 2 2 2" xfId="9518"/>
    <cellStyle name="常规 5 2 2 6 3" xfId="9519"/>
    <cellStyle name="60% - 强调文字颜色 5 2 3 3 2 2 2 2" xfId="9520"/>
    <cellStyle name="60% - 强调文字颜色 4 2 5 3" xfId="9521"/>
    <cellStyle name="输出 2 5 2 2 2 2 3" xfId="9522"/>
    <cellStyle name="汇总 2 5 2 2 8 2" xfId="9523"/>
    <cellStyle name="汇总 2 6 4 3 3" xfId="9524"/>
    <cellStyle name="输入 2 2 7 3 2 4" xfId="9525"/>
    <cellStyle name="20% - 强调文字颜色 1 2 3 3 2 2" xfId="9526"/>
    <cellStyle name="汇总 2 2 3 3 3" xfId="9527"/>
    <cellStyle name="输出 3 10 2" xfId="9528"/>
    <cellStyle name="输出 2 2 5 8 2" xfId="9529"/>
    <cellStyle name="计算 2 4 2 3 3 2 2" xfId="9530"/>
    <cellStyle name="汇总 2 2 2 5 2 2" xfId="9531"/>
    <cellStyle name="标题 2 2 2 3 4 3" xfId="9532"/>
    <cellStyle name="60% - 强调文字颜色 1 2 2 2 2 2 2 2" xfId="9533"/>
    <cellStyle name="60% - 强调文字颜色 6 3 2 3 2" xfId="9534"/>
    <cellStyle name="输入 2 2 5 2 3 2" xfId="9535"/>
    <cellStyle name="常规 5 3 4 3" xfId="9536"/>
    <cellStyle name="输入 2 4 2 3 2 2 2" xfId="9537"/>
    <cellStyle name="强调文字颜色 5 2 2 2 5" xfId="9538"/>
    <cellStyle name="40% - 强调文字颜色 4 2 2 2 2 2 2 2 2 2 2" xfId="9539"/>
    <cellStyle name="强调文字颜色 1 2 2 3 2 2 2 3" xfId="9540"/>
    <cellStyle name="汇总 2 9 2 2 3" xfId="9541"/>
    <cellStyle name="常规 4 8 4 2" xfId="9542"/>
    <cellStyle name="强调文字颜色 6 2 4 4 2 3" xfId="9543"/>
    <cellStyle name="好 2 3 2 4 3" xfId="9544"/>
    <cellStyle name="适中 2 2 2 2 8" xfId="9545"/>
    <cellStyle name="汇总 2 3 2 2 6 2" xfId="9546"/>
    <cellStyle name="输出 2 6 4 5" xfId="9547"/>
    <cellStyle name="标题 1 2 3 3 2 2" xfId="9548"/>
    <cellStyle name="汇总 2 2 2 4 2 4" xfId="9549"/>
    <cellStyle name="输出 2 2 4 11" xfId="9550"/>
    <cellStyle name="汇总 2 2 2 5 2 3" xfId="9551"/>
    <cellStyle name="标题 2 2 2 3 4 4" xfId="9552"/>
    <cellStyle name="强调文字颜色 5 2 2 2 6" xfId="9553"/>
    <cellStyle name="输出 2 7 4 4" xfId="9554"/>
    <cellStyle name="汇总 2 5 2 3 6 3" xfId="9555"/>
    <cellStyle name="常规 5 2 3 4 4" xfId="9556"/>
    <cellStyle name="常规 4 2 3 2 2" xfId="9557"/>
    <cellStyle name="20% - 强调文字颜色 4 2 2 2 2 5 2 2" xfId="9558"/>
    <cellStyle name="60% - 强调文字颜色 4 3 3 4" xfId="9559"/>
    <cellStyle name="输入 2 2 7 5" xfId="9560"/>
    <cellStyle name="警告文本 3 2" xfId="9561"/>
    <cellStyle name="汇总 2 4 2 3 6" xfId="9562"/>
    <cellStyle name="标题 3 2 2 2 5 3" xfId="9563"/>
    <cellStyle name="60% - 强调文字颜色 1 2 2 2 2 2 3 2" xfId="9564"/>
    <cellStyle name="汇总 2 2 2 5 3 2" xfId="9565"/>
    <cellStyle name="标题 2 2 2 3 5 3" xfId="9566"/>
    <cellStyle name="强调文字颜色 3 2 2 4 2 3 2" xfId="9567"/>
    <cellStyle name="汇总 3 2 2 3 3 2 2" xfId="9568"/>
    <cellStyle name="输出 2 4 5 2" xfId="9569"/>
    <cellStyle name="强调文字颜色 2 2 2 3 2 2" xfId="9570"/>
    <cellStyle name="20% - 强调文字颜色 1 4 2 2" xfId="9571"/>
    <cellStyle name="汇总 3 3 2 2 3" xfId="9572"/>
    <cellStyle name="计算 4 7 2 2" xfId="9573"/>
    <cellStyle name="输入 2 4 2 2 3 2 2" xfId="9574"/>
    <cellStyle name="常规 4 4 4 3" xfId="9575"/>
    <cellStyle name="40% - 强调文字颜色 6 2 3 2 3" xfId="9576"/>
    <cellStyle name="强调文字颜色 1 3 10" xfId="9577"/>
    <cellStyle name="常规 4 2 3 3 2 2" xfId="9578"/>
    <cellStyle name="汇总 3 2 10" xfId="9579"/>
    <cellStyle name="汇总 2 2 8 3 3 2 2" xfId="9580"/>
    <cellStyle name="60% - 强调文字颜色 3 4 4 2 2 2" xfId="9581"/>
    <cellStyle name="强调文字颜色 5 2 2 4 4" xfId="9582"/>
    <cellStyle name="标题 4 4 2 3 3" xfId="9583"/>
    <cellStyle name="标题 2 2 2 3 6 2" xfId="9584"/>
    <cellStyle name="60% - 强调文字颜色 2 3 4" xfId="9585"/>
    <cellStyle name="输出 2 3 2 8 2" xfId="9586"/>
    <cellStyle name="常规 10 2 2 2 2 5" xfId="9587"/>
    <cellStyle name="常规 3 2 4 3 5" xfId="9588"/>
    <cellStyle name="解释性文本 3 2 2 3 2" xfId="9589"/>
    <cellStyle name="计算 2 2 2 2 3 4" xfId="9590"/>
    <cellStyle name="计算 2 2 4 3 7" xfId="9591"/>
    <cellStyle name="标题 2 2 2 3 6 2 2" xfId="9592"/>
    <cellStyle name="强调文字颜色 5 2 2 4 4 2" xfId="9593"/>
    <cellStyle name="标题 2 2 2 4 2 3 3" xfId="9594"/>
    <cellStyle name="常规 5 3 2 2 2 4" xfId="9595"/>
    <cellStyle name="汇总 2 5 2 5 2 2 2" xfId="9596"/>
    <cellStyle name="60% - 强调文字颜色 1 6 2" xfId="9597"/>
    <cellStyle name="计算 2 2 5 2 2 3 2 2" xfId="9598"/>
    <cellStyle name="汇总 2 2 2 2 2 2 4" xfId="9599"/>
    <cellStyle name="输入 2 7 3" xfId="9600"/>
    <cellStyle name="强调文字颜色 3 2 3 5 2" xfId="9601"/>
    <cellStyle name="强调文字颜色 5 2 4 4 2 2 2" xfId="9602"/>
    <cellStyle name="标题 1 2 2 3 4 2 2" xfId="9603"/>
    <cellStyle name="汇总 2 2 5 2 5 3" xfId="9604"/>
    <cellStyle name="输入 5 4" xfId="9605"/>
    <cellStyle name="60% - 强调文字颜色 4 2 2 2 5" xfId="9606"/>
    <cellStyle name="输入 2 2 3 2 2 6" xfId="9607"/>
    <cellStyle name="常规 5 2 2 3 2 5" xfId="9608"/>
    <cellStyle name="标题 3 2 2 6 2 2" xfId="9609"/>
    <cellStyle name="强调文字颜色 2 5" xfId="9610"/>
    <cellStyle name="注释 2 4 6" xfId="9611"/>
    <cellStyle name="输入 2 6 4 4" xfId="9612"/>
    <cellStyle name="标题 3 2 3 2 3 2" xfId="9613"/>
    <cellStyle name="超链接 3 2 3 4" xfId="9614"/>
    <cellStyle name="汇总 2 3 2 2 3 2 3" xfId="9615"/>
    <cellStyle name="汇总 5 2 4" xfId="9616"/>
    <cellStyle name="强调文字颜色 5 2 4 2 2 2 3" xfId="9617"/>
    <cellStyle name="差 2 3 3 2 2 2 3" xfId="9618"/>
    <cellStyle name="标题 2 2 3 9" xfId="9619"/>
    <cellStyle name="汇总 2 6 2 3 4" xfId="9620"/>
    <cellStyle name="强调文字颜色 6 2 2 5 2 2" xfId="9621"/>
    <cellStyle name="40% - 强调文字颜色 1 4 2" xfId="9622"/>
    <cellStyle name="汇总 2 7 3 2 2" xfId="9623"/>
    <cellStyle name="40% - 强调文字颜色 6 2 2 3 4 2" xfId="9624"/>
    <cellStyle name="常规 2 2 2 3 4" xfId="9625"/>
    <cellStyle name="计算 2 2 7 2 8" xfId="9626"/>
    <cellStyle name="标题 4 2 3 2 2 2 2 2 3" xfId="9627"/>
    <cellStyle name="解释性文本 2 4 3 5" xfId="9628"/>
    <cellStyle name="计算 2 7 10 3" xfId="9629"/>
    <cellStyle name="40% - 强调文字颜色 6 2 2 2 3 2" xfId="9630"/>
    <cellStyle name="百分比 2 2 3 3 3" xfId="9631"/>
    <cellStyle name="标题 2 2 2 5" xfId="9632"/>
    <cellStyle name="汇总 2 2 3 3 2 4" xfId="9633"/>
    <cellStyle name="输入 2 2 2 2 2 2 2 2 2" xfId="9634"/>
    <cellStyle name="标题 1 2 4 2 2 2" xfId="9635"/>
    <cellStyle name="警告文本 2 2 4 2 2" xfId="9636"/>
    <cellStyle name="60% - 强调文字颜色 6 2 4 5 2 2" xfId="9637"/>
    <cellStyle name="标题 2 2 2 5 2" xfId="9638"/>
    <cellStyle name="计算 2 2 3 2 5 2 2" xfId="9639"/>
    <cellStyle name="常规 12 2 2 3" xfId="9640"/>
    <cellStyle name="20% - 强调文字颜色 1 5 2 2 2" xfId="9641"/>
    <cellStyle name="40% - 强调文字颜色 6 3 5 2 2 2" xfId="9642"/>
    <cellStyle name="20% - 强调文字颜色 6 3 2 2 2 2 2 2" xfId="9643"/>
    <cellStyle name="标题 2 5" xfId="9644"/>
    <cellStyle name="注释 2 3 2 2 3 2 2" xfId="9645"/>
    <cellStyle name="差 2 2 2 2 6 3" xfId="9646"/>
    <cellStyle name="20% - 强调文字颜色 2 2 3 4 2 2" xfId="9647"/>
    <cellStyle name="检查单元格 2 3 2" xfId="9648"/>
    <cellStyle name="常规 3 7 3" xfId="9649"/>
    <cellStyle name="标题 2 2 2 5 2 2 3" xfId="9650"/>
    <cellStyle name="20% - 强调文字颜色 2 2 2 4 2 2" xfId="9651"/>
    <cellStyle name="超链接 2 3 4 2 2 3" xfId="9652"/>
    <cellStyle name="常规 5 5 2 2 3 3" xfId="9653"/>
    <cellStyle name="好 2 2 2 2 4 4" xfId="9654"/>
    <cellStyle name="标题 1 2 2 2 2 2 2" xfId="9655"/>
    <cellStyle name="40% - 强调文字颜色 2 2 2 5 3 2 2" xfId="9656"/>
    <cellStyle name="20% - 强调文字颜色 2 2 2 6 2 2" xfId="9657"/>
    <cellStyle name="输入 2 7 2 2 5" xfId="9658"/>
    <cellStyle name="输入 2 2 4 5 2 2 2 2" xfId="9659"/>
    <cellStyle name="60% - 强调文字颜色 4 2 2 6" xfId="9660"/>
    <cellStyle name="汇总 2 10 2 3" xfId="9661"/>
    <cellStyle name="输出 2 2 3 3 2 4 2 2" xfId="9662"/>
    <cellStyle name="差 2 2 2 2 4 2" xfId="9663"/>
    <cellStyle name="汇总 2 2 6 5 7" xfId="9664"/>
    <cellStyle name="20% - 强调文字颜色 4 2 2 4 3 3" xfId="9665"/>
    <cellStyle name="标题 2 2 3 2 2 2 2" xfId="9666"/>
    <cellStyle name="常规 5 2 3 7 2" xfId="9667"/>
    <cellStyle name="60% - 强调文字颜色 4 3 6 2" xfId="9668"/>
    <cellStyle name="强调文字颜色 6 3 8" xfId="9669"/>
    <cellStyle name="60% - 强调文字颜色 6 2 2 7 2 2" xfId="9670"/>
    <cellStyle name="常规 8 3 3 3 2" xfId="9671"/>
    <cellStyle name="输入 2 2 4 2 2 2 4 2 2" xfId="9672"/>
    <cellStyle name="注释 2 3 3 2 3" xfId="9673"/>
    <cellStyle name="40% - 强调文字颜色 1 2 3 2 3 2" xfId="9674"/>
    <cellStyle name="40% - 强调文字颜色 3 2 3 2 4 3 2 2" xfId="9675"/>
    <cellStyle name="20% - 强调文字颜色 2 3 3 4" xfId="9676"/>
    <cellStyle name="计算 2 5 2 10" xfId="9677"/>
    <cellStyle name="差 2 2 2 2 2 3 2" xfId="9678"/>
    <cellStyle name="无色 4" xfId="9679"/>
    <cellStyle name="输出 2 2 3 4 6 2" xfId="9680"/>
    <cellStyle name="强调文字颜色 2 2 3 2 3 4" xfId="9681"/>
    <cellStyle name="差 2 2 2 2 4 2 3" xfId="9682"/>
    <cellStyle name="汇总 2 2 3 3 3 4" xfId="9683"/>
    <cellStyle name="汇总 2 5 2 2 2" xfId="9684"/>
    <cellStyle name="强调文字颜色 4 2 3 2 2 2" xfId="9685"/>
    <cellStyle name="标题 2 2 3 2 2 2 3" xfId="9686"/>
    <cellStyle name="标题 2 2 3 2 3 2 2 3" xfId="9687"/>
    <cellStyle name="常规 10 3 2 2 3 2" xfId="9688"/>
    <cellStyle name="强调文字颜色 2 3 2 5" xfId="9689"/>
    <cellStyle name="标题 3 2 4 4 3" xfId="9690"/>
    <cellStyle name="链接单元格 2 2 2 2 2 2 3" xfId="9691"/>
    <cellStyle name="标题 4 2 2 6 2 3" xfId="9692"/>
    <cellStyle name="20% - 强调文字颜色 4 2 2 2 2 2 4" xfId="9693"/>
    <cellStyle name="40% - 强调文字颜色 3 2 10" xfId="9694"/>
    <cellStyle name="40% - 强调文字颜色 6 2 3 3 2 2" xfId="9695"/>
    <cellStyle name="输入 2 2 4 2 2 2" xfId="9696"/>
    <cellStyle name="40% - 强调文字颜色 3 2 9" xfId="9697"/>
    <cellStyle name="40% - 强调文字颜色 6 2 3 2 4 3 2 2" xfId="9698"/>
    <cellStyle name="标题 4 2 2 4 3 3" xfId="9699"/>
    <cellStyle name="强调文字颜色 1 2 3 2 3 4" xfId="9700"/>
    <cellStyle name="汇总 2 4 3 6 2 2" xfId="9701"/>
    <cellStyle name="计算 2 5 6 2" xfId="9702"/>
    <cellStyle name="标题 5 3 2 2 3 2" xfId="9703"/>
    <cellStyle name="40% - 强调文字颜色 4 2 6 2 2 2" xfId="9704"/>
    <cellStyle name="常规 11 2 2 2" xfId="9705"/>
    <cellStyle name="常规 6 2 5 3 2 2" xfId="9706"/>
    <cellStyle name="标题 1 2 4 3 3" xfId="9707"/>
    <cellStyle name="输入 2 2 2 2 2 2 3 3" xfId="9708"/>
    <cellStyle name="计算 2 6 5 3" xfId="9709"/>
    <cellStyle name="标题 3 3 4" xfId="9710"/>
    <cellStyle name="输入 2 6 9" xfId="9711"/>
    <cellStyle name="注释 2 7 3 3" xfId="9712"/>
    <cellStyle name="标题 2 4 2 5" xfId="9713"/>
    <cellStyle name="40% - 强调文字颜色 1 4 3 2" xfId="9714"/>
    <cellStyle name="汇总 2 7 3 2 3 2" xfId="9715"/>
    <cellStyle name="汇总 2 2 4 5 2 2" xfId="9716"/>
    <cellStyle name="常规 10 2 2 2 2 3 3" xfId="9717"/>
    <cellStyle name="60% - 强调文字颜色 1 2 2 2 4 2 2 2" xfId="9718"/>
    <cellStyle name="40% - 强调文字颜色 6 2 2 3 4 3 2" xfId="9719"/>
    <cellStyle name="常规 11 2 2 3 3 2 2" xfId="9720"/>
    <cellStyle name="百分比 2 5 2 2 3" xfId="9721"/>
    <cellStyle name="60% - 强调文字颜色 2 2 3 2 4 3 2" xfId="9722"/>
    <cellStyle name="计算 2 2 6 9 2 2" xfId="9723"/>
    <cellStyle name="20% - 强调文字颜色 2 2 3 2 4 2" xfId="9724"/>
    <cellStyle name="60% - 强调文字颜色 3 2 4 4 3 2" xfId="9725"/>
    <cellStyle name="输入 2 2 5 6 2 2" xfId="9726"/>
    <cellStyle name="标题 2 2 3 5 2 2 3" xfId="9727"/>
    <cellStyle name="强调文字颜色 4 2 6 2 2 2" xfId="9728"/>
    <cellStyle name="40% - 强调文字颜色 5 2 8 2" xfId="9729"/>
    <cellStyle name="标题 4 2 2 6 3 2 2" xfId="9730"/>
    <cellStyle name="20% - 强调文字颜色 4 2 2 2 2 3 3 2" xfId="9731"/>
    <cellStyle name="标题 3 2 4 5 2 2" xfId="9732"/>
    <cellStyle name="20% - 强调文字颜色 6 2 2 5 2" xfId="9733"/>
    <cellStyle name="40% - 强调文字颜色 5 2 3 2 3" xfId="9734"/>
    <cellStyle name="汇总 2 2 5 5 4 2" xfId="9735"/>
    <cellStyle name="标题 2 2 3 3 2" xfId="9736"/>
    <cellStyle name="计算 2 2 5 2 2 5 2 2" xfId="9737"/>
    <cellStyle name="标题 2 2 3 3 2 2 2" xfId="9738"/>
    <cellStyle name="差 2 2 2 4 2 2 3" xfId="9739"/>
    <cellStyle name="常规 14 5" xfId="9740"/>
    <cellStyle name="注释 2 2 4 2 2 3" xfId="9741"/>
    <cellStyle name="输入 2 6 2 2 2 2 3" xfId="9742"/>
    <cellStyle name="20% - 强调文字颜色 5 2 2 4 3 2 2 2" xfId="9743"/>
    <cellStyle name="常规 4 7 3 2" xfId="9744"/>
    <cellStyle name="40% - 强调文字颜色 3 2 4 2 2 2 2 2" xfId="9745"/>
    <cellStyle name="输出 2 2 3 2 4" xfId="9746"/>
    <cellStyle name="汇总 3 15" xfId="9747"/>
    <cellStyle name="40% - 强调文字颜色 6 2 3 3 2" xfId="9748"/>
    <cellStyle name="标题 2 2 3 4 2" xfId="9749"/>
    <cellStyle name="标题 2 2 3 4 2 3" xfId="9750"/>
    <cellStyle name="汇总 2 10 3 3" xfId="9751"/>
    <cellStyle name="60% - 强调文字颜色 4 2 3 6" xfId="9752"/>
    <cellStyle name="计算 2 2 11 5" xfId="9753"/>
    <cellStyle name="汇总 2 2 4 2 4 5" xfId="9754"/>
    <cellStyle name="60% - 强调文字颜色 6 2 2 3 7" xfId="9755"/>
    <cellStyle name="注释 2 3 3 5 2" xfId="9756"/>
    <cellStyle name="好 2 2 3 5 3" xfId="9757"/>
    <cellStyle name="输入 2 5 2 2 2 2 2 2 2" xfId="9758"/>
    <cellStyle name="60% - 强调文字颜色 5 2 2 3 4" xfId="9759"/>
    <cellStyle name="40% - 强调文字颜色 1 2 2 5" xfId="9760"/>
    <cellStyle name="计算 2 6 2 5 2" xfId="9761"/>
    <cellStyle name="百分比 2 6 2 2" xfId="9762"/>
    <cellStyle name="输入 3 2 3 2 2" xfId="9763"/>
    <cellStyle name="标题 2 2 3 5" xfId="9764"/>
    <cellStyle name="汇总 2 2 7 2 2 2 2 2" xfId="9765"/>
    <cellStyle name="标题 2 2 2 2 2 2 2 3" xfId="9766"/>
    <cellStyle name="60% - 强调文字颜色 3 4 2 4" xfId="9767"/>
    <cellStyle name="Normal 3 2 2 2 2" xfId="9768"/>
    <cellStyle name="解释性文本 2 2 7 2 2" xfId="9769"/>
    <cellStyle name="注释 2 2 7 2 7" xfId="9770"/>
    <cellStyle name="输入 2 3 4 2 3" xfId="9771"/>
    <cellStyle name="标题 1 3 2 2 3 2" xfId="9772"/>
    <cellStyle name="20% - 强调文字颜色 3 2 2 7 2" xfId="9773"/>
    <cellStyle name="60% - 强调文字颜色 3 2 2 2 2 2 2" xfId="9774"/>
    <cellStyle name="20% - 强调文字颜色 5 2 4 4 2" xfId="9775"/>
    <cellStyle name="输出 2 2 7 3 3" xfId="9776"/>
    <cellStyle name="计算 2 4 3 2 3" xfId="9777"/>
    <cellStyle name="输入 2 2 9 2" xfId="9778"/>
    <cellStyle name="常规 5 2 5 2 2 2" xfId="9779"/>
    <cellStyle name="链接单元格 2 2 3 3 2" xfId="9780"/>
    <cellStyle name="解释性文本 2 6 3 2" xfId="9781"/>
    <cellStyle name="40% - 强调文字颜色 6 2 2 2 5 2 2 2" xfId="9782"/>
    <cellStyle name="60% - 强调文字颜色 4 2 2 2 4" xfId="9783"/>
    <cellStyle name="输入 5 3" xfId="9784"/>
    <cellStyle name="输入 2 2 3 2 2 5" xfId="9785"/>
    <cellStyle name="常规 5 2 2 3 2 4" xfId="9786"/>
    <cellStyle name="常规 5 5 2 6" xfId="9787"/>
    <cellStyle name="常规 13 4 3 2 2" xfId="9788"/>
    <cellStyle name="好 2 2 4 2 2 2" xfId="9789"/>
    <cellStyle name="强调文字颜色 4 2 2 4 2 4" xfId="9790"/>
    <cellStyle name="40% - 强调文字颜色 2 2 5 2 2" xfId="9791"/>
    <cellStyle name="注释 2 6 4 3" xfId="9792"/>
    <cellStyle name="60% - 强调文字颜色 3 2 3 3 2 2" xfId="9793"/>
    <cellStyle name="常规 10 3 3 2 2" xfId="9794"/>
    <cellStyle name="输入 2 2 2 3 2 3" xfId="9795"/>
    <cellStyle name="40% - 强调文字颜色 5 2 3 2 2 3 3 2" xfId="9796"/>
    <cellStyle name="计算 2 9 7 2" xfId="9797"/>
    <cellStyle name="汇总 2 2 2 4 2 4 2 2" xfId="9798"/>
    <cellStyle name="链接单元格 2 2 2 5" xfId="9799"/>
    <cellStyle name="20% - 强调文字颜色 2 3 6" xfId="9800"/>
    <cellStyle name="计算 2 2 3 2 2 5" xfId="9801"/>
    <cellStyle name="汇总 2 2 3 3 3 2 2" xfId="9802"/>
    <cellStyle name="说明文本 2 3 2 2" xfId="9803"/>
    <cellStyle name="汇总 2 3 2 2 3 2 2" xfId="9804"/>
    <cellStyle name="汇总 5 2 3" xfId="9805"/>
    <cellStyle name="差 2 2 4 3 2 2 2" xfId="9806"/>
    <cellStyle name="强调文字颜色 2 2 3 2 6" xfId="9807"/>
    <cellStyle name="20% - 强调文字颜色 1 2 2 2 2 2 2 2" xfId="9808"/>
    <cellStyle name="60% - 强调文字颜色 4 2 5 3 2 2" xfId="9809"/>
    <cellStyle name="强调文字颜色 1 2 2 2 2 2 2 2 3" xfId="9810"/>
    <cellStyle name="计算 2 5 3 9" xfId="9811"/>
    <cellStyle name="60% - 强调文字颜色 4 2 2 4 3 2 2" xfId="9812"/>
    <cellStyle name="强调文字颜色 2 3 2" xfId="9813"/>
    <cellStyle name="汇总 2 2 3 2 5 3" xfId="9814"/>
    <cellStyle name="强调文字颜色 5 2 4 2 2 2 2" xfId="9815"/>
    <cellStyle name="常规 4 5 3 2" xfId="9816"/>
    <cellStyle name="汇总 2 6 5" xfId="9817"/>
    <cellStyle name="标题 2 2 4 3 2 3" xfId="9818"/>
    <cellStyle name="输入 2 8 6 2 2" xfId="9819"/>
    <cellStyle name="40% - 强调文字颜色 3 2 2 2 2 3 3 2" xfId="9820"/>
    <cellStyle name="强调文字颜色 1 2 2 3 4 2 2" xfId="9821"/>
    <cellStyle name="强调文字颜色 4 2 4 4 2 3" xfId="9822"/>
    <cellStyle name="计算 2 2 7 6 3" xfId="9823"/>
    <cellStyle name="强调文字颜色 4 2 6 4" xfId="9824"/>
    <cellStyle name="输入 2 2 5 2 2 5 2" xfId="9825"/>
    <cellStyle name="60% - 强调文字颜色 4 2 2 2 3 2 2 2" xfId="9826"/>
    <cellStyle name="标题 3 2 2 2 3 6" xfId="9827"/>
    <cellStyle name="输入 2 2 5 8" xfId="9828"/>
    <cellStyle name="标题 2 2 4 4 2 3" xfId="9829"/>
    <cellStyle name="标题 2 2 2 6" xfId="9830"/>
    <cellStyle name="40% - 强调文字颜色 6 2 5 2 2 2 2" xfId="9831"/>
    <cellStyle name="常规 5 2 3 5" xfId="9832"/>
    <cellStyle name="计算 2 4 2 4 2 2 2" xfId="9833"/>
    <cellStyle name="60% - 强调文字颜色 4 3 4" xfId="9834"/>
    <cellStyle name="计算 2 2 2 2 3 4 2" xfId="9835"/>
    <cellStyle name="计算 2 2 4 3 7 2" xfId="9836"/>
    <cellStyle name="60% - 强调文字颜色 2 3 4 2" xfId="9837"/>
    <cellStyle name="计算 2 2 6 3 7" xfId="9838"/>
    <cellStyle name="标题 2 2 4 5 2" xfId="9839"/>
    <cellStyle name="计算 2 2 2 2 2 2 6" xfId="9840"/>
    <cellStyle name="计算 2 2 4 2 5 6" xfId="9841"/>
    <cellStyle name="20% - 强调文字颜色 6 2 3 2 2 3" xfId="9842"/>
    <cellStyle name="20% - 强调文字颜色 6 4 2 3" xfId="9843"/>
    <cellStyle name="汇总 2 2 7 5 2" xfId="9844"/>
    <cellStyle name="输入 2 11 5" xfId="9845"/>
    <cellStyle name="常规 13 4 3 3 3" xfId="9846"/>
    <cellStyle name="汇总 2 3 3 2 3 2 2" xfId="9847"/>
    <cellStyle name="常规 5 2 4 5 3" xfId="9848"/>
    <cellStyle name="60% - 强调文字颜色 6 2 2 3 2 2 3" xfId="9849"/>
    <cellStyle name="常规 6 2 3 2" xfId="9850"/>
    <cellStyle name="警告文本 4 2" xfId="9851"/>
    <cellStyle name="60% - 强调文字颜色 6 3 2 2 2 2 3" xfId="9852"/>
    <cellStyle name="60% - 强调文字颜色 2 2 2 6" xfId="9853"/>
    <cellStyle name="计算 2 8 5 2 2 2" xfId="9854"/>
    <cellStyle name="40% - 强调文字颜色 5 2 2 2 4 3 2 2" xfId="9855"/>
    <cellStyle name="注释 2 3 3 2 2 3" xfId="9856"/>
    <cellStyle name="计算 3 2 2 3 2 2 2" xfId="9857"/>
    <cellStyle name="输入 4 6 2 2" xfId="9858"/>
    <cellStyle name="40% - 强调文字颜色 4 2 3 5 2 2 2" xfId="9859"/>
    <cellStyle name="标题 4 3 3 3" xfId="9860"/>
    <cellStyle name="计算 2 6 2 2 3 4 2" xfId="9861"/>
    <cellStyle name="20% - 强调文字颜色 5 2 7 2 2" xfId="9862"/>
    <cellStyle name="汇总 2 7 2 2 2 2 3" xfId="9863"/>
    <cellStyle name="强调文字颜色 5 2 2 2 2 4 4" xfId="9864"/>
    <cellStyle name="汇总 2 2 5 2 5 2" xfId="9865"/>
    <cellStyle name="计算 2 7 12 2" xfId="9866"/>
    <cellStyle name="常规 8 2 5 2" xfId="9867"/>
    <cellStyle name="适中 2 2 2 2 4" xfId="9868"/>
    <cellStyle name="汇总 4 2 7" xfId="9869"/>
    <cellStyle name="20% - 强调文字颜色 2 2 2 2 4 2 2 2" xfId="9870"/>
    <cellStyle name="输入 2 2 4 5 2 2 3" xfId="9871"/>
    <cellStyle name="标题 1 2 2 2 2 3" xfId="9872"/>
    <cellStyle name="20% - 强调文字颜色 2 2 2 6 3" xfId="9873"/>
    <cellStyle name="标题 3 2 2 2 2 3 2 2 3" xfId="9874"/>
    <cellStyle name="标题 2 2 4 5 2 2" xfId="9875"/>
    <cellStyle name="40% - 强调文字颜色 4 2 3 2 2 3" xfId="9876"/>
    <cellStyle name="20% - 强调文字颜色 6 3 4 2 2 2" xfId="9877"/>
    <cellStyle name="汇总 2 2 7 3 2 7" xfId="9878"/>
    <cellStyle name="60% - 强调文字颜色 5 3 2 2 2 2 2 2" xfId="9879"/>
    <cellStyle name="计算 2 3 7 2 2" xfId="9880"/>
    <cellStyle name="注释 2 2 3 7 2 2" xfId="9881"/>
    <cellStyle name="标题 5 2 2 3 3" xfId="9882"/>
    <cellStyle name="40% - 强调文字颜色 5 2 2 2 2 2 2" xfId="9883"/>
    <cellStyle name="20% - 强调文字颜色 4 2 3 2 5 2" xfId="9884"/>
    <cellStyle name="标题 2 2 2 2 2 7" xfId="9885"/>
    <cellStyle name="输入 2 5 2 5 2" xfId="9886"/>
    <cellStyle name="输出 2 4 2 2 10" xfId="9887"/>
    <cellStyle name="60% - 强调文字颜色 4 2 3 2" xfId="9888"/>
    <cellStyle name="常规 5 2 2 4 2" xfId="9889"/>
    <cellStyle name="标题 2 2 4 6 2" xfId="9890"/>
    <cellStyle name="40% - 强调文字颜色 5 2 3 2 2 3 3 2 2" xfId="9891"/>
    <cellStyle name="60% - 强调文字颜色 5 5 2 2 2 2" xfId="9892"/>
    <cellStyle name="标题 4 2 3 6 2 3" xfId="9893"/>
    <cellStyle name="常规 4 3" xfId="9894"/>
    <cellStyle name="强调文字颜色 4 6" xfId="9895"/>
    <cellStyle name="60% - 强调文字颜色 2 2 2 3 5 2 2" xfId="9896"/>
    <cellStyle name="输出 2 2 2 3 5" xfId="9897"/>
    <cellStyle name="40% - 强调文字颜色 1 2 2 2 4 3" xfId="9898"/>
    <cellStyle name="注释 2 2 3 3 4" xfId="9899"/>
    <cellStyle name="汇总 2 2 3 2 2 7" xfId="9900"/>
    <cellStyle name="标题 4 2 4 2 2 3" xfId="9901"/>
    <cellStyle name="强调文字颜色 2 2 2 9" xfId="9902"/>
    <cellStyle name="40% - 强调文字颜色 1 3 2 2 4 2" xfId="9903"/>
    <cellStyle name="链接单元格 2 2 2 2 2" xfId="9904"/>
    <cellStyle name="标题 4 2 2 6" xfId="9905"/>
    <cellStyle name="汇总 2 2 6 4 2 2 2" xfId="9906"/>
    <cellStyle name="链接单元格 2 2 2 4 3" xfId="9907"/>
    <cellStyle name="标题 4 2 4 7" xfId="9908"/>
    <cellStyle name="差 2 2 2 2 3 3 2 2" xfId="9909"/>
    <cellStyle name="输入 2 2 8 11" xfId="9910"/>
    <cellStyle name="计算 2 2 7 4" xfId="9911"/>
    <cellStyle name="60% - 强调文字颜色 2 2 4 5 2" xfId="9912"/>
    <cellStyle name="汇总 2 4 3 2 4 3" xfId="9913"/>
    <cellStyle name="20% - 强调文字颜色 1 2 3 2 2 4 2 2 2" xfId="9914"/>
    <cellStyle name="输入 3 5" xfId="9915"/>
    <cellStyle name="计算 2 6 11" xfId="9916"/>
    <cellStyle name="60% - 强调文字颜色 1 2 3 2 4 2" xfId="9917"/>
    <cellStyle name="汇总 2 2 6 2 2 5 3" xfId="9918"/>
    <cellStyle name="强调文字颜色 5 2 2 2 2 4 2 2 2" xfId="9919"/>
    <cellStyle name="汇总 2 4 3 2 4" xfId="9920"/>
    <cellStyle name="差 2 4 4 2 3" xfId="9921"/>
    <cellStyle name="汇总 2 2 4 2 2 2 5 3" xfId="9922"/>
    <cellStyle name="20% - 强调文字颜色 5 2 6 3 2 2" xfId="9923"/>
    <cellStyle name="注释 2 2 3 2 2 3 3" xfId="9924"/>
    <cellStyle name="常规 5 2 3 2 3 2" xfId="9925"/>
    <cellStyle name="输出 2 2 7 7" xfId="9926"/>
    <cellStyle name="60% - 强调文字颜色 6 3 4 2" xfId="9927"/>
    <cellStyle name="常规 5 4 3 5 2" xfId="9928"/>
    <cellStyle name="20% - 强调文字颜色 2 2 2 2 5 2 2" xfId="9929"/>
    <cellStyle name="40% - 强调文字颜色 4 2 3 4" xfId="9930"/>
    <cellStyle name="强调文字颜色 2 2 3 2 3 2" xfId="9931"/>
    <cellStyle name="无色 2" xfId="9932"/>
    <cellStyle name="好 2 2 3" xfId="9933"/>
    <cellStyle name="标题 6 2 3 2 2 2" xfId="9934"/>
    <cellStyle name="20% - 强调文字颜色 1 2 3 3 2 2 2" xfId="9935"/>
    <cellStyle name="计算 2 2 4 2 10 2 2" xfId="9936"/>
    <cellStyle name="检查单元格 2 3 4 2" xfId="9937"/>
    <cellStyle name="适中 2 2 2 2 4 2 3" xfId="9938"/>
    <cellStyle name="40% - 强调文字颜色 3 2 3 2 5 2 2 2" xfId="9939"/>
    <cellStyle name="20% - 强调文字颜色 3 2 3 4" xfId="9940"/>
    <cellStyle name="计算 2 2 3 4 2 4 2" xfId="9941"/>
    <cellStyle name="60% - 强调文字颜色 4 2 3 7" xfId="9942"/>
    <cellStyle name="汇总 2 10 3 4" xfId="9943"/>
    <cellStyle name="注释 2 4 2 2 3" xfId="9944"/>
    <cellStyle name="40% - 强调文字颜色 2 2 4 4 2 2" xfId="9945"/>
    <cellStyle name="标题 5 3 4 3 2" xfId="9946"/>
    <cellStyle name="标题 5 2 2 2 4 3 2" xfId="9947"/>
    <cellStyle name="汇总 2 2 3 8" xfId="9948"/>
    <cellStyle name="输出 2 4 2 3 5 2" xfId="9949"/>
    <cellStyle name="计算 2 3 2 2 2 4" xfId="9950"/>
    <cellStyle name="超链接 2 3 3 2" xfId="9951"/>
    <cellStyle name="说明文本 7" xfId="9952"/>
    <cellStyle name="常规 7 3 3" xfId="9953"/>
    <cellStyle name="标题 1 2 3 3 2 2 2 3" xfId="9954"/>
    <cellStyle name="标题 4 3 2 3 2 2 2" xfId="9955"/>
    <cellStyle name="计算 2 2 8 5 2 3" xfId="9956"/>
    <cellStyle name="输入 2 2 2 3 2 4" xfId="9957"/>
    <cellStyle name="适中 2 4 3 4" xfId="9958"/>
    <cellStyle name="40% - 强调文字颜色 2 2 3 5 2 2" xfId="9959"/>
    <cellStyle name="标题 2 2 6" xfId="9960"/>
    <cellStyle name="计算 2 4 3 2 3 3" xfId="9961"/>
    <cellStyle name="40% - 强调文字颜色 2 3 3 3 2" xfId="9962"/>
    <cellStyle name="强调文字颜色 4 2 3 2 3 4" xfId="9963"/>
    <cellStyle name="强调文字颜色 1 2 2 2 2 3 3" xfId="9964"/>
    <cellStyle name="标题 2 2 6 3" xfId="9965"/>
    <cellStyle name="输出 2 2 5 15" xfId="9966"/>
    <cellStyle name="超链接 2 3 3 2 3" xfId="9967"/>
    <cellStyle name="标题 4 2 5 2" xfId="9968"/>
    <cellStyle name="60% - 强调文字颜色 1 2 2 3 2 2 2 2 2" xfId="9969"/>
    <cellStyle name="标题 2 2 6 3 2" xfId="9970"/>
    <cellStyle name="超链接 2 3 3 2 3 2" xfId="9971"/>
    <cellStyle name="标题 2 2 7 3" xfId="9972"/>
    <cellStyle name="超链接 2 3 3 3 3" xfId="9973"/>
    <cellStyle name="链接单元格 2 2 3 4 4" xfId="9974"/>
    <cellStyle name="计算 2 2 3 9 2" xfId="9975"/>
    <cellStyle name="汇总 2 2 6 2 2 2 3 3" xfId="9976"/>
    <cellStyle name="注释 4 2 5 2 2" xfId="9977"/>
    <cellStyle name="输入 2 8 2 3 2 2" xfId="9978"/>
    <cellStyle name="标题 5 2 2 3 3 3" xfId="9979"/>
    <cellStyle name="20% - 强调文字颜色 6 2 7 3 2 2" xfId="9980"/>
    <cellStyle name="20% - 强调文字颜色 2 2 7" xfId="9981"/>
    <cellStyle name="40% - 强调文字颜色 1 2 2 2 6 2 2" xfId="9982"/>
    <cellStyle name="输入 2 19" xfId="9983"/>
    <cellStyle name="标题 1 2 2 2 5 2 3" xfId="9984"/>
    <cellStyle name="常规 7 3 2 3 2" xfId="9985"/>
    <cellStyle name="20% - 强调文字颜色 1 2 3 2 2 5 2 2" xfId="9986"/>
    <cellStyle name="20% - 强调文字颜色 4 2 4 4 3 2" xfId="9987"/>
    <cellStyle name="强调文字颜色 1 2 2 2 2 3" xfId="9988"/>
    <cellStyle name="注释 3 4 5" xfId="9989"/>
    <cellStyle name="输入 2 7 4 3" xfId="9990"/>
    <cellStyle name="差 2 3 2 4 4" xfId="9991"/>
    <cellStyle name="40% - 强调文字颜色 3 2 6 3" xfId="9992"/>
    <cellStyle name="常规 4 2 3 4 2 2" xfId="9993"/>
    <cellStyle name="标题 4 2 2 5 3 3" xfId="9994"/>
    <cellStyle name="常规 14" xfId="9995"/>
    <cellStyle name="40% - 强调文字颜色 4 2 9" xfId="9996"/>
    <cellStyle name="输出 2 5 3 2 6" xfId="9997"/>
    <cellStyle name="20% - 强调文字颜色 4 2 2 2 2 2 2 2" xfId="9998"/>
    <cellStyle name="超链接 3 4 4 2 2" xfId="9999"/>
    <cellStyle name="标题 2 3 2 2 3 2" xfId="10000"/>
    <cellStyle name="40% - 强调文字颜色 1 2 6 2 2 2" xfId="10001"/>
    <cellStyle name="20% - 强调文字颜色 5 3 2 4" xfId="10002"/>
    <cellStyle name="输出 3 2 3 2 3" xfId="10003"/>
    <cellStyle name="20% - 强调文字颜色 3 5 2" xfId="10004"/>
    <cellStyle name="汇总 2 13 2" xfId="10005"/>
    <cellStyle name="强调文字颜色 6 2 2 3 3 4" xfId="10006"/>
    <cellStyle name="计算 2 2 2 3 2 2" xfId="10007"/>
    <cellStyle name="计算 2 2 5 2 5" xfId="10008"/>
    <cellStyle name="60% - 强调文字颜色 3 2 2" xfId="10009"/>
    <cellStyle name="超链接 3 2 2 2 4 2 2" xfId="10010"/>
    <cellStyle name="输入 2 5 2 2 2 4 3" xfId="10011"/>
    <cellStyle name="输入 3 4 4" xfId="10012"/>
    <cellStyle name="计算 2 2 3 3 2 3 2" xfId="10013"/>
    <cellStyle name="60% - 强调文字颜色 3 2 2 7" xfId="10014"/>
    <cellStyle name="标题 5 2 7 2 2" xfId="10015"/>
    <cellStyle name="20% - 强调文字颜色 1 2 3 3 5" xfId="10016"/>
    <cellStyle name="注释 2 2 2 2 2 5" xfId="10017"/>
    <cellStyle name="计算 2 5 3 2 5 2 2" xfId="10018"/>
    <cellStyle name="强调文字颜色 6 2 2 5 2 2 2" xfId="10019"/>
    <cellStyle name="40% - 强调文字颜色 1 4 2 2" xfId="10020"/>
    <cellStyle name="汇总 2 7 3 2 2 2" xfId="10021"/>
    <cellStyle name="标题 4 2 2 4 3 2" xfId="10022"/>
    <cellStyle name="40% - 强调文字颜色 6 2 2 3 4 2 2" xfId="10023"/>
    <cellStyle name="常规 5 3 2 2 3 3 3" xfId="10024"/>
    <cellStyle name="汇总 2 2 6 2 2 5" xfId="10025"/>
    <cellStyle name="注释 2 5 3 3 2" xfId="10026"/>
    <cellStyle name="汇总 2 2 3 2 2 2 6" xfId="10027"/>
    <cellStyle name="标题 5 3 2 4" xfId="10028"/>
    <cellStyle name="标题 5 2 2 2 2 4" xfId="10029"/>
    <cellStyle name="输入 2 5 6 2" xfId="10030"/>
    <cellStyle name="解释性文本 2 3 2 3 4" xfId="10031"/>
    <cellStyle name="汇总 2 6 4 5 2" xfId="10032"/>
    <cellStyle name="常规 8 2 5 2 2 2" xfId="10033"/>
    <cellStyle name="适中 2 2 2 2 4 2 2" xfId="10034"/>
    <cellStyle name="20% - 强调文字颜色 5 2 2 2 2 5 2 2" xfId="10035"/>
    <cellStyle name="常规 4 6 2 4 2" xfId="10036"/>
    <cellStyle name="40% - 强调文字颜色 1 2 3 3 3 2" xfId="10037"/>
    <cellStyle name="20% - 强调文字颜色 3 2 4 4 2 2 2" xfId="10038"/>
    <cellStyle name="汇总 2 5 2 2 2 5 3" xfId="10039"/>
    <cellStyle name="60% - 强调文字颜色 6 2 2 2 6" xfId="10040"/>
    <cellStyle name="输入 2 6 13" xfId="10041"/>
    <cellStyle name="40% - 强调文字颜色 4 2 3 2 4" xfId="10042"/>
    <cellStyle name="汇总 2 2 4 2 3 4" xfId="10043"/>
    <cellStyle name="40% - 强调文字颜色 2 2 2 2 2 2 4 2 2" xfId="10044"/>
    <cellStyle name="计算 2 2 10 4" xfId="10045"/>
    <cellStyle name="汇总 2 2 8 9" xfId="10046"/>
    <cellStyle name="警告文本 2 3 2 2 2 2 3" xfId="10047"/>
    <cellStyle name="输入 2 5 2 7 3" xfId="10048"/>
    <cellStyle name="无色 5" xfId="10049"/>
    <cellStyle name="注释 2 2 4 2 2 2 6" xfId="10050"/>
    <cellStyle name="汇总 2 2 4 2 2 2 4 2" xfId="10051"/>
    <cellStyle name="输出 2 2 6 6" xfId="10052"/>
    <cellStyle name="计算 2 4 2 5" xfId="10053"/>
    <cellStyle name="注释 2 5 4 2 2 2" xfId="10054"/>
    <cellStyle name="输出 2 2 2 2 4 3" xfId="10055"/>
    <cellStyle name="强调文字颜色 3 5 3" xfId="10056"/>
    <cellStyle name="常规 3 7 4 3" xfId="10057"/>
    <cellStyle name="标题 2 3 2 3 2 2 2" xfId="10058"/>
    <cellStyle name="汇总 2 2" xfId="10059"/>
    <cellStyle name="标题 1 3 2 3 2 3" xfId="10060"/>
    <cellStyle name="标题 3 2 2 4 2 3 3" xfId="10061"/>
    <cellStyle name="计算 2 2 3 2 3 3 2 2" xfId="10062"/>
    <cellStyle name="链接单元格 2 6 3" xfId="10063"/>
    <cellStyle name="强调文字颜色 4 2 2 2 6" xfId="10064"/>
    <cellStyle name="计算 4 7 3" xfId="10065"/>
    <cellStyle name="输出 2 2 7 2 2 5" xfId="10066"/>
    <cellStyle name="常规 13 4 2 2 2" xfId="10067"/>
    <cellStyle name="40% - 强调文字颜色 2 2 4 2 2" xfId="10068"/>
    <cellStyle name="注释 2 5 4 3" xfId="10069"/>
    <cellStyle name="标题 5 3 2 3" xfId="10070"/>
    <cellStyle name="20% - 强调文字颜色 2 4 4 2 2" xfId="10071"/>
    <cellStyle name="超链接 3 3 2 3 4" xfId="10072"/>
    <cellStyle name="输出 2 2 3 6 2" xfId="10073"/>
    <cellStyle name="输出 2 7 3 4" xfId="10074"/>
    <cellStyle name="输入 4 2 4 2 2" xfId="10075"/>
    <cellStyle name="标题 1 2 3 2 5 2" xfId="10076"/>
    <cellStyle name="强调文字颜色 1 3 2 2 2" xfId="10077"/>
    <cellStyle name="常规 2 2 4 5 2" xfId="10078"/>
    <cellStyle name="输出 3 7" xfId="10079"/>
    <cellStyle name="标题 3 2 2 4 2 3 2" xfId="10080"/>
    <cellStyle name="标题 1 3 2 3 2 2" xfId="10081"/>
    <cellStyle name="常规 9 7 3" xfId="10082"/>
    <cellStyle name="注释 2 4 2 2 5 2" xfId="10083"/>
    <cellStyle name="20% - 强调文字颜色 3 2 3 6 2" xfId="10084"/>
    <cellStyle name="输出 2 2 8 2 3" xfId="10085"/>
    <cellStyle name="20% - 强调文字颜色 5 2 5 3 2" xfId="10086"/>
    <cellStyle name="常规 9 2 2 7" xfId="10087"/>
    <cellStyle name="注释 2 6 2 4 2 2" xfId="10088"/>
    <cellStyle name="汇总 2 4 4 5" xfId="10089"/>
    <cellStyle name="40% - 强调文字颜色 2 2 2 2 2 2 3 3 2" xfId="10090"/>
    <cellStyle name="计算 2 2 5 2 2 2 3" xfId="10091"/>
    <cellStyle name="解释性文本 2 2 2 2 6" xfId="10092"/>
    <cellStyle name="计算 2 2 10 2 2" xfId="10093"/>
    <cellStyle name="标题 3 2 2 3 3 3" xfId="10094"/>
    <cellStyle name="20% - 强调文字颜色 4 2 7 3 2 2" xfId="10095"/>
    <cellStyle name="常规 9 4 2 2 2" xfId="10096"/>
    <cellStyle name="强调文字颜色 3 2 3 2 2 2 2 2 2" xfId="10097"/>
    <cellStyle name="40% - 强调文字颜色 6 2 2 5 3 2" xfId="10098"/>
    <cellStyle name="解释性文本 4" xfId="10099"/>
    <cellStyle name="输入 2 2 7 7 2" xfId="10100"/>
    <cellStyle name="20% - 强调文字颜色 4 2 2 2 2 2 5" xfId="10101"/>
    <cellStyle name="40% - 强调文字颜色 4 2 2 2 2 2 5 2" xfId="10102"/>
    <cellStyle name="输入 2 2 2 3 3 2 2" xfId="10103"/>
    <cellStyle name="计算 2 2 8 2 2 2 2" xfId="10104"/>
    <cellStyle name="输入 2 9 2 2 3" xfId="10105"/>
    <cellStyle name="解释性文本 2 3 3 6" xfId="10106"/>
    <cellStyle name="注释 2 9" xfId="10107"/>
    <cellStyle name="输入 2 2 5 2 2 2 2 2 2" xfId="10108"/>
    <cellStyle name="强调文字颜色 4 2 3 4 2 2" xfId="10109"/>
    <cellStyle name="标题 2 2 3 2 4 2 3" xfId="10110"/>
    <cellStyle name="汇总 2 5 4 2 2" xfId="10111"/>
    <cellStyle name="标题 2 2 2 2 5 2 2 3" xfId="10112"/>
    <cellStyle name="60% - 强调文字颜色 6 4 2 4" xfId="10113"/>
    <cellStyle name="20% - 强调文字颜色 2 4 2 2 2" xfId="10114"/>
    <cellStyle name="40% - 强调文字颜色 5 2 2 4 3" xfId="10115"/>
    <cellStyle name="汇总 2 2 5 4 6 2" xfId="10116"/>
    <cellStyle name="强调文字颜色 2 2 4 4" xfId="10117"/>
    <cellStyle name="标题 3 2 3 6 2" xfId="10118"/>
    <cellStyle name="输出 2 3 2 10" xfId="10119"/>
    <cellStyle name="汇总 2 2 6 3 2 3 2 2" xfId="10120"/>
    <cellStyle name="适中 2 4 4 2 2" xfId="10121"/>
    <cellStyle name="标题 2 3 4 2" xfId="10122"/>
    <cellStyle name="60% - 强调文字颜色 1 3 3" xfId="10123"/>
    <cellStyle name="标题 7 2 4" xfId="10124"/>
    <cellStyle name="输入 2 2 2 8 2 2" xfId="10125"/>
    <cellStyle name="注释 2 7 3" xfId="10126"/>
    <cellStyle name="常规 2 7 2 2" xfId="10127"/>
    <cellStyle name="40% - 强调文字颜色 2 2 3 6 2 2 2" xfId="10128"/>
    <cellStyle name="差 2 3 4 2 2 3" xfId="10129"/>
    <cellStyle name="20% - 强调文字颜色 3 2 2 2 5 2 2 2" xfId="10130"/>
    <cellStyle name="汇总 2 2 2 2 4 2 2" xfId="10131"/>
    <cellStyle name="强调文字颜色 2 2 2 3 3 3 2" xfId="10132"/>
    <cellStyle name="60% - 强调文字颜色 1 2 4 4 2" xfId="10133"/>
    <cellStyle name="汇总 2 3 3 2 3 3" xfId="10134"/>
    <cellStyle name="注释 5 2 3 2" xfId="10135"/>
    <cellStyle name="标题 4 2 2 3 4 2 2 2" xfId="10136"/>
    <cellStyle name="20% - 强调文字颜色 5 2 4 3 2 2 2" xfId="10137"/>
    <cellStyle name="标题 3 2 4 4 4" xfId="10138"/>
    <cellStyle name="常规 10 3 2 2 3 3" xfId="10139"/>
    <cellStyle name="常规 5 2 3 3 2 2" xfId="10140"/>
    <cellStyle name="输入 2 2 4 2 2 3" xfId="10141"/>
    <cellStyle name="20% - 强调文字颜色 4 6 2 2 2" xfId="10142"/>
    <cellStyle name="计算 2 2 6 3 5 2 2" xfId="10143"/>
    <cellStyle name="20% - 强调文字颜色 6 2 4 2 2 2" xfId="10144"/>
    <cellStyle name="解释性文本 2 2 3 4 3 2" xfId="10145"/>
    <cellStyle name="标题 4 2 2 4 3 3 2" xfId="10146"/>
    <cellStyle name="注释 2 2 3 2 3 2 3" xfId="10147"/>
    <cellStyle name="40% - 强调文字颜色 3 2 9 2" xfId="10148"/>
    <cellStyle name="注释 2 4 2 4 4" xfId="10149"/>
    <cellStyle name="计算 2 5 2 6" xfId="10150"/>
    <cellStyle name="60% - 强调文字颜色 4 3 2 2 2" xfId="10151"/>
    <cellStyle name="输入 2 2 6 3 2" xfId="10152"/>
    <cellStyle name="计算 2 2 3 5 2" xfId="10153"/>
    <cellStyle name="标题 5 3 4 3 3" xfId="10154"/>
    <cellStyle name="40% - 强调文字颜色 5 2 2 3 4 2 2" xfId="10155"/>
    <cellStyle name="常规 13 3 2" xfId="10156"/>
    <cellStyle name="20% - 强调文字颜色 3 2 5 5" xfId="10157"/>
    <cellStyle name="汇总 2 2 7 2 4 2 2" xfId="10158"/>
    <cellStyle name="60% - 强调文字颜色 6 2 4 4 2" xfId="10159"/>
    <cellStyle name="汇总 2 8 3 2 3 3" xfId="10160"/>
    <cellStyle name="好 3 3 2 2 2 2" xfId="10161"/>
    <cellStyle name="标题 1 2 2 4 2 2 3" xfId="10162"/>
    <cellStyle name="40% - 强调文字颜色 6 3 10" xfId="10163"/>
    <cellStyle name="解释性文本 2 2 4 2 2" xfId="10164"/>
    <cellStyle name="输入 2 2 9" xfId="10165"/>
    <cellStyle name="60% - 强调文字颜色 4 2 2 3 3 3" xfId="10166"/>
    <cellStyle name="常规 5 2 2 3 3 3 3" xfId="10167"/>
    <cellStyle name="强调文字颜色 4 2 4 4 2" xfId="10168"/>
    <cellStyle name="输入 2 2 5 2 2 3 2 2" xfId="10169"/>
    <cellStyle name="输入 2 4 3 4 2" xfId="10170"/>
    <cellStyle name="60% - 强调文字颜色 2 2 2 2 3 3 2" xfId="10171"/>
    <cellStyle name="汇总 2 3 3 5" xfId="10172"/>
    <cellStyle name="20% - 强调文字颜色 6 2 3 2 2 2 2 2 2 2" xfId="10173"/>
    <cellStyle name="常规 6 2 2 2 3 3" xfId="10174"/>
    <cellStyle name="输入 2 5 2 6" xfId="10175"/>
    <cellStyle name="差 3 3 3 2 2" xfId="10176"/>
    <cellStyle name="汇总 2 2 6 3 2" xfId="10177"/>
    <cellStyle name="60% - 强调文字颜色 4 2 2 2 6 2 2 2" xfId="10178"/>
    <cellStyle name="60% - 强调文字颜色 6 2 6 3 3" xfId="10179"/>
    <cellStyle name="警告文本 2 4 2 3" xfId="10180"/>
    <cellStyle name="标题 5 2 6 2" xfId="10181"/>
    <cellStyle name="计算 2 2 2 2 2" xfId="10182"/>
    <cellStyle name="标题 9 3" xfId="10183"/>
    <cellStyle name="20% - 强调文字颜色 2 2 2 2 2 4 2 2 2" xfId="10184"/>
    <cellStyle name="计算 2 2 4 5 2 5 2" xfId="10185"/>
    <cellStyle name="20% - 强调文字颜色 3 2 2 2 2 2" xfId="10186"/>
    <cellStyle name="计算 2 2 7 6" xfId="10187"/>
    <cellStyle name="输入 2 2 3 8 2" xfId="10188"/>
    <cellStyle name="标题 2 2 2 3 3 3 2" xfId="10189"/>
    <cellStyle name="汇总 2 4 5 2" xfId="10190"/>
    <cellStyle name="输入 2 11" xfId="10191"/>
    <cellStyle name="标题 2 2 2 2 2 2 3 2" xfId="10192"/>
    <cellStyle name="60% - 强调文字颜色 3 2 3 2 2 2 2 2 2" xfId="10193"/>
    <cellStyle name="40% - 强调文字颜色 2 2 3 2 2 3 2" xfId="10194"/>
    <cellStyle name="输出 3 2 2 3" xfId="10195"/>
    <cellStyle name="常规 4 2 2 2 4" xfId="10196"/>
    <cellStyle name="常规 2 2 2 5 2 2" xfId="10197"/>
    <cellStyle name="计算 3 2 2 2 6" xfId="10198"/>
    <cellStyle name="汇总 2 2 3 2 4 3 3" xfId="10199"/>
    <cellStyle name="强调文字颜色 2 2 2 3" xfId="10200"/>
    <cellStyle name="输出 2 6 2 2 4 2" xfId="10201"/>
    <cellStyle name="输入 2 5 2 9 2 2" xfId="10202"/>
    <cellStyle name="20% - 强调文字颜色 1 4" xfId="10203"/>
    <cellStyle name="20% - 强调文字颜色 6 2 3 2 2 2 2 2" xfId="10204"/>
    <cellStyle name="标题 5 2 6 3 2 2" xfId="10205"/>
    <cellStyle name="20% - 强调文字颜色 1 2 2 4 5 2" xfId="10206"/>
    <cellStyle name="常规 12 2 2 4 2" xfId="10207"/>
    <cellStyle name="60% - 强调文字颜色 6 2 2 4 2 2 2" xfId="10208"/>
    <cellStyle name="标题 1 2 3 7 2" xfId="10209"/>
    <cellStyle name="40% - 强调文字颜色 1 2 3 8" xfId="10210"/>
    <cellStyle name="常规 7 2 5" xfId="10211"/>
    <cellStyle name="40% - 强调文字颜色 5 2 2 2 2 2 4 2" xfId="10212"/>
    <cellStyle name="输入 2 5 4 2" xfId="10213"/>
    <cellStyle name="计算 2 2 4 3 5 2" xfId="10214"/>
    <cellStyle name="40% - 强调文字颜色 3 2 3 4 3 2 2" xfId="10215"/>
    <cellStyle name="计算 2 2 2 2 3 2 2" xfId="10216"/>
    <cellStyle name="汇总 2 3 8" xfId="10217"/>
    <cellStyle name="60% - 强调文字颜色 5 2 2 2 2 5 2" xfId="10218"/>
    <cellStyle name="60% - 强调文字颜色 6 2 2 3 9" xfId="10219"/>
    <cellStyle name="常规 9 2 4 2" xfId="10220"/>
    <cellStyle name="20% - 强调文字颜色 4 2 5 5 2" xfId="10221"/>
    <cellStyle name="40% - 强调文字颜色 5 3 2 2 3 2 2" xfId="10222"/>
    <cellStyle name="40% - 强调文字颜色 5 3 2 4 2" xfId="10223"/>
    <cellStyle name="链接单元格 2 2 3 2" xfId="10224"/>
    <cellStyle name="检查单元格 2 7 3" xfId="10225"/>
    <cellStyle name="60% - 强调文字颜色 4 2 4 3 2 2" xfId="10226"/>
    <cellStyle name="汇总 2 4 5 2 3" xfId="10227"/>
    <cellStyle name="输入 2 11 3" xfId="10228"/>
    <cellStyle name="常规 7 2 4 3 2 2" xfId="10229"/>
    <cellStyle name="输入 2 5 3 5" xfId="10230"/>
    <cellStyle name="20% - 强调文字颜色 3 2 3 2 2 4" xfId="10231"/>
    <cellStyle name="链接单元格 2 2 2 2 4 3 2" xfId="10232"/>
    <cellStyle name="解释性文本 2 7 2 2" xfId="10233"/>
    <cellStyle name="标题 1 2 2 6" xfId="10234"/>
    <cellStyle name="常规 9 3 3 4" xfId="10235"/>
    <cellStyle name="计算 2 4 2 2 5" xfId="10236"/>
    <cellStyle name="计算 2 4 14" xfId="10237"/>
    <cellStyle name="20% - 强调文字颜色 1 3 6" xfId="10238"/>
    <cellStyle name="常规 13 5 2 2" xfId="10239"/>
    <cellStyle name="标题 4 2 7 3" xfId="10240"/>
    <cellStyle name="标题 2 4 2 2 3" xfId="10241"/>
    <cellStyle name="强调文字颜色 3 2 2 3 4" xfId="10242"/>
    <cellStyle name="标题 1 3 11" xfId="10243"/>
    <cellStyle name="标题 2 2 3 3 2 2 2 3" xfId="10244"/>
    <cellStyle name="40% - 强调文字颜色 6 2 3 3 3" xfId="10245"/>
    <cellStyle name="汇总 3 16" xfId="10246"/>
    <cellStyle name="计算 3 3 6 2" xfId="10247"/>
    <cellStyle name="汇总 2 4 4 4 2 2" xfId="10248"/>
    <cellStyle name="计算 2 5 2 7 3" xfId="10249"/>
    <cellStyle name="标题 1 2 2 2 3 4" xfId="10250"/>
    <cellStyle name="输入 2 2 6 3 3 3" xfId="10251"/>
    <cellStyle name="常规 6 3 2 2 2" xfId="10252"/>
    <cellStyle name="计算 2 5 2 2 2 2 4 2" xfId="10253"/>
    <cellStyle name="汇总 2 2 2 3 2 8" xfId="10254"/>
    <cellStyle name="输出 2 2 3 2 5" xfId="10255"/>
    <cellStyle name="标题 3 2 3 6 2 3" xfId="10256"/>
    <cellStyle name="强调文字颜色 2 2 4 4 3" xfId="10257"/>
    <cellStyle name="输出 2 9 2 2 2" xfId="10258"/>
    <cellStyle name="汇总 2 2 6 16" xfId="10259"/>
    <cellStyle name="好 3 2 3 2 2" xfId="10260"/>
    <cellStyle name="常规 5 2 3 3 2 3 3" xfId="10261"/>
    <cellStyle name="输入 2 2 4 2 2 4 3" xfId="10262"/>
    <cellStyle name="标题 2 2 2 2 3 2 2 2 3" xfId="10263"/>
    <cellStyle name="输入 2 5 3 2 4 2 2" xfId="10264"/>
    <cellStyle name="汇总 2 6 2 4 3 2 2" xfId="10265"/>
    <cellStyle name="输出 2 4 12" xfId="10266"/>
    <cellStyle name="40% - 强调文字颜色 6 2 2 3 5 2" xfId="10267"/>
    <cellStyle name="输入 2 5 3 2 2 2 3" xfId="10268"/>
    <cellStyle name="60% - 强调文字颜色 6 2 2 2 2 3 2 2" xfId="10269"/>
    <cellStyle name="输出 2 5 7 3" xfId="10270"/>
    <cellStyle name="强调文字颜色 2 2 2 4 4 3" xfId="10271"/>
    <cellStyle name="汇总 2 2 2 3 5 2" xfId="10272"/>
    <cellStyle name="适中 2 3 2 3 2 3" xfId="10273"/>
    <cellStyle name="常规 3 3 3 2 2" xfId="10274"/>
    <cellStyle name="注释 8 2 2" xfId="10275"/>
    <cellStyle name="计算 2 3 3 2 4" xfId="10276"/>
    <cellStyle name="标题 5 2 2 4 3 3" xfId="10277"/>
    <cellStyle name="解释性文本 2 4 8" xfId="10278"/>
    <cellStyle name="标题 5 5 3 3" xfId="10279"/>
    <cellStyle name="标题 3 3 2 3 3" xfId="10280"/>
    <cellStyle name="注释 2 7 5 3" xfId="10281"/>
    <cellStyle name="40% - 强调文字颜色 2 2 6 3 2" xfId="10282"/>
    <cellStyle name="好 2 2 4 3 3 2" xfId="10283"/>
    <cellStyle name="超链接 3 4 2 3 2" xfId="10284"/>
    <cellStyle name="常规 2 3 2 2 5 2 2" xfId="10285"/>
    <cellStyle name="汇总 2 6 2 2 2 8" xfId="10286"/>
    <cellStyle name="超链接 2 6 2 2" xfId="10287"/>
    <cellStyle name="计算 2 4 3 2 5 2" xfId="10288"/>
    <cellStyle name="40% - 强调文字颜色 3 2 5 3 2 2 2" xfId="10289"/>
    <cellStyle name="计算 2 2 7 4 3 3" xfId="10290"/>
    <cellStyle name="输出 2 2 3 2 6 2" xfId="10291"/>
    <cellStyle name="60% - 强调文字颜色 3 3 3 2 2 2" xfId="10292"/>
    <cellStyle name="解释性文本 2 4 7" xfId="10293"/>
    <cellStyle name="Normal 3 4 2" xfId="10294"/>
    <cellStyle name="计算 2 2 5 2 2 3 4" xfId="10295"/>
    <cellStyle name="解释性文本 2 2 2 3 7" xfId="10296"/>
    <cellStyle name="计算 2 2 10 3 3" xfId="10297"/>
    <cellStyle name="汇总 2 2 4 2 3 3 3" xfId="10298"/>
    <cellStyle name="60% - 强调文字颜色 6 2 2 2 5 3" xfId="10299"/>
    <cellStyle name="40% - 强调文字颜色 4 3 5 2 2" xfId="10300"/>
    <cellStyle name="强调文字颜色 6 2 3 2 2 2 2 2 2" xfId="10301"/>
    <cellStyle name="20% - 强调文字颜色 1 2 2 3 4 3" xfId="10302"/>
    <cellStyle name="标题 2 5 2 2 2 2" xfId="10303"/>
    <cellStyle name="输出 2 3 3 4" xfId="10304"/>
    <cellStyle name="40% - 强调文字颜色 1 2 3 2 3 3 2" xfId="10305"/>
    <cellStyle name="注释 2 2 6 4 2" xfId="10306"/>
    <cellStyle name="标题 1 2 2 2 6 2" xfId="10307"/>
    <cellStyle name="输入 2 8 4" xfId="10308"/>
    <cellStyle name="强调文字颜色 1 2 2 3 2" xfId="10309"/>
    <cellStyle name="40% - 强调文字颜色 2 2 2 2 2 2 5" xfId="10310"/>
    <cellStyle name="检查单元格 2 2 2 3" xfId="10311"/>
    <cellStyle name="40% - 强调文字颜色 4 2 2 2 2 2 3 3" xfId="10312"/>
    <cellStyle name="汇总 7 2" xfId="10313"/>
    <cellStyle name="计算 2 3 4 8" xfId="10314"/>
    <cellStyle name="汇总 7 2 2" xfId="10315"/>
    <cellStyle name="60% - 强调文字颜色 3 2 3 3 5" xfId="10316"/>
    <cellStyle name="40% - 强调文字颜色 3 2 2 3 3 2" xfId="10317"/>
    <cellStyle name="输入 2 2 4 5 4" xfId="10318"/>
    <cellStyle name="注释 2 2 3 3 3 2" xfId="10319"/>
    <cellStyle name="标题 3 2 2 2 2 3 4" xfId="10320"/>
    <cellStyle name="60% - 强调文字颜色 1 3 4 2 2 2" xfId="10321"/>
    <cellStyle name="百分比 2 6 3" xfId="10322"/>
    <cellStyle name="计算 2 6 2 6" xfId="10323"/>
    <cellStyle name="汇总 2 10 3" xfId="10324"/>
    <cellStyle name="20% - 强调文字颜色 3 2 3" xfId="10325"/>
    <cellStyle name="计算 2 2 4 3 2 2 4 3" xfId="10326"/>
    <cellStyle name="汇总 2 2 13 2 2" xfId="10327"/>
    <cellStyle name="注释 2 2 3 2 4 2 3" xfId="10328"/>
    <cellStyle name="60% - 强调文字颜色 1 2 2 3 4" xfId="10329"/>
    <cellStyle name="20% - 强调文字颜色 6 2 2 3 4 2" xfId="10330"/>
    <cellStyle name="输入 2 2 5 4" xfId="10331"/>
    <cellStyle name="20% - 强调文字颜色 4 4 3 2 2" xfId="10332"/>
    <cellStyle name="链接单元格 2 7 3" xfId="10333"/>
    <cellStyle name="强调文字颜色 4 2 2 3 6" xfId="10334"/>
    <cellStyle name="计算 2 4 2 2 3 2" xfId="10335"/>
    <cellStyle name="60% - 强调文字颜色 2 4 4 2 2" xfId="10336"/>
    <cellStyle name="20% - 强调文字颜色 4 2 2 3 2 2 2 2" xfId="10337"/>
    <cellStyle name="常规 5 2 2 3 3 4 2" xfId="10338"/>
    <cellStyle name="汇总 2 3 2 2 2 3" xfId="10339"/>
    <cellStyle name="60% - 强调文字颜色 4 2 2 3 4 2" xfId="10340"/>
    <cellStyle name="20% - 强调文字颜色 1 2 2 2 2" xfId="10341"/>
    <cellStyle name="标题 2 5 2" xfId="10342"/>
    <cellStyle name="计算 2 2 8 3 2 3 2" xfId="10343"/>
    <cellStyle name="20% - 强调文字颜色 5 2 2 4 4 2" xfId="10344"/>
    <cellStyle name="汇总 2 5 4 3 2 2 2" xfId="10345"/>
    <cellStyle name="标题 1 2 3 6" xfId="10346"/>
    <cellStyle name="常规 9 3 4 4" xfId="10347"/>
    <cellStyle name="汇总 2 5 5 3 2 2" xfId="10348"/>
    <cellStyle name="计算 2 2 3 3 7" xfId="10349"/>
    <cellStyle name="输入 2 2 3 4 3 3" xfId="10350"/>
    <cellStyle name="输出 2 4 2 2 2 2 2 3" xfId="10351"/>
    <cellStyle name="计算 2 2 9 3 2 3" xfId="10352"/>
    <cellStyle name="20% - 强调文字颜色 1 2 5 5 2" xfId="10353"/>
    <cellStyle name="常规 7 2 2 2 4 2 2 2" xfId="10354"/>
    <cellStyle name="计算 2 2 2 2 3 2" xfId="10355"/>
    <cellStyle name="计算 2 2 4 3 5" xfId="10356"/>
    <cellStyle name="强调文字颜色 6 2 2 2 4 4" xfId="10357"/>
    <cellStyle name="差 2 3 6 2 3" xfId="10358"/>
    <cellStyle name="20% - 强调文字颜色 5 2 5 5 2 2" xfId="10359"/>
    <cellStyle name="常规 3 3 2 2 4 2 2" xfId="10360"/>
    <cellStyle name="60% - 强调文字颜色 2 4 2 3" xfId="10361"/>
    <cellStyle name="20% - 强调文字颜色 6 2 2 2 7" xfId="10362"/>
    <cellStyle name="60% - 强调文字颜色 4 2 3 4 2 2" xfId="10363"/>
    <cellStyle name="警告文本 2 2 2 3 3" xfId="10364"/>
    <cellStyle name="60% - 强调文字颜色 1 2 6 2 2 2" xfId="10365"/>
    <cellStyle name="警告文本 2 2 3 4 3 2" xfId="10366"/>
    <cellStyle name="常规 7 2 2 2 3 2" xfId="10367"/>
    <cellStyle name="输出 2 6 2 5 3" xfId="10368"/>
    <cellStyle name="常规 6 2 3 3 2 2" xfId="10369"/>
    <cellStyle name="汇总 2 2 6 4 2 2 2 2" xfId="10370"/>
    <cellStyle name="链接单元格 2 2 2 2 2 2" xfId="10371"/>
    <cellStyle name="标题 4 2 2 6 2" xfId="10372"/>
    <cellStyle name="强调文字颜色 3 2 2 2 8" xfId="10373"/>
    <cellStyle name="注释 2 2 7 3 2 2 2" xfId="10374"/>
    <cellStyle name="输出 2 4 2 4 2 2" xfId="10375"/>
    <cellStyle name="计算 2 4 9 3" xfId="10376"/>
    <cellStyle name="警告文本 3 3 3" xfId="10377"/>
    <cellStyle name="强调文字颜色 1 3 2 2 3" xfId="10378"/>
    <cellStyle name="标题 1 2 3 2 5 3" xfId="10379"/>
    <cellStyle name="输出 4 2 5 2 2" xfId="10380"/>
    <cellStyle name="适中 2 2 6 2 2" xfId="10381"/>
    <cellStyle name="计算 2 8 4 2 2" xfId="10382"/>
    <cellStyle name="强调文字颜色 6 4 4 2" xfId="10383"/>
    <cellStyle name="汇总 2 2 4 2 2 4 2 2" xfId="10384"/>
    <cellStyle name="输出 2 4 4 6" xfId="10385"/>
    <cellStyle name="计算 2 2 6 2 6 2" xfId="10386"/>
    <cellStyle name="计算 2 2 2 4 2 3 2" xfId="10387"/>
    <cellStyle name="标题 1 2 2 3 3 3 2" xfId="10388"/>
    <cellStyle name="强调文字颜色 3 2 2 6 2" xfId="10389"/>
    <cellStyle name="强调文字颜色 2 2 5 3 2 2" xfId="10390"/>
    <cellStyle name="强调文字颜色 6 2 2 2 2 4" xfId="10391"/>
    <cellStyle name="标题 5 4 3 3" xfId="10392"/>
    <cellStyle name="强调文字颜色 4 2 2 4 3 4" xfId="10393"/>
    <cellStyle name="注释 2 6 5 3" xfId="10394"/>
    <cellStyle name="40% - 强调文字颜色 2 2 5 3 2" xfId="10395"/>
    <cellStyle name="解释性文本 2 4 2 2 2 2" xfId="10396"/>
    <cellStyle name="常规 9 8" xfId="10397"/>
    <cellStyle name="注释 2 2 4 3 2 6" xfId="10398"/>
    <cellStyle name="60% - 强调文字颜色 3 2 2 4 2" xfId="10399"/>
    <cellStyle name="常规 2 2 5 2 2 2" xfId="10400"/>
    <cellStyle name="输出 2 4 3 3 2 3" xfId="10401"/>
    <cellStyle name="60% - 强调文字颜色 2 2 2 7 2" xfId="10402"/>
    <cellStyle name="计算 2 2 3 2 2 3 2 2" xfId="10403"/>
    <cellStyle name="汇总 2 8 11" xfId="10404"/>
    <cellStyle name="20% - 强调文字颜色 2 3 4 2 2" xfId="10405"/>
    <cellStyle name="20% - 强调文字颜色 6 2 2 2 4" xfId="10406"/>
    <cellStyle name="20% - 强调文字颜色 5 4 4" xfId="10407"/>
    <cellStyle name="汇总 2 14" xfId="10408"/>
    <cellStyle name="20% - 强调文字颜色 3 6" xfId="10409"/>
    <cellStyle name="输出 2 2 7 4 4" xfId="10410"/>
    <cellStyle name="60% - 强调文字颜色 3 2 2 2 2 3 3" xfId="10411"/>
    <cellStyle name="40% - 强调文字颜色 5 3 2 2 2 2" xfId="10412"/>
    <cellStyle name="常规 3 3 4 2" xfId="10413"/>
    <cellStyle name="注释 2 2 2 3 2 2" xfId="10414"/>
    <cellStyle name="注释 9 2" xfId="10415"/>
    <cellStyle name="标题 4 2 4 5 2" xfId="10416"/>
    <cellStyle name="40% - 强调文字颜色 3 2 2 4 3 2 2 2" xfId="10417"/>
    <cellStyle name="标题 1 4 4 2 2" xfId="10418"/>
    <cellStyle name="强调文字颜色 2 2 4 3 3" xfId="10419"/>
    <cellStyle name="适中 2 3 5 2 2 2" xfId="10420"/>
    <cellStyle name="计算 2 9 3 2 2 2" xfId="10421"/>
    <cellStyle name="汇总 2 7 2 2 6" xfId="10422"/>
    <cellStyle name="标题 6" xfId="10423"/>
    <cellStyle name="输入 3 3 4 3" xfId="10424"/>
    <cellStyle name="汇总 2 2 12 2 2 2" xfId="10425"/>
    <cellStyle name="常规 5 2 3 3 4 3" xfId="10426"/>
    <cellStyle name="40% - 强调文字颜色 4 4 2 4" xfId="10427"/>
    <cellStyle name="输入 2 2 4 2 4 4" xfId="10428"/>
    <cellStyle name="汇总 2 6 2 10" xfId="10429"/>
    <cellStyle name="计算 2 5 4 7" xfId="10430"/>
    <cellStyle name="60% - 强调文字颜色 4 3 2 4 2 2 2" xfId="10431"/>
    <cellStyle name="60% - 强调文字颜色 6 2 4 4" xfId="10432"/>
    <cellStyle name="警告文本 2 2 3" xfId="10433"/>
    <cellStyle name="常规 5 2 3 4 3" xfId="10434"/>
    <cellStyle name="60% - 强调文字颜色 4 3 3 3" xfId="10435"/>
    <cellStyle name="输入 2 2 7 4" xfId="10436"/>
    <cellStyle name="汇总 2 5 2 4 2 4 2" xfId="10437"/>
    <cellStyle name="汇总 2 4 2 3 5" xfId="10438"/>
    <cellStyle name="标题 3 2 2 2 5 2" xfId="10439"/>
    <cellStyle name="差 2 7 2 3" xfId="10440"/>
    <cellStyle name="20% - 强调文字颜色 5 2 2 2 3 2 2 2 2" xfId="10441"/>
    <cellStyle name="标题 5 6 3" xfId="10442"/>
    <cellStyle name="40% - 强调文字颜色 5 2 2 2 2 4 2" xfId="10443"/>
    <cellStyle name="标题 5 2 2 5 3" xfId="10444"/>
    <cellStyle name="汇总 2 2 4 4 3 2 2 2" xfId="10445"/>
    <cellStyle name="强调文字颜色 3 2 3 2 4 2 3" xfId="10446"/>
    <cellStyle name="强调文字颜色 6 2 2 3 2 2" xfId="10447"/>
    <cellStyle name="20% - 强调文字颜色 1 2 2 3 2 2 2" xfId="10448"/>
    <cellStyle name="输入 2 2 9 4 2" xfId="10449"/>
    <cellStyle name="计算 2 8 5 2 3" xfId="10450"/>
    <cellStyle name="40% - 强调文字颜色 1 2 2 2 5 2 2" xfId="10451"/>
    <cellStyle name="强调文字颜色 4 2 4 7" xfId="10452"/>
    <cellStyle name="标题 1 2 2 2 2 3 3 2 2" xfId="10453"/>
    <cellStyle name="20% - 强调文字颜色 1 2 2 3" xfId="10454"/>
    <cellStyle name="40% - 强调文字颜色 4 2 3 2 4 3 2" xfId="10455"/>
    <cellStyle name="40% - 强调文字颜色 6 2 3 3 2 2 2 2" xfId="10456"/>
    <cellStyle name="40% - 强调文字颜色 6 2 4 8" xfId="10457"/>
    <cellStyle name="60% - 强调文字颜色 6 3 3 3 3" xfId="10458"/>
    <cellStyle name="强调文字颜色 3 2 2 2 2 2 3" xfId="10459"/>
    <cellStyle name="注释 2 2 3 2 2 3 2" xfId="10460"/>
    <cellStyle name="输出 2 4 2 2 2 4 2 2" xfId="10461"/>
    <cellStyle name="计算 2 2 9 5 2 2" xfId="10462"/>
    <cellStyle name="计算 2 2 6 4 2 6" xfId="10463"/>
    <cellStyle name="汇总 2 5 2 4 2 5" xfId="10464"/>
    <cellStyle name="输出 3 4 2 2" xfId="10465"/>
    <cellStyle name="标题 3 2 2 2 6" xfId="10466"/>
    <cellStyle name="链接单元格 2 4 4 3" xfId="10467"/>
    <cellStyle name="汇总 2 2 4 4 3 2 3" xfId="10468"/>
    <cellStyle name="强调文字颜色 5 2 2 4 2" xfId="10469"/>
    <cellStyle name="注释 2 3 11" xfId="10470"/>
    <cellStyle name="检查单元格 2 2 2 2 3 4" xfId="10471"/>
    <cellStyle name="20% - 强调文字颜色 1 2 3 3 3" xfId="10472"/>
    <cellStyle name="注释 2 2 2 2 2 3" xfId="10473"/>
    <cellStyle name="60% - 强调文字颜色 1" xfId="10474" builtinId="32"/>
    <cellStyle name="输入 2 2 6 4 6" xfId="10475"/>
    <cellStyle name="40% - 强调文字颜色 3 2 2 2 4 2 2 2" xfId="10476"/>
    <cellStyle name="计算 7" xfId="10477"/>
    <cellStyle name="输入 2 7 5 2" xfId="10478"/>
    <cellStyle name="强调文字颜色 1 2 2 2 3 2" xfId="10479"/>
    <cellStyle name="计算 2 7 4 2 2 2" xfId="10480"/>
    <cellStyle name="输出 2 2 3 2 3 2" xfId="10481"/>
    <cellStyle name="汇总 2 2 4 3 6 3" xfId="10482"/>
    <cellStyle name="标题 1 3 10" xfId="10483"/>
    <cellStyle name="强调文字颜色 3 2 2 3 3" xfId="10484"/>
    <cellStyle name="标题 2 4 2 2 2" xfId="10485"/>
    <cellStyle name="超链接 3 3 4 2" xfId="10486"/>
    <cellStyle name="40% - 强调文字颜色 1 2 5 2 2" xfId="10487"/>
    <cellStyle name="强调文字颜色 4 2 2 5 3 3" xfId="10488"/>
    <cellStyle name="标题 3 3 2 3 2" xfId="10489"/>
    <cellStyle name="注释 2 7 5 2" xfId="10490"/>
    <cellStyle name="汇总 2 6 3 3 2 2" xfId="10491"/>
    <cellStyle name="强调文字颜色 4 2 3 2 2 2 2 3" xfId="10492"/>
    <cellStyle name="汇总 2 8 3 2 7" xfId="10493"/>
    <cellStyle name="计算 2 5 2 6 4" xfId="10494"/>
    <cellStyle name="40% - 强调文字颜色 6 2 2 3 4 3" xfId="10495"/>
    <cellStyle name="链接单元格 2 2 5 3 3" xfId="10496"/>
    <cellStyle name="计算 2 5 2 2 2 2 3 3" xfId="10497"/>
    <cellStyle name="20% - 强调文字颜色 1 2 2 3 2 2" xfId="10498"/>
    <cellStyle name="输入 2 2 6 3 2 4" xfId="10499"/>
    <cellStyle name="汇总 2 5 4 3 3" xfId="10500"/>
    <cellStyle name="输入 2 2 3 2 2 2 3" xfId="10501"/>
    <cellStyle name="20% - 强调文字颜色 6 2 2 2 3 3" xfId="10502"/>
    <cellStyle name="20% - 强调文字颜色 5 3 2 2 4" xfId="10503"/>
    <cellStyle name="输出 2 2 12 2" xfId="10504"/>
    <cellStyle name="标题 1 2 2 2 2 5" xfId="10505"/>
    <cellStyle name="常规 18 2" xfId="10506"/>
    <cellStyle name="40% - 强调文字颜色 5 2 3 5 2 2" xfId="10507"/>
    <cellStyle name="输入 2 4 4 4 3" xfId="10508"/>
    <cellStyle name="计算 2 3 2 4 2 2" xfId="10509"/>
    <cellStyle name="汇总 2 4 3 6" xfId="10510"/>
    <cellStyle name="汇总 2 6 2 2 2 7" xfId="10511"/>
    <cellStyle name="常规 9 3 2 2 2 2 2" xfId="10512"/>
    <cellStyle name="常规 10 3 2 3 4" xfId="10513"/>
    <cellStyle name="输入 2 2 4 3 3" xfId="10514"/>
    <cellStyle name="常规 12 4 3 2" xfId="10515"/>
    <cellStyle name="计算 2 3 2 7" xfId="10516"/>
    <cellStyle name="汇总 2 7 3 5 2 2" xfId="10517"/>
    <cellStyle name="计算 2 2 7 4 3 2" xfId="10518"/>
    <cellStyle name="汇总 2 5 2 4 2 7" xfId="10519"/>
    <cellStyle name="计算 2 2 7 8 3" xfId="10520"/>
    <cellStyle name="好 3 2 3 2 2 2" xfId="10521"/>
    <cellStyle name="常规 3 5 2 2" xfId="10522"/>
    <cellStyle name="标题 3 2 2 2 8" xfId="10523"/>
    <cellStyle name="60% - 强调文字颜色 3 3 2 2 3 2 2 2" xfId="10524"/>
    <cellStyle name="60% - 强调文字颜色 4 2 3 2 5 2 2" xfId="10525"/>
    <cellStyle name="汇总 2 4 2 2 2 2 2" xfId="10526"/>
    <cellStyle name="计算 2 8 8 2 2" xfId="10527"/>
    <cellStyle name="输入 2 2 2 2 3 3 2" xfId="10528"/>
    <cellStyle name="60% - 强调文字颜色 5 3 4 2 2 2" xfId="10529"/>
    <cellStyle name="注释 4 2 5 3" xfId="10530"/>
    <cellStyle name="输入 2 8 2 3 3" xfId="10531"/>
    <cellStyle name="汇总 2 2 9 3 2" xfId="10532"/>
    <cellStyle name="汇总 2 5 2 4 3 2" xfId="10533"/>
    <cellStyle name="警告文本 2 2 4 5 2 2" xfId="10534"/>
    <cellStyle name="汇总 2 2 3 5 5" xfId="10535"/>
    <cellStyle name="计算 2 7 2 6 2" xfId="10536"/>
    <cellStyle name="输入 2 2 8 3 2 2" xfId="10537"/>
    <cellStyle name="60% - 强调文字颜色 4 3 4 2 2 2" xfId="10538"/>
    <cellStyle name="计算 2 2 3 3 3 4" xfId="10539"/>
    <cellStyle name="计算 2 2 3 3 2 8" xfId="10540"/>
    <cellStyle name="注释 2 2 3 3 8" xfId="10541"/>
    <cellStyle name="常规 12 2 2 3 3 3" xfId="10542"/>
    <cellStyle name="20% - 强调文字颜色 3 3 9" xfId="10543"/>
    <cellStyle name="Normal 6 2" xfId="10544"/>
    <cellStyle name="汇总 2 5 3 3 2" xfId="10545"/>
    <cellStyle name="汇总 2 6 2 2 5 3" xfId="10546"/>
    <cellStyle name="20% - 强调文字颜色 2 3 2 2 2 2 2" xfId="10547"/>
    <cellStyle name="强调文字颜色 4 2 3 3 3 2" xfId="10548"/>
    <cellStyle name="标题 3 4 3 2 2 2" xfId="10549"/>
    <cellStyle name="标题 2 2 3 2 3 3 3" xfId="10550"/>
    <cellStyle name="注释 3 3 7 2" xfId="10551"/>
    <cellStyle name="输入 2 2 4 2 3 2 6" xfId="10552"/>
    <cellStyle name="标题 4 3 2 2 2 2 2 2" xfId="10553"/>
    <cellStyle name="注释 2 2 3 2 3 8" xfId="10554"/>
    <cellStyle name="计算 2 5 3 2 8" xfId="10555"/>
    <cellStyle name="60% - 强调文字颜色 4 2 2 3 2 2 2 2" xfId="10556"/>
    <cellStyle name="计算 2 2 15" xfId="10557"/>
    <cellStyle name="计算 2 2 20" xfId="10558"/>
    <cellStyle name="常规 9 2 3 3 4" xfId="10559"/>
    <cellStyle name="汇总 2 2 4 2 8" xfId="10560"/>
    <cellStyle name="计算 2 2 14 2" xfId="10561"/>
    <cellStyle name="20% - 强调文字颜色 6 2 4 3 3" xfId="10562"/>
    <cellStyle name="常规 9 2 3 3 3 2" xfId="10563"/>
    <cellStyle name="汇总 2 2 4 2 7 2" xfId="10564"/>
    <cellStyle name="超链接 2 2 2 3 2" xfId="10565"/>
    <cellStyle name="常规 4 4 2 4 2 2" xfId="10566"/>
    <cellStyle name="注释 2 5 2 2 3 3" xfId="10567"/>
    <cellStyle name="20% - 强调文字颜色 4 2 3 4 3" xfId="10568"/>
    <cellStyle name="60% - 强调文字颜色 5 3 2 4" xfId="10569"/>
    <cellStyle name="强调文字颜色 3 2 2 4 3 2" xfId="10570"/>
    <cellStyle name="标题 2 4 2 3 2 2" xfId="10571"/>
    <cellStyle name="常规 5 3 3 3 4" xfId="10572"/>
    <cellStyle name="汇总 2 2 5 5 3 2 2" xfId="10573"/>
    <cellStyle name="20% - 强调文字颜色 5 6 2 2" xfId="10574"/>
    <cellStyle name="20% - 强调文字颜色 6 2 2 4 2 2" xfId="10575"/>
    <cellStyle name="60% - 强调文字颜色 2 2 2 2 2 3 2 2 2" xfId="10576"/>
    <cellStyle name="标题 4 3 2 2 5" xfId="10577"/>
    <cellStyle name="常规 5 5 2 5 3" xfId="10578"/>
    <cellStyle name="20% - 强调文字颜色 4 2 3 4 2" xfId="10579"/>
    <cellStyle name="注释 2 5 2 2 3 2" xfId="10580"/>
    <cellStyle name="60% - 强调文字颜色 1 5 2 2" xfId="10581"/>
    <cellStyle name="差 2 4 7" xfId="10582"/>
    <cellStyle name="常规 2 2 3 5 2" xfId="10583"/>
    <cellStyle name="输入 2 2 4 4 2 2 2" xfId="10584"/>
    <cellStyle name="60% - 强调文字颜色 4 2 3 2 2 3 2" xfId="10585"/>
    <cellStyle name="输入 2 2 6 4 2 4" xfId="10586"/>
    <cellStyle name="链接单元格 2 2 6 3 3" xfId="10587"/>
    <cellStyle name="20% - 强调文字颜色 1 2 2 4 2 2" xfId="10588"/>
    <cellStyle name="计算 2 5 13" xfId="10589"/>
    <cellStyle name="20% - 强调文字颜色 3 2 3 2 2 5 2" xfId="10590"/>
    <cellStyle name="注释 2 6 3 2 2" xfId="10591"/>
    <cellStyle name="标题 2 3 3 2 2 2" xfId="10592"/>
    <cellStyle name="常规 8 3 4 3" xfId="10593"/>
    <cellStyle name="输入 2 2 4 2 2 2 5 2" xfId="10594"/>
    <cellStyle name="60% - 强调文字颜色 3 5" xfId="10595"/>
    <cellStyle name="强调文字颜色 4 2 2 3 4 2" xfId="10596"/>
    <cellStyle name="输出 2 3 3 3 2" xfId="10597"/>
    <cellStyle name="Normal 2 3 2" xfId="10598"/>
    <cellStyle name="40% - 强调文字颜色 2 2 2 2 2 4 3 2" xfId="10599"/>
    <cellStyle name="好 6 3" xfId="10600"/>
    <cellStyle name="汇总 2 6 3 2 4 3" xfId="10601"/>
    <cellStyle name="60% - 强调文字颜色 4 2 4 5 2" xfId="10602"/>
    <cellStyle name="汇总 2 10 4 2 2" xfId="10603"/>
    <cellStyle name="60% - 强调文字颜色 1 2 7 2" xfId="10604"/>
    <cellStyle name="汇总 2 10 3 3 3" xfId="10605"/>
    <cellStyle name="20% - 强调文字颜色 3 2 3 3 3" xfId="10606"/>
    <cellStyle name="常规 9 4 4" xfId="10607"/>
    <cellStyle name="注释 2 4 2 2 2 3" xfId="10608"/>
    <cellStyle name="常规 12 3 2 5" xfId="10609"/>
    <cellStyle name="汇总 2 2 6 2 6 2" xfId="10610"/>
    <cellStyle name="超链接 2 6 2 3" xfId="10611"/>
    <cellStyle name="60% - 强调文字颜色 4 3 4 2" xfId="10612"/>
    <cellStyle name="常规 5 2 3 5 2" xfId="10613"/>
    <cellStyle name="输入 2 2 8 3" xfId="10614"/>
    <cellStyle name="40% - 强调文字颜色 5 4 3" xfId="10615"/>
    <cellStyle name="输入 2 2 5 2 5" xfId="10616"/>
    <cellStyle name="输出 2 2 4 2 7 2" xfId="10617"/>
    <cellStyle name="60% - 强调文字颜色 1 3 2 3 2 2 2" xfId="10618"/>
    <cellStyle name="60% - 强调文字颜色 2 2 2 2 7 2" xfId="10619"/>
    <cellStyle name="输出 2 2 6" xfId="10620"/>
    <cellStyle name="汇总 2 2 5 3 2 2" xfId="10621"/>
    <cellStyle name="60% - 强调文字颜色 4 5 2 2 2 2" xfId="10622"/>
    <cellStyle name="20% - 强调文字颜色 6 2 2 2 2 5 2 2 2" xfId="10623"/>
    <cellStyle name="注释 2 2 3 3 3 3" xfId="10624"/>
    <cellStyle name="警告文本 3" xfId="10625"/>
    <cellStyle name="40% - 强调文字颜色 3 2 5 3 3 2" xfId="10626"/>
    <cellStyle name="汇总 4 4 4" xfId="10627"/>
    <cellStyle name="汇总 2 3 2 2 2 4 3" xfId="10628"/>
    <cellStyle name="输出 2 2 7 2 3 3" xfId="10629"/>
    <cellStyle name="60% - 强调文字颜色 3 2 8 2" xfId="10630"/>
    <cellStyle name="标题 2 2 8 3" xfId="10631"/>
    <cellStyle name="标题 3 2 2 3 3 2 3" xfId="10632"/>
    <cellStyle name="60% - 强调文字颜色 2 2 3 6 2" xfId="10633"/>
    <cellStyle name="汇总 2 2 5 2 7 2 2" xfId="10634"/>
    <cellStyle name="20% - 强调文字颜色 1 2 2 4 3" xfId="10635"/>
    <cellStyle name="40% - 强调文字颜色 3 2 2 2 3 3 2" xfId="10636"/>
    <cellStyle name="常规 4 3 4 4 2" xfId="10637"/>
    <cellStyle name="超链接 2 2" xfId="10638"/>
    <cellStyle name="60% - 强调文字颜色 6" xfId="10639" builtinId="52"/>
    <cellStyle name="强调文字颜色 4 2 2 3 2 2 3" xfId="10640"/>
    <cellStyle name="输出 2 2 3 2 3 5" xfId="10641"/>
    <cellStyle name="超链接 2 2 2 5 2 2" xfId="10642"/>
    <cellStyle name="注释 2 2 10 4" xfId="10643"/>
    <cellStyle name="常规 5 2 5 3 2 2" xfId="10644"/>
    <cellStyle name="链接单元格 2 2 4 3 2" xfId="10645"/>
    <cellStyle name="输入 2 2 6 2 2 3" xfId="10646"/>
    <cellStyle name="40% - 强调文字颜色 6 2 2 2 4 2" xfId="10647"/>
    <cellStyle name="汇总 2 2 2 5 2" xfId="10648"/>
    <cellStyle name="注释 2 2 4 2 2 2 2 3" xfId="10649"/>
    <cellStyle name="常规 9 3 3 2 3 2" xfId="10650"/>
    <cellStyle name="标题 1 2 2 4 3 2" xfId="10651"/>
    <cellStyle name="链接单元格 3 9" xfId="10652"/>
    <cellStyle name="40% - 强调文字颜色 6 2 6 3 2" xfId="10653"/>
    <cellStyle name="注释 2 2 3 4 3 2 2" xfId="10654"/>
    <cellStyle name="40% - 强调文字颜色 5 2 4 3 2 2 2" xfId="10655"/>
    <cellStyle name="汇总 2 9 3 2 3" xfId="10656"/>
    <cellStyle name="40% - 强调文字颜色 1 2 3 3" xfId="10657"/>
    <cellStyle name="60% - 强调文字颜色 5 2 2 4 2" xfId="10658"/>
    <cellStyle name="20% - 强调文字颜色 1 2 2 4 3 3" xfId="10659"/>
    <cellStyle name="常规 3 3 2 3 2 2 2 2" xfId="10660"/>
    <cellStyle name="60% - 强调文字颜色 3 2 2 3 2" xfId="10661"/>
    <cellStyle name="强调文字颜色 5 2 2 6 3 2" xfId="10662"/>
    <cellStyle name="输入 2 2 2 2 2 2 2 3" xfId="10663"/>
    <cellStyle name="说明文本" xfId="10664"/>
    <cellStyle name="输入 2 4 2 2 8" xfId="10665"/>
    <cellStyle name="20% - 强调文字颜色 6 2 3 2 2 2 3" xfId="10666"/>
    <cellStyle name="常规 5 5 2 3 5" xfId="10667"/>
    <cellStyle name="20% - 强调文字颜色 4 2 3 2 4" xfId="10668"/>
    <cellStyle name="计算 3 3 4 2" xfId="10669"/>
    <cellStyle name="强调文字颜色 6 2 6 2 2" xfId="10670"/>
    <cellStyle name="60% - 强调文字颜色 5 2 4 4 3" xfId="10671"/>
    <cellStyle name="差 3 3 4" xfId="10672"/>
    <cellStyle name="标题 3 2 2 4 2" xfId="10673"/>
    <cellStyle name="计算 2 2 6 4 4 2" xfId="10674"/>
    <cellStyle name="链接单元格 3 4" xfId="10675"/>
    <cellStyle name="汇总 2 4 3 5 3" xfId="10676"/>
    <cellStyle name="计算 2 4 7" xfId="10677"/>
    <cellStyle name="注释 2 2 2 3" xfId="10678"/>
    <cellStyle name="汇总 2 5 14" xfId="10679"/>
    <cellStyle name="20% - 强调文字颜色 3 2 2 2 4 3 2" xfId="10680"/>
    <cellStyle name="输入 2 7 3 6" xfId="10681"/>
    <cellStyle name="注释 3 3 8" xfId="10682"/>
    <cellStyle name="汇总 2 2 12 2" xfId="10683"/>
    <cellStyle name="60% - 强调文字颜色 4 2 3 6 2 2" xfId="10684"/>
    <cellStyle name="汇总 2 10 3 3 2 2" xfId="10685"/>
    <cellStyle name="警告文本 2 2 4 3 3" xfId="10686"/>
    <cellStyle name="输出 2 2 3 3 2 2 2 2" xfId="10687"/>
    <cellStyle name="60% - 强调文字颜色 2 2 2 2 4 3 2" xfId="10688"/>
    <cellStyle name="注释 2 2 4 2 2 5" xfId="10689"/>
    <cellStyle name="常规 3 3 2 2 3 2 2" xfId="10690"/>
    <cellStyle name="60% - 强调文字颜色 2 3 2 3" xfId="10691"/>
    <cellStyle name="注释 2 7 3 2 2" xfId="10692"/>
    <cellStyle name="20% - 强调文字颜色 6 3 3 3" xfId="10693"/>
    <cellStyle name="标题 3 2 2 4 2 2 2" xfId="10694"/>
    <cellStyle name="注释 2 2 2 3 2 4" xfId="10695"/>
    <cellStyle name="60% - 强调文字颜色 5 2 2 2 2 3 3 2 2" xfId="10696"/>
    <cellStyle name="计算 2 2 2 2 2 2 4 2 2" xfId="10697"/>
    <cellStyle name="常规 5 2 7" xfId="10698"/>
    <cellStyle name="输入 2 4 4 4 2 2" xfId="10699"/>
    <cellStyle name="计算 2 4 6" xfId="10700"/>
    <cellStyle name="60% - 强调文字颜色 2 2 2 4 3 3" xfId="10701"/>
    <cellStyle name="汇总 2 4 3 5 2" xfId="10702"/>
    <cellStyle name="强调文字颜色 1 2 2 4 2 4" xfId="10703"/>
    <cellStyle name="标题 3 2 2 4 2 2 2 2" xfId="10704"/>
    <cellStyle name="60% - 强调文字颜色 2 3 4 2 2 2" xfId="10705"/>
    <cellStyle name="汇总 2 6 4 2 6" xfId="10706"/>
    <cellStyle name="计算 2 3 3 6 3" xfId="10707"/>
    <cellStyle name="计算 2 7 2 6" xfId="10708"/>
    <cellStyle name="输入 2 9" xfId="10709"/>
    <cellStyle name="好 2 2 6 3 2 2" xfId="10710"/>
    <cellStyle name="计算 2 5 2 17" xfId="10711"/>
    <cellStyle name="汇总 2 5 2 4 3 2 2" xfId="10712"/>
    <cellStyle name="好 2 2 3 2 2 2 3" xfId="10713"/>
    <cellStyle name="标题 2 2 8" xfId="10714"/>
    <cellStyle name="输入 2 2 2 3 2 6" xfId="10715"/>
    <cellStyle name="超链接 2 3 3 4" xfId="10716"/>
    <cellStyle name="标题 3 2 2 3 3 2" xfId="10717"/>
    <cellStyle name="注释 2 2 3 3 2 2 2 2" xfId="10718"/>
    <cellStyle name="常规 10 4 3 3 2 2" xfId="10719"/>
    <cellStyle name="汇总 2 6 2 3 7" xfId="10720"/>
    <cellStyle name="适中 4 2 3" xfId="10721"/>
    <cellStyle name="输出 6 2 2" xfId="10722"/>
    <cellStyle name="差 3 2 5 2" xfId="10723"/>
    <cellStyle name="标题 4 2 2 2 4 2 2 2" xfId="10724"/>
    <cellStyle name="20% - 强调文字颜色 5 2 3 3 2 2 2" xfId="10725"/>
    <cellStyle name="标题 2 2 5 2" xfId="10726"/>
    <cellStyle name="适中 2 4 3 3 2" xfId="10727"/>
    <cellStyle name="20% - 强调文字颜色 2 2 2 4 2 2 2 2" xfId="10728"/>
    <cellStyle name="常规 3 2 5 2 2" xfId="10729"/>
    <cellStyle name="强调文字颜色 6 2 2 3 3 3" xfId="10730"/>
    <cellStyle name="标题 5 4 2 2 2 3" xfId="10731"/>
    <cellStyle name="计算 2 2 5 2 4" xfId="10732"/>
    <cellStyle name="常规 5 3 2 2 3 3 2" xfId="10733"/>
    <cellStyle name="汇总 2 2 6 2 2 4" xfId="10734"/>
    <cellStyle name="计算 2 6 4 2 3" xfId="10735"/>
    <cellStyle name="常规 4 2 11" xfId="10736"/>
    <cellStyle name="计算 2 2 5 3 2 5 2" xfId="10737"/>
    <cellStyle name="输入 2 5 8 3" xfId="10738"/>
    <cellStyle name="标题 3 2 3 3" xfId="10739"/>
    <cellStyle name="输入 2 2 3 4 3 2 2" xfId="10740"/>
    <cellStyle name="输出 2 4 2 2 2 2 2 2 2" xfId="10741"/>
    <cellStyle name="40% - 强调文字颜色 5 2 2 3 4 3" xfId="10742"/>
    <cellStyle name="输入 2 2 4 2 8" xfId="10743"/>
    <cellStyle name="计算 2 2 9 3 2 2 2" xfId="10744"/>
    <cellStyle name="60% - 强调文字颜色 4 2 2 2 3 3 2" xfId="10745"/>
    <cellStyle name="计算 2 2 3 3 6 2" xfId="10746"/>
    <cellStyle name="计算 2 2 8 4 2 2 2" xfId="10747"/>
    <cellStyle name="适中 2 3 3 3 2" xfId="10748"/>
    <cellStyle name="标题 1 2 5 2" xfId="10749"/>
    <cellStyle name="检查单元格 2 3 2 3 3 2" xfId="10750"/>
    <cellStyle name="标题 3 2 2 4 4" xfId="10751"/>
    <cellStyle name="40% - 强调文字颜色 6 2 2 2 2 2 2" xfId="10752"/>
    <cellStyle name="20% - 强调文字颜色 6 2 3 2 4 2" xfId="10753"/>
    <cellStyle name="20% - 强调文字颜色 6 4 4 2" xfId="10754"/>
    <cellStyle name="汇总 2 5 2 4 4 3" xfId="10755"/>
    <cellStyle name="40% - 强调文字颜色 6 2 3 2 3 2 2 2 2" xfId="10756"/>
    <cellStyle name="汇总 2 2 6 2 2 6" xfId="10757"/>
    <cellStyle name="常规 4 3 4 2 2 2" xfId="10758"/>
    <cellStyle name="标题 1 3 3 3 2" xfId="10759"/>
    <cellStyle name="标题 3 2 2 5 2 3" xfId="10760"/>
    <cellStyle name="输入 2 5 4 5" xfId="10761"/>
    <cellStyle name="计算 2 7 7 3" xfId="10762"/>
    <cellStyle name="好 2 3 4 3 2" xfId="10763"/>
    <cellStyle name="60% - 强调文字颜色 2 3 3 3 2 2" xfId="10764"/>
    <cellStyle name="常规 4 2 3" xfId="10765"/>
    <cellStyle name="输出 2 3 2 2 3 3" xfId="10766"/>
    <cellStyle name="注释 2 2 5 5 4" xfId="10767"/>
    <cellStyle name="输出 2 2 4 6" xfId="10768"/>
    <cellStyle name="输入 4 2 5 2" xfId="10769"/>
    <cellStyle name="汇总 2 2 4 2 2 2 2 2" xfId="10770"/>
    <cellStyle name="计算 2 2 4 3 2 5 2" xfId="10771"/>
    <cellStyle name="汇总 2 2 4 2 2 2 2 3 2 2" xfId="10772"/>
    <cellStyle name="输入 2 2 5 2 2 7" xfId="10773"/>
    <cellStyle name="常规 2 2 5 3 2 2" xfId="10774"/>
    <cellStyle name="注释 2 3 8" xfId="10775"/>
    <cellStyle name="输入 2 6 3 6" xfId="10776"/>
    <cellStyle name="20% - 强调文字颜色 3 2 3 2 2 2 3" xfId="10777"/>
    <cellStyle name="20% - 强调文字颜色 3 2 2 3 3 2" xfId="10778"/>
    <cellStyle name="60% - 强调文字颜色 6 2 2 2" xfId="10779"/>
    <cellStyle name="强调文字颜色 1 2 3 3 2" xfId="10780"/>
    <cellStyle name="60% - 强调文字颜色 1 2 2 2 2 2 4" xfId="10781"/>
    <cellStyle name="计算 2 2 8 2 5 2" xfId="10782"/>
    <cellStyle name="输入 2 2 2 3 6 2" xfId="10783"/>
    <cellStyle name="常规 13 7 2" xfId="10784"/>
    <cellStyle name="汇总 2 6 2 2 8" xfId="10785"/>
    <cellStyle name="输入 2 3 4 5" xfId="10786"/>
    <cellStyle name="输出 2 2 7 2 2 4" xfId="10787"/>
    <cellStyle name="差 3 2 4 3" xfId="10788"/>
    <cellStyle name="计算 4 7 2" xfId="10789"/>
    <cellStyle name="强调文字颜色 4 2 2 4 3 2 2 2" xfId="10790"/>
    <cellStyle name="20% - 强调文字颜色 1 4 4" xfId="10791"/>
    <cellStyle name="标题 1 3 5 2 2 2" xfId="10792"/>
    <cellStyle name="汇总 2 3 4 4 2 2" xfId="10793"/>
    <cellStyle name="输出 2 13 2" xfId="10794"/>
    <cellStyle name="计算 2 2 2 2 2 2 2 4 2" xfId="10795"/>
    <cellStyle name="汇总 2 3 5" xfId="10796"/>
    <cellStyle name="汇总 2 2 6 2 2 2 4 2" xfId="10797"/>
    <cellStyle name="标题 2 2 2 8 2" xfId="10798"/>
    <cellStyle name="检查单元格 2 2 3 9" xfId="10799"/>
    <cellStyle name="汇总 2 2 8 2 4" xfId="10800"/>
    <cellStyle name="警告文本 2 3 2 4 2" xfId="10801"/>
    <cellStyle name="20% - 强调文字颜色 3 2 2 3 4" xfId="10802"/>
    <cellStyle name="计算 2 2 5 2 2 3 3 2" xfId="10803"/>
    <cellStyle name="解释性文本 3 2 4" xfId="10804"/>
    <cellStyle name="汇总 2 2 2 2 2 3 4" xfId="10805"/>
    <cellStyle name="60% - 强调文字颜色 2 2 3 4 3 2 2" xfId="10806"/>
    <cellStyle name="计算 2 6 4 5 2" xfId="10807"/>
    <cellStyle name="适中 2 4 5" xfId="10808"/>
    <cellStyle name="汇总 2 7 2 2 2 3 2 2" xfId="10809"/>
    <cellStyle name="标题 4 2 2 3 2 3" xfId="10810"/>
    <cellStyle name="汇总 2 2 4 2 3 2 4 3" xfId="10811"/>
    <cellStyle name="60% - 强调文字颜色 6 2 2 2 4 3" xfId="10812"/>
    <cellStyle name="计算 2 2 4 4 2 6" xfId="10813"/>
    <cellStyle name="输入 2 2 6 4 5" xfId="10814"/>
    <cellStyle name="计算 6" xfId="10815"/>
    <cellStyle name="计算 2 2 6 5 3 3" xfId="10816"/>
    <cellStyle name="好 5 2 2 2 2" xfId="10817"/>
    <cellStyle name="汇总 2 5 2 5 3 2" xfId="10818"/>
    <cellStyle name="60% - 强调文字颜色 2 6" xfId="10819"/>
    <cellStyle name="输入 2 2 4 4 3 3" xfId="10820"/>
    <cellStyle name="60% - 强调文字颜色 3 2 3 2 4 3" xfId="10821"/>
    <cellStyle name="40% - 强调文字颜色 4 2 3 6 2 2" xfId="10822"/>
    <cellStyle name="标题 3 2 2 2 2 2 3 3" xfId="10823"/>
    <cellStyle name="标题 5 2 4 2 3 3" xfId="10824"/>
    <cellStyle name="常规 10 2 3 2 3" xfId="10825"/>
    <cellStyle name="60% - 强调文字颜色 6 3 2 4 2 2 2" xfId="10826"/>
    <cellStyle name="汇总 2 2 4 3 2 3 2" xfId="10827"/>
    <cellStyle name="20% - 强调文字颜色 2 2 2 4 5 2" xfId="10828"/>
    <cellStyle name="好 2 4 9" xfId="10829"/>
    <cellStyle name="计算 2 6 4 2 2 3" xfId="10830"/>
    <cellStyle name="计算 2 2 4 2 6 2 3" xfId="10831"/>
    <cellStyle name="警告文本 2 4 3 4" xfId="10832"/>
    <cellStyle name="警告文本 2 2 3 6" xfId="10833"/>
    <cellStyle name="汇总 2 3 3 4 3" xfId="10834"/>
    <cellStyle name="计算 2 2 4 2 4 2 5" xfId="10835"/>
    <cellStyle name="检查单元格 2 3 2 4 3 2" xfId="10836"/>
    <cellStyle name="输入 2 2 5 3 7" xfId="10837"/>
    <cellStyle name="40% - 强调文字颜色 5 2 2 4 5 2" xfId="10838"/>
    <cellStyle name="强调文字颜色 4 2 2 2 2 2 4" xfId="10839"/>
    <cellStyle name="标题 1 2 4 4 2 3" xfId="10840"/>
    <cellStyle name="60% - 强调文字颜色 6 2 2 2 2" xfId="10841"/>
    <cellStyle name="强调文字颜色 1 2 2 4 3 2 3" xfId="10842"/>
    <cellStyle name="计算 2 2 8 2 5 2 2" xfId="10843"/>
    <cellStyle name="20% - 强调文字颜色 6 5 2 2 2" xfId="10844"/>
    <cellStyle name="差 3 3 3" xfId="10845"/>
    <cellStyle name="检查单元格 2 2 3 4 2 3" xfId="10846"/>
    <cellStyle name="标题 5 2 2 5 2 2 2" xfId="10847"/>
    <cellStyle name="标题 5 6 2 2 2" xfId="10848"/>
    <cellStyle name="超链接 3 3 3 3" xfId="10849"/>
    <cellStyle name="好 2 2 3 3 2 2 2" xfId="10850"/>
    <cellStyle name="60% - 强调文字颜色 5 2 2 4 2 3" xfId="10851"/>
    <cellStyle name="40% - 强调文字颜色 1 2 3 3 3" xfId="10852"/>
    <cellStyle name="注释 2 7 3 2 5" xfId="10853"/>
    <cellStyle name="注释 2 2 2 2 8" xfId="10854"/>
    <cellStyle name="强调文字颜色 2 2 6 3 3" xfId="10855"/>
    <cellStyle name="好 2 2 7 2" xfId="10856"/>
    <cellStyle name="常规 13 7 3" xfId="10857"/>
    <cellStyle name="输出 2 2 7 4 3" xfId="10858"/>
    <cellStyle name="60% - 强调文字颜色 3 2 2 2 2 3 2" xfId="10859"/>
    <cellStyle name="40% - 强调文字颜色 5 3 3 2 2 2 2" xfId="10860"/>
    <cellStyle name="20% - 强调文字颜色 5 2 4 5 2" xfId="10861"/>
    <cellStyle name="20% - 强调文字颜色 3 5" xfId="10862"/>
    <cellStyle name="汇总 2 13" xfId="10863"/>
    <cellStyle name="计算 2 4 3 9" xfId="10864"/>
    <cellStyle name="60% - 强调文字颜色 4 2 5 2 2 2" xfId="10865"/>
    <cellStyle name="好 4 4 2" xfId="10866"/>
    <cellStyle name="计算 2 6 2 2 2 3" xfId="10867"/>
    <cellStyle name="汇总 4 3 5 2" xfId="10868"/>
    <cellStyle name="输出 2 2 3 5 6" xfId="10869"/>
    <cellStyle name="汇总 2 2 4 2 4 2 2" xfId="10870"/>
    <cellStyle name="百分比 2 3 3 4" xfId="10871"/>
    <cellStyle name="40% - 强调文字颜色 6 2 3 3 3 2" xfId="10872"/>
    <cellStyle name="解释性文本 2 3" xfId="10873"/>
    <cellStyle name="汇总 2 6 2 2 5" xfId="10874"/>
    <cellStyle name="百分比 2 2 5 2 2 2" xfId="10875"/>
    <cellStyle name="标题 6 2 2 2 2 2 2" xfId="10876"/>
    <cellStyle name="输入 2 2 8 5 2 2" xfId="10877"/>
    <cellStyle name="汇总 2 2 5 5 5" xfId="10878"/>
    <cellStyle name="强调文字颜色 6 2 4 3" xfId="10879"/>
    <cellStyle name="汇总 2 2 4 4 5 2" xfId="10880"/>
    <cellStyle name="注释 2 12 2 2" xfId="10881"/>
    <cellStyle name="计算 2 7 3 5 2 2" xfId="10882"/>
    <cellStyle name="20% - 强调文字颜色 2 2 2 3 3" xfId="10883"/>
    <cellStyle name="计算 2 6 2 13" xfId="10884"/>
    <cellStyle name="60% - 强调文字颜色 3 2 2 2 2 2 2 2 2" xfId="10885"/>
    <cellStyle name="40% - 强调文字颜色 1 2 3 2 2 3 2" xfId="10886"/>
    <cellStyle name="输出 2 2 3 4" xfId="10887"/>
    <cellStyle name="注释 2 2 5 4 2" xfId="10888"/>
    <cellStyle name="计算 2 6 2 2 5 3" xfId="10889"/>
    <cellStyle name="适中 2 4 2 2" xfId="10890"/>
    <cellStyle name="输出 2 2 3 2 3 9" xfId="10891"/>
    <cellStyle name="60% - 强调文字颜色 6 2 3 4 3 3" xfId="10892"/>
    <cellStyle name="20% - 强调文字颜色 2 2 3 2 2 2 2 2 2" xfId="10893"/>
    <cellStyle name="强调文字颜色 1 3 5 2" xfId="10894"/>
    <cellStyle name="差 2 2 4 2 2" xfId="10895"/>
    <cellStyle name="汇总 2 5 2 2 7 2" xfId="10896"/>
    <cellStyle name="计算 2 4 3 2 8" xfId="10897"/>
    <cellStyle name="输出 2 2 3 7 2" xfId="10898"/>
    <cellStyle name="常规 12 3 2 3 3" xfId="10899"/>
    <cellStyle name="汇总 2 2 4 2 5 6" xfId="10900"/>
    <cellStyle name="40% - 强调文字颜色 5 2 2 2 3 2 2 2" xfId="10901"/>
    <cellStyle name="输入 3 5 2 2" xfId="10902"/>
    <cellStyle name="60% - 强调文字颜色 3 2 3 5 2" xfId="10903"/>
    <cellStyle name="输入 2 3 2 6" xfId="10904"/>
    <cellStyle name="差 3 2 2 4" xfId="10905"/>
    <cellStyle name="计算 4 5 3" xfId="10906"/>
    <cellStyle name="输出 2 3 3 2 2 3" xfId="10907"/>
    <cellStyle name="输出 2 2 4 2 6 2 2" xfId="10908"/>
    <cellStyle name="强调文字颜色 6 3 9" xfId="10909"/>
    <cellStyle name="40% - 强调文字颜色 6 2 4 3 2 2" xfId="10910"/>
    <cellStyle name="输入 2 2 5 2 2 2 2 3" xfId="10911"/>
    <cellStyle name="强调文字颜色 4 2 3 4 3" xfId="10912"/>
    <cellStyle name="计算 2 2 8 7 2" xfId="10913"/>
    <cellStyle name="输入 2 2 2 8 3" xfId="10914"/>
    <cellStyle name="常规 4 5 5 2 2" xfId="10915"/>
    <cellStyle name="计算 2 4 3 2 4 2" xfId="10916"/>
    <cellStyle name="计算 2 2 8 2 2 3" xfId="10917"/>
    <cellStyle name="60% - 强调文字颜色 5 3 5 2 2" xfId="10918"/>
    <cellStyle name="输入 2 2 2 3 3 3" xfId="10919"/>
    <cellStyle name="警告文本 2 2 2 2 2 3" xfId="10920"/>
    <cellStyle name="汇总 2 8 5 2" xfId="10921"/>
    <cellStyle name="60% - 强调文字颜色 6 2 3 2 4 4" xfId="10922"/>
    <cellStyle name="强调文字颜色 2 2 2 6 3 2" xfId="10923"/>
    <cellStyle name="注释 2 2 2 7" xfId="10924"/>
    <cellStyle name="输出 2 7 6 2" xfId="10925"/>
    <cellStyle name="计算 2 7 3 9" xfId="10926"/>
    <cellStyle name="计算 2 4 4 2 2 3" xfId="10927"/>
    <cellStyle name="输出 2 2 2 4 2" xfId="10928"/>
    <cellStyle name="强调文字颜色 5 3" xfId="10929"/>
    <cellStyle name="注释 2 2 5 3 2 2" xfId="10930"/>
    <cellStyle name="汇总 2 2 3 4 2 5 2" xfId="10931"/>
    <cellStyle name="汇总 2 2 4 12 2" xfId="10932"/>
    <cellStyle name="强调文字颜色 5 2 3 4 2 3" xfId="10933"/>
    <cellStyle name="强调文字颜色 2 2 3 6" xfId="10934"/>
    <cellStyle name="计算 2 2 3 2 2 2 2 2 2" xfId="10935"/>
    <cellStyle name="汇总 2 4 2 2 2 3 2" xfId="10936"/>
    <cellStyle name="无色 2 2 2" xfId="10937"/>
    <cellStyle name="强调文字颜色 2 2 3 2 3 2 2 2" xfId="10938"/>
    <cellStyle name="检查单元格 2 3 4 2 2 2" xfId="10939"/>
    <cellStyle name="强调文字颜色 4 2 4 3 3" xfId="10940"/>
    <cellStyle name="标题 3 4 4 2 2" xfId="10941"/>
    <cellStyle name="计算 2 2 8 6 2 2" xfId="10942"/>
    <cellStyle name="标题 3 2 7 3" xfId="10943"/>
    <cellStyle name="常规 10 2 2 4" xfId="10944"/>
    <cellStyle name="60% - 强调文字颜色 2 3 3 4 2" xfId="10945"/>
    <cellStyle name="20% - 强调文字颜色 1 3 2 2 3" xfId="10946"/>
    <cellStyle name="好 2 2 5 2 3" xfId="10947"/>
    <cellStyle name="输出 2 3 3 4 2" xfId="10948"/>
    <cellStyle name="注释 2 2 6 4 2 2" xfId="10949"/>
    <cellStyle name="强调文字颜色 2 2 2 2 2 2 3" xfId="10950"/>
    <cellStyle name="60% - 强调文字颜色 4 2 3 2 4 2 2 2" xfId="10951"/>
    <cellStyle name="标题 3 3 2 2 5" xfId="10952"/>
    <cellStyle name="注释 2 7 4 5" xfId="10953"/>
    <cellStyle name="强调文字颜色 6 3 2 3 2" xfId="10954"/>
    <cellStyle name="汇总 2 2 4 5 3 2 2" xfId="10955"/>
    <cellStyle name="标题 2 3 2 3 2" xfId="10956"/>
    <cellStyle name="计算 2 2 5 2 3 4 2 2" xfId="10957"/>
    <cellStyle name="标题 3 3 2 4 2 3" xfId="10958"/>
    <cellStyle name="强调文字颜色 4 2 2 3 2 3" xfId="10959"/>
    <cellStyle name="输入 2 6 5 2 2" xfId="10960"/>
    <cellStyle name="注释 2 5 4 2" xfId="10961"/>
    <cellStyle name="汇总 2 2 3 2 2 3" xfId="10962"/>
    <cellStyle name="40% - 强调文字颜色 2 2 4 2 2 2 2 2" xfId="10963"/>
    <cellStyle name="常规 5 5 4" xfId="10964"/>
    <cellStyle name="强调文字颜色 1 2 4 3 2" xfId="10965"/>
    <cellStyle name="输入 2 5 2 3 2 2 2 2" xfId="10966"/>
    <cellStyle name="输入 2 2 9 7" xfId="10967"/>
    <cellStyle name="注释 2 2 4 2 2 8" xfId="10968"/>
    <cellStyle name="注释 2 2 8 4 2" xfId="10969"/>
    <cellStyle name="输出 2 5 3 4" xfId="10970"/>
    <cellStyle name="输入 4 2 2 2 2" xfId="10971"/>
    <cellStyle name="注释 2 2 3 5 2" xfId="10972"/>
    <cellStyle name="链接单元格 2 2 3 8" xfId="10973"/>
    <cellStyle name="汇总 4 2 6 2 2" xfId="10974"/>
    <cellStyle name="输入 5 2 2 3" xfId="10975"/>
    <cellStyle name="适中 2 2 2 2 3 2 2" xfId="10976"/>
    <cellStyle name="20% - 强调文字颜色 5 2 2 2 2 4 2 2" xfId="10977"/>
    <cellStyle name="输出 3 2 2 3 3" xfId="10978"/>
    <cellStyle name="20% - 强调文字颜色 2 6 2" xfId="10979"/>
    <cellStyle name="检查单元格 2 2 9" xfId="10980"/>
    <cellStyle name="常规 3 2 4 3 3" xfId="10981"/>
    <cellStyle name="20% - 强调文字颜色 2 2 2 2 2 2 4 3 2" xfId="10982"/>
    <cellStyle name="汇总 2 2 2 2 2 6 3" xfId="10983"/>
    <cellStyle name="输入 3 6 2 2" xfId="10984"/>
    <cellStyle name="计算 3 2 2 2 2 2 2" xfId="10985"/>
    <cellStyle name="40% - 强调文字颜色 4 2 3 4 2 2 2" xfId="10986"/>
    <cellStyle name="强调文字颜色 2 2 4 7" xfId="10987"/>
    <cellStyle name="输出 2 2 3 2 11" xfId="10988"/>
    <cellStyle name="注释 2 8 5" xfId="10989"/>
    <cellStyle name="标题 3 3 3 3" xfId="10990"/>
    <cellStyle name="输入 2 6 8 3" xfId="10991"/>
    <cellStyle name="输出 2 2 2 5 3" xfId="10992"/>
    <cellStyle name="注释 2 2 5 3 3 3" xfId="10993"/>
    <cellStyle name="强调文字颜色 6 4" xfId="10994"/>
    <cellStyle name="注释 2 8 6" xfId="10995"/>
    <cellStyle name="标题 3 3 3 4" xfId="10996"/>
    <cellStyle name="计算 2 2 7 5 4" xfId="10997"/>
    <cellStyle name="60% - 强调文字颜色 1 2 2 2 4 3 2 2" xfId="10998"/>
    <cellStyle name="注释 3 2 2 2 2 2 2" xfId="10999"/>
    <cellStyle name="常规 10 2 2 2 3 3 3" xfId="11000"/>
    <cellStyle name="汇总 2 2 4 6 2 2" xfId="11001"/>
    <cellStyle name="强调文字颜色 3 2 2 4" xfId="11002"/>
    <cellStyle name="标题 3 3 3 4 2" xfId="11003"/>
    <cellStyle name="计算 2 2 7 5 4 2" xfId="11004"/>
    <cellStyle name="20% - 强调文字颜色 5 2 3 2 4 2" xfId="11005"/>
    <cellStyle name="60% - 强调文字颜色 6 2 4 4 3 2" xfId="11006"/>
    <cellStyle name="标题 2 3 3 2 2 3" xfId="11007"/>
    <cellStyle name="计算 2 2 4 2 4 2 2 2" xfId="11008"/>
    <cellStyle name="警告文本 2 2 3 3 2" xfId="11009"/>
    <cellStyle name="标题 5 2 4 2 3" xfId="11010"/>
    <cellStyle name="常规 3 2 4 2 2 2 2 2" xfId="11011"/>
    <cellStyle name="60% - 强调文字颜色 1 4 2" xfId="11012"/>
    <cellStyle name="标题 7 3 3" xfId="11013"/>
    <cellStyle name="20% - 强调文字颜色 4 2 4 4 2" xfId="11014"/>
    <cellStyle name="Normal 2 2 2 2 2" xfId="11015"/>
    <cellStyle name="注释 2 2 5 12" xfId="11016"/>
    <cellStyle name="20% - 强调文字颜色 6 2 5 5 2 2" xfId="11017"/>
    <cellStyle name="20% - 强调文字颜色 3 2 3 2 2 4 2 2 2" xfId="11018"/>
    <cellStyle name="标题 1 2 2 3 4 2 2 2" xfId="11019"/>
    <cellStyle name="标题 3 3 5 3" xfId="11020"/>
    <cellStyle name="计算 2 2 7 7 3" xfId="11021"/>
    <cellStyle name="输入 2 5 7 2 2" xfId="11022"/>
    <cellStyle name="标题 3 2 2 2 2" xfId="11023"/>
    <cellStyle name="计算 2 2 6 4 2 2" xfId="11024"/>
    <cellStyle name="强调文字颜色 2 2 3 4 2 2 2" xfId="11025"/>
    <cellStyle name="汇总 2 6 3 6" xfId="11026"/>
    <cellStyle name="计算 2 3 2 6 2 2" xfId="11027"/>
    <cellStyle name="汇总 2 6 3 2 5 2" xfId="11028"/>
    <cellStyle name="输入 2 4 4 2 2" xfId="11029"/>
    <cellStyle name="常规 2 2 2 2 2 5" xfId="11030"/>
    <cellStyle name="输出 2 11" xfId="11031"/>
    <cellStyle name="计算 2 2 4 2 5 2 2" xfId="11032"/>
    <cellStyle name="警告文本 2 3 3 3" xfId="11033"/>
    <cellStyle name="计算 2 2 2 2 2 2 2 2" xfId="11034"/>
    <cellStyle name="输入 2 2 5 4 5 2" xfId="11035"/>
    <cellStyle name="差 3 2 3" xfId="11036"/>
    <cellStyle name="计算 2 4 2 2 2 4 3" xfId="11037"/>
    <cellStyle name="强调文字颜色 3 3 7" xfId="11038"/>
    <cellStyle name="输出 2 2 2 2 2 7" xfId="11039"/>
    <cellStyle name="60% - 强调文字颜色 2 2 2 2 2" xfId="11040"/>
    <cellStyle name="常规 2 2 4 2 2" xfId="11041"/>
    <cellStyle name="输出 5 4" xfId="11042"/>
    <cellStyle name="强调文字颜色 2 2 3 2 2 2 2 3" xfId="11043"/>
    <cellStyle name="40% - 强调文字颜色 3 3 9" xfId="11044"/>
    <cellStyle name="标题 4 2 2 4 4 3" xfId="11045"/>
    <cellStyle name="常规 13 3 3" xfId="11046"/>
    <cellStyle name="好 2 2 3 2" xfId="11047"/>
    <cellStyle name="汇总 3 2 2 6 2 2" xfId="11048"/>
    <cellStyle name="标题 3 2 2 4 4 3" xfId="11049"/>
    <cellStyle name="汇总 2 4 4 2 6" xfId="11050"/>
    <cellStyle name="常规 9 4 3 3 2" xfId="11051"/>
    <cellStyle name="标题 1 3 2 5 2" xfId="11052"/>
    <cellStyle name="输出 2 4 4 2 2 2" xfId="11053"/>
    <cellStyle name="常规 2 3 2 2 2 2" xfId="11054"/>
    <cellStyle name="检查单元格 2 2 3 3 3 2" xfId="11055"/>
    <cellStyle name="60% - 强调文字颜色 3 2 3 2 3 3" xfId="11056"/>
    <cellStyle name="注释 2 2 5 2 8" xfId="11057"/>
    <cellStyle name="强调文字颜色 1 2 2 4 2 3 2" xfId="11058"/>
    <cellStyle name="输入 2 3 2 2 4" xfId="11059"/>
    <cellStyle name="汇总 2 8 4 2 2" xfId="11060"/>
    <cellStyle name="强调文字颜色 1 3" xfId="11061"/>
    <cellStyle name="注释 2 4 2 2 2 2 3 2" xfId="11062"/>
    <cellStyle name="注释 2 2 4 2 3 6" xfId="11063"/>
    <cellStyle name="链接单元格 2 4 4 2 2" xfId="11064"/>
    <cellStyle name="40% - 强调文字颜色 2 4 2 3 2" xfId="11065"/>
    <cellStyle name="标题 2 2 4 3 3 2" xfId="11066"/>
    <cellStyle name="20% - 强调文字颜色 2 2 4 3 3" xfId="11067"/>
    <cellStyle name="常规 10 2 2 2 2 2 2" xfId="11068"/>
    <cellStyle name="计算 2 2 8 6 3" xfId="11069"/>
    <cellStyle name="标题 3 4 4 3" xfId="11070"/>
    <cellStyle name="标题 2 2 3 3 3" xfId="11071"/>
    <cellStyle name="标题 3 6" xfId="11072"/>
    <cellStyle name="60% - 强调文字颜色 3 2 2 3 2 2" xfId="11073"/>
    <cellStyle name="计算 2 2 4 5 2" xfId="11074"/>
    <cellStyle name="40% - 强调文字颜色 5 2 2 3 5 2 2" xfId="11075"/>
    <cellStyle name="常规 14 3 2" xfId="11076"/>
    <cellStyle name="强调文字颜色 6 2 2 3 2 2 2 2" xfId="11077"/>
    <cellStyle name="20% - 强调文字颜色 2 2 3 2 2 2 3 2" xfId="11078"/>
    <cellStyle name="标题 2 2 2 2 4 3 2 2" xfId="11079"/>
    <cellStyle name="汇总 2 2 2 4 2 2 2 2" xfId="11080"/>
    <cellStyle name="20% - 强调文字颜色 4 2 2 2 5 2" xfId="11081"/>
    <cellStyle name="计算 3 2 4 3 2" xfId="11082"/>
    <cellStyle name="计算 2 7 3 2 3" xfId="11083"/>
    <cellStyle name="标题 4 2 2 2" xfId="11084"/>
    <cellStyle name="检查单元格 4 2 3" xfId="11085"/>
    <cellStyle name="20% - 强调文字颜色 2 2 3 2 3 3 2" xfId="11086"/>
    <cellStyle name="计算 2 3 13" xfId="11087"/>
    <cellStyle name="计算 2 6 3 6 2 2" xfId="11088"/>
    <cellStyle name="强调文字颜色 6 2 7 2 3" xfId="11089"/>
    <cellStyle name="60% - 强调文字颜色 6 3 5 2 2 2" xfId="11090"/>
    <cellStyle name="标题 1 2 10" xfId="11091"/>
    <cellStyle name="标题 4 2 2 2 2 3 3 2 2" xfId="11092"/>
    <cellStyle name="40% - 强调文字颜色 2 3 3 2 2 2" xfId="11093"/>
    <cellStyle name="强调文字颜色 1 2 2 2 2 2 3 2" xfId="11094"/>
    <cellStyle name="警告文本 3 9" xfId="11095"/>
    <cellStyle name="计算 2 6 2 4 3 3" xfId="11096"/>
    <cellStyle name="标题 4 2 2 2 2 4 3" xfId="11097"/>
    <cellStyle name="40% - 强调文字颜色 2 3 4 2" xfId="11098"/>
    <cellStyle name="汇总 2 2 3 2 2 4 2 2" xfId="11099"/>
    <cellStyle name="检查单元格 2 2 2 2 6" xfId="11100"/>
    <cellStyle name="标题 1 2 3 2 3 3 2 2" xfId="11101"/>
    <cellStyle name="百分比 2 2 4" xfId="11102"/>
    <cellStyle name="常规 9 3 3 3 3" xfId="11103"/>
    <cellStyle name="标题 1 2 2 5 3" xfId="11104"/>
    <cellStyle name="标题 1 3 4 2 3" xfId="11105"/>
    <cellStyle name="输入 2 2 3 2 2 3 3" xfId="11106"/>
    <cellStyle name="20% - 强调文字颜色 1 3 5" xfId="11107"/>
    <cellStyle name="汇总 2 3 3 6 2 2" xfId="11108"/>
    <cellStyle name="计算 2 4 2 2 4" xfId="11109"/>
    <cellStyle name="常规 3 4 2 2 2" xfId="11110"/>
    <cellStyle name="计算 2 4 13" xfId="11111"/>
    <cellStyle name="输出 2 2 3 2 4 2 2" xfId="11112"/>
    <cellStyle name="标题 4 2 2 2 2 5" xfId="11113"/>
    <cellStyle name="40% - 强调文字颜色 2 3 5 2" xfId="11114"/>
    <cellStyle name="标题 4 2 2 2 2 5 3" xfId="11115"/>
    <cellStyle name="60% - 强调文字颜色 1 2 4 4" xfId="11116"/>
    <cellStyle name="60% - 强调文字颜色 4 2 3 3 5" xfId="11117"/>
    <cellStyle name="60% - 强调文字颜色 2 3 3 2" xfId="11118"/>
    <cellStyle name="常规 10 2 2 2 2 4 2" xfId="11119"/>
    <cellStyle name="20% - 强调文字颜色 4 4 5 2" xfId="11120"/>
    <cellStyle name="百分比 2 5" xfId="11121"/>
    <cellStyle name="标题 4 4 2 3 2 2" xfId="11122"/>
    <cellStyle name="警告文本 2 2 2 5 2 3" xfId="11123"/>
    <cellStyle name="强调文字颜色 5 2 2 4 3 2" xfId="11124"/>
    <cellStyle name="注释 4 2 3" xfId="11125"/>
    <cellStyle name="强调文字颜色 1 2 4 5" xfId="11126"/>
    <cellStyle name="输入 2 2 15 3" xfId="11127"/>
    <cellStyle name="标题 4 2 2 3 3 2 2" xfId="11128"/>
    <cellStyle name="常规 10 2 2 8" xfId="11129"/>
    <cellStyle name="40% - 强调文字颜色 6 2 2 3 3 2 2 2" xfId="11130"/>
    <cellStyle name="40% - 强调文字颜色 2 2 8 2" xfId="11131"/>
    <cellStyle name="输入 2 2 5 4 3 2" xfId="11132"/>
    <cellStyle name="汇总 3 8" xfId="11133"/>
    <cellStyle name="输出 2 6 7 2" xfId="11134"/>
    <cellStyle name="注释 2 2 4 10" xfId="11135"/>
    <cellStyle name="标题 3 2 2 3 2 2 2 2" xfId="11136"/>
    <cellStyle name="计算 4 2 5" xfId="11137"/>
    <cellStyle name="输出 2 2 7 3" xfId="11138"/>
    <cellStyle name="输入 2 3 4 4 2 2" xfId="11139"/>
    <cellStyle name="标题 5 3 4 2 2 2" xfId="11140"/>
    <cellStyle name="汇总 2 2 5 2 3 3 3" xfId="11141"/>
    <cellStyle name="标题 5 2 2 2 4 2 2 2" xfId="11142"/>
    <cellStyle name="检查单元格 2 2 2 2 3 2 2 2" xfId="11143"/>
    <cellStyle name="常规 10 2 2 3 3" xfId="11144"/>
    <cellStyle name="强调文字颜色 1 2 4 3 2 2" xfId="11145"/>
    <cellStyle name="强调文字颜色 6 2 2 2 2 4 2 3" xfId="11146"/>
    <cellStyle name="强调文字颜色 5 2 2 3 2 2 2 2 2" xfId="11147"/>
    <cellStyle name="常规 9 2 2 5 3" xfId="11148"/>
    <cellStyle name="汇总 2 2 3 4 7" xfId="11149"/>
    <cellStyle name="计算 2 6 4 5" xfId="11150"/>
    <cellStyle name="标题 4 2 2 2 3 3" xfId="11151"/>
    <cellStyle name="20% - 强调文字颜色 5 2 7 2 2 2" xfId="11152"/>
    <cellStyle name="标题 1 2 2 2 3 2 3" xfId="11153"/>
    <cellStyle name="计算 2 2 4 2 3 8" xfId="11154"/>
    <cellStyle name="强调文字颜色 3 2 2 6 2 2 2" xfId="11155"/>
    <cellStyle name="计算 2 2 5 2 2 3 3" xfId="11156"/>
    <cellStyle name="解释性文本 2 2 2 3 6" xfId="11157"/>
    <cellStyle name="适中 2 2 2 2 4 2" xfId="11158"/>
    <cellStyle name="20% - 强调文字颜色 5 2 2 2 2 5 2" xfId="11159"/>
    <cellStyle name="常规 8 2 5 2 2" xfId="11160"/>
    <cellStyle name="计算 2 2 2 2 2 2 6 2" xfId="11161"/>
    <cellStyle name="20% - 强调文字颜色 6 4 2 3 2" xfId="11162"/>
    <cellStyle name="40% - 强调文字颜色 2 2 2 4" xfId="11163"/>
    <cellStyle name="计算 2 6 9 3" xfId="11164"/>
    <cellStyle name="输出 2 4 2 6 2 2" xfId="11165"/>
    <cellStyle name="强调文字颜色 4 4 3 2" xfId="11166"/>
    <cellStyle name="链接单元格 2 2 2 2 3 2 3" xfId="11167"/>
    <cellStyle name="差 3 3 2 2 2" xfId="11168"/>
    <cellStyle name="输入 2 4 2 6" xfId="11169"/>
    <cellStyle name="说明文本 4" xfId="11170"/>
    <cellStyle name="常规 5 2 3 2 3 3 3" xfId="11171"/>
    <cellStyle name="汇总 2 2 3 5" xfId="11172"/>
    <cellStyle name="输入 2 4 2 4 2" xfId="11173"/>
    <cellStyle name="汇总 3 9" xfId="11174"/>
    <cellStyle name="输入 2 2 5 4 3 3" xfId="11175"/>
    <cellStyle name="常规 6 2 3 2 2" xfId="11176"/>
    <cellStyle name="40% - 强调文字颜色 5 2 2 2 2 5 2 2" xfId="11177"/>
    <cellStyle name="注释 4 2 4" xfId="11178"/>
    <cellStyle name="强调文字颜色 1 2 4 6" xfId="11179"/>
    <cellStyle name="输入 2 8 2 2" xfId="11180"/>
    <cellStyle name="标题 4 2 2 3 3 2 3" xfId="11181"/>
    <cellStyle name="40% - 强调文字颜色 3 4 2 2" xfId="11182"/>
    <cellStyle name="汇总 2 7 5 2 2 2" xfId="11183"/>
    <cellStyle name="输入 2 2 3 2 4 2" xfId="11184"/>
    <cellStyle name="标题 1 2 2 3 5 2" xfId="11185"/>
    <cellStyle name="强调文字颜色 1 2 3 2 2" xfId="11186"/>
    <cellStyle name="输出 2 5 12" xfId="11187"/>
    <cellStyle name="汇总 2 2 6 3 4 3" xfId="11188"/>
    <cellStyle name="常规 2 3 6" xfId="11189"/>
    <cellStyle name="汇总 2 2 5 4 5" xfId="11190"/>
    <cellStyle name="计算 2 2 6 6 2" xfId="11191"/>
    <cellStyle name="计算 2 2 4 5 2 4 2 2" xfId="11192"/>
    <cellStyle name="40% - 强调文字颜色 1 5 2 2" xfId="11193"/>
    <cellStyle name="计算 2 2 7 2 3 2" xfId="11194"/>
    <cellStyle name="强调文字颜色 6 2 2 5 3 2 2" xfId="11195"/>
    <cellStyle name="汇总 2 7 3 3 2 2" xfId="11196"/>
    <cellStyle name="输入 2 2 9 5" xfId="11197"/>
    <cellStyle name="40% - 强调文字颜色 6 2 2 3 5 2 2" xfId="11198"/>
    <cellStyle name="标题 4 2 2 5 3 2" xfId="11199"/>
    <cellStyle name="常规 13" xfId="11200"/>
    <cellStyle name="40% - 强调文字颜色 4 2 8" xfId="11201"/>
    <cellStyle name="计算 2 7 4 5 2" xfId="11202"/>
    <cellStyle name="检查单元格 2 2 4 4" xfId="11203"/>
    <cellStyle name="常规 8 5 3 2 2" xfId="11204"/>
    <cellStyle name="强调文字颜色 1 2 2 5 3" xfId="11205"/>
    <cellStyle name="解释性文本 2 10" xfId="11206"/>
    <cellStyle name="20% - 强调文字颜色 1 2 9" xfId="11207"/>
    <cellStyle name="汇总 2 5 4 2 3 2 2" xfId="11208"/>
    <cellStyle name="输出 2 2 4 4 5 2" xfId="11209"/>
    <cellStyle name="标题 3 2 4 2 2 2 2 2" xfId="11210"/>
    <cellStyle name="好 2 2 2 2 3" xfId="11211"/>
    <cellStyle name="注释 2 3 2 8 2" xfId="11212"/>
    <cellStyle name="标题 4 2 2 2 5 2 2" xfId="11213"/>
    <cellStyle name="强调文字颜色 4 2 2 4 3" xfId="11214"/>
    <cellStyle name="标题 3 4 2 3 2" xfId="11215"/>
    <cellStyle name="标题 4 2 2 2 6 2 3" xfId="11216"/>
    <cellStyle name="计算 2 2 8 4 3 2" xfId="11217"/>
    <cellStyle name="60% - 强调文字颜色 2 4 2 2 2 2 2" xfId="11218"/>
    <cellStyle name="标题 4 2 2 2 7 2" xfId="11219"/>
    <cellStyle name="标题 4 2 2 2 8" xfId="11220"/>
    <cellStyle name="60% - 强调文字颜色 6 2 2 2 4 4" xfId="11221"/>
    <cellStyle name="计算 2 2 4 4 2 7" xfId="11222"/>
    <cellStyle name="输出 2 4 3 2 2 3 2" xfId="11223"/>
    <cellStyle name="汇总 2 5 2 2 3 5 2" xfId="11224"/>
    <cellStyle name="汇总 2 2 4 2 3 2 4" xfId="11225"/>
    <cellStyle name="标题 4 2 2 3 2" xfId="11226"/>
    <cellStyle name="计算 2 2 5 4 2 4 2 2" xfId="11227"/>
    <cellStyle name="60% - 强调文字颜色 6 2 3 2 5" xfId="11228"/>
    <cellStyle name="汇总 2 2 4 3 3 3" xfId="11229"/>
    <cellStyle name="60% - 强调文字颜色 5 2 5 2" xfId="11230"/>
    <cellStyle name="输出 3 3 9" xfId="11231"/>
    <cellStyle name="40% - 强调文字颜色 6 2 6 3 2 2" xfId="11232"/>
    <cellStyle name="注释 2 2 5 2 2 4" xfId="11233"/>
    <cellStyle name="常规 12 3 3 5" xfId="11234"/>
    <cellStyle name="汇总 2 5 2 3 3 3 2" xfId="11235"/>
    <cellStyle name="注释 2 5 2 6" xfId="11236"/>
    <cellStyle name="输入 2 5 4" xfId="11237"/>
    <cellStyle name="20% - 强调文字颜色 1 2 2 4 5" xfId="11238"/>
    <cellStyle name="标题 5 2 6 3 2" xfId="11239"/>
    <cellStyle name="输出 2 5 2 3 2 3" xfId="11240"/>
    <cellStyle name="差 2 4 6 3" xfId="11241"/>
    <cellStyle name="计算 3 2 2 3 5" xfId="11242"/>
    <cellStyle name="标题 4 2 2 4 2 4" xfId="11243"/>
    <cellStyle name="40% - 强调文字颜色 5 2 2 2 2 2 2 3" xfId="11244"/>
    <cellStyle name="计算 2 5 5 2 2 2" xfId="11245"/>
    <cellStyle name="常规 8 2 2 4 2 2" xfId="11246"/>
    <cellStyle name="输入 2 5 2 3" xfId="11247"/>
    <cellStyle name="强调文字颜色 3 2 2 2 3 7" xfId="11248"/>
    <cellStyle name="差 2 3 2 2 2 2 2 3" xfId="11249"/>
    <cellStyle name="超链接 2 5 2" xfId="11250"/>
    <cellStyle name="输出 2 2 5 3 2 5" xfId="11251"/>
    <cellStyle name="汇总 2 2 7 8 3" xfId="11252"/>
    <cellStyle name="解释性文本 2 3 3 3 2" xfId="11253"/>
    <cellStyle name="注释 2 6 2" xfId="11254"/>
    <cellStyle name="20% - 强调文字颜色 2 4 2 2 2 2" xfId="11255"/>
    <cellStyle name="40% - 强调文字颜色 3 2 8 2 2" xfId="11256"/>
    <cellStyle name="输出 2 2 6 10" xfId="11257"/>
    <cellStyle name="标题 4 3 4 2 3" xfId="11258"/>
    <cellStyle name="20% - 强调文字颜色 3 3 2 4 2 2 2" xfId="11259"/>
    <cellStyle name="计算 2 2 4 5 5 2 2" xfId="11260"/>
    <cellStyle name="计算 2 5 4 6" xfId="11261"/>
    <cellStyle name="计算 2 7 2" xfId="11262"/>
    <cellStyle name="检查单元格 3" xfId="11263"/>
    <cellStyle name="输入 2 5 2 2 2 5 2" xfId="11264"/>
    <cellStyle name="60% - 强调文字颜色 3 2 3 6" xfId="11265"/>
    <cellStyle name="输入 3 5 3" xfId="11266"/>
    <cellStyle name="汇总 2 2 5 2 12" xfId="11267"/>
    <cellStyle name="差 2 2 7 3" xfId="11268"/>
    <cellStyle name="40% - 强调文字颜色 2 2 3 4 3 2" xfId="11269"/>
    <cellStyle name="适中 2 3 4 4" xfId="11270"/>
    <cellStyle name="标题 1 3 6" xfId="11271"/>
    <cellStyle name="计算 2 9 2 4" xfId="11272"/>
    <cellStyle name="计算 2 8 8 3" xfId="11273"/>
    <cellStyle name="输入 2 2 2 2 3 4" xfId="11274"/>
    <cellStyle name="计算 2 8 3 2 7" xfId="11275"/>
    <cellStyle name="输出 2 2 4 3 5 2 2" xfId="11276"/>
    <cellStyle name="60% - 强调文字颜色 6 2 3 6 2 3" xfId="11277"/>
    <cellStyle name="60% - 强调文字颜色 5 2 6 3" xfId="11278"/>
    <cellStyle name="20% - 强调文字颜色 5 2 2 4 3 3" xfId="11279"/>
    <cellStyle name="强调文字颜色 5 2 2 3 5 2 2" xfId="11280"/>
    <cellStyle name="标题 2 4 3" xfId="11281"/>
    <cellStyle name="20% - 强调文字颜色 2 2 2 2 2 4" xfId="11282"/>
    <cellStyle name="40% - 强调文字颜色 3 2 2 4 4" xfId="11283"/>
    <cellStyle name="注释 2 2 5" xfId="11284"/>
    <cellStyle name="输入 2 6 2 3" xfId="11285"/>
    <cellStyle name="常规 8 2 2 5 2 2" xfId="11286"/>
    <cellStyle name="计算 2 5 5 3 2 2" xfId="11287"/>
    <cellStyle name="汇总 2 4 2 2 2 7" xfId="11288"/>
    <cellStyle name="解释性文本 2 4 3 3" xfId="11289"/>
    <cellStyle name="常规 4 2 4 3" xfId="11290"/>
    <cellStyle name="60% - 强调文字颜色 3 2 2 2 2 5 2 2" xfId="11291"/>
    <cellStyle name="汇总 2 2 11 2 2" xfId="11292"/>
    <cellStyle name="注释 3 2 8 2" xfId="11293"/>
    <cellStyle name="60% - 强调文字颜色 1 5 2 2 2" xfId="11294"/>
    <cellStyle name="常规 4 2 4 3 4 2" xfId="11295"/>
    <cellStyle name="输入 4 2 2" xfId="11296"/>
    <cellStyle name="常规 10 2 4 2 4 2" xfId="11297"/>
    <cellStyle name="输入 2 2 4 2 3 2 3" xfId="11298"/>
    <cellStyle name="计算 2 3 2 2 2 2 5" xfId="11299"/>
    <cellStyle name="差 6 2" xfId="11300"/>
    <cellStyle name="输入 2 2 6 7 3" xfId="11301"/>
    <cellStyle name="20% - 强调文字颜色 5 2 2 2 2 2 2 2 2" xfId="11302"/>
    <cellStyle name="标题 4 2 2 5 3" xfId="11303"/>
    <cellStyle name="汇总 2 5 9 3" xfId="11304"/>
    <cellStyle name="输入 2 4 2 2 2 2 3" xfId="11305"/>
    <cellStyle name="常规 4 3 4 4" xfId="11306"/>
    <cellStyle name="超链接 2" xfId="11307"/>
    <cellStyle name="输入 2 5 3 2 4 2" xfId="11308"/>
    <cellStyle name="40% - 强调文字颜色 6 2 2 3 5" xfId="11309"/>
    <cellStyle name="60% - 强调文字颜色 6 3 3 4" xfId="11310"/>
    <cellStyle name="强调文字颜色 3 2 2 2 2 3" xfId="11311"/>
    <cellStyle name="标题 1 2 6" xfId="11312"/>
    <cellStyle name="40% - 强调文字颜色 2 2 3 4 2 2" xfId="11313"/>
    <cellStyle name="适中 2 3 3 4" xfId="11314"/>
    <cellStyle name="40% - 强调文字颜色 1 2 3 4 3 2 2" xfId="11315"/>
    <cellStyle name="输入 2 2 2 11" xfId="11316"/>
    <cellStyle name="汇总 2 2 4 4 3 3 2" xfId="11317"/>
    <cellStyle name="汇总 2 7 2 2" xfId="11318"/>
    <cellStyle name="强调文字颜色 6 2 2 4 2" xfId="11319"/>
    <cellStyle name="40% - 强调文字颜色 6 2 2 2 4" xfId="11320"/>
    <cellStyle name="常规 9 3 3" xfId="11321"/>
    <cellStyle name="60% - 强调文字颜色 6 2 2 3 4 4" xfId="11322"/>
    <cellStyle name="输出 2 2 4 2 2 4 3" xfId="11323"/>
    <cellStyle name="标题 3 2 4 5 2" xfId="11324"/>
    <cellStyle name="强调文字颜色 2 3 3 4" xfId="11325"/>
    <cellStyle name="计算 2 2 2 2 3 4 3" xfId="11326"/>
    <cellStyle name="链接单元格 2 3 4 3" xfId="11327"/>
    <cellStyle name="常规 5 2 6 3 2" xfId="11328"/>
    <cellStyle name="40% - 强调文字颜色 1 2 2 2 2 2 2 2" xfId="11329"/>
    <cellStyle name="60% - 强调文字颜色 4 6 2 2" xfId="11330"/>
    <cellStyle name="20% - 强调文字颜色 6 2 2 5" xfId="11331"/>
    <cellStyle name="标题 4 2 2 6 3 2" xfId="11332"/>
    <cellStyle name="链接单元格 2 2 2 2 2 3 2" xfId="11333"/>
    <cellStyle name="输入 2 3 3 5" xfId="11334"/>
    <cellStyle name="计算 4 6 2" xfId="11335"/>
    <cellStyle name="差 3 2 3 3" xfId="11336"/>
    <cellStyle name="汇总 2 2 4 2 4 2 4" xfId="11337"/>
    <cellStyle name="标题 4 2 3 3 2" xfId="11338"/>
    <cellStyle name="计算 2 6 2 2 2 4 2 2" xfId="11339"/>
    <cellStyle name="标题 2 2 5 3" xfId="11340"/>
    <cellStyle name="计算 2 2 5 2 2 7 2" xfId="11341"/>
    <cellStyle name="适中 2 4 3 3 3" xfId="11342"/>
    <cellStyle name="注释 2 2 2 2 2 2 3 3" xfId="11343"/>
    <cellStyle name="计算 2 5 11 2" xfId="11344"/>
    <cellStyle name="强调文字颜色 6 2 4 2" xfId="11345"/>
    <cellStyle name="计算 2 4 2 7 2 2" xfId="11346"/>
    <cellStyle name="百分比 2 2 2 4 3 2" xfId="11347"/>
    <cellStyle name="汇总 2 3 2 12" xfId="11348"/>
    <cellStyle name="适中 2 2 2 4 4" xfId="11349"/>
    <cellStyle name="汇总 2 5 5 2 4 2 2" xfId="11350"/>
    <cellStyle name="常规 5 2 3 3 2 3 2" xfId="11351"/>
    <cellStyle name="输入 2 2 4 2 2 4 2" xfId="11352"/>
    <cellStyle name="差 2 2 3 10" xfId="11353"/>
    <cellStyle name="强调文字颜色 2 2 2 3 4 2 2" xfId="11354"/>
    <cellStyle name="60% - 强调文字颜色 1 2 5 3 2" xfId="11355"/>
    <cellStyle name="警告文本 2 2 2 5 3" xfId="11356"/>
    <cellStyle name="汇总 2 3 3 3 2 3" xfId="11357"/>
    <cellStyle name="常规 3 3 2 5 2 2" xfId="11358"/>
    <cellStyle name="标题 3 2 2 2 9" xfId="11359"/>
    <cellStyle name="输出 2 3 4 4" xfId="11360"/>
    <cellStyle name="注释 2 2 6 5 2" xfId="11361"/>
    <cellStyle name="超链接 3 5 3" xfId="11362"/>
    <cellStyle name="标题 4 2 3 5" xfId="11363"/>
    <cellStyle name="标题 4 2 3 5 2 2" xfId="11364"/>
    <cellStyle name="注释 2 2 3 3 2 4 2" xfId="11365"/>
    <cellStyle name="标题 4 2 3 5 3" xfId="11366"/>
    <cellStyle name="输入 2 3 7 2 2" xfId="11367"/>
    <cellStyle name="强调文字颜色 4 2 3 2 4 2 3" xfId="11368"/>
    <cellStyle name="输入 2 5 7 2" xfId="11369"/>
    <cellStyle name="标题 3 2 2 2" xfId="11370"/>
    <cellStyle name="解释性文本 2 3 2 4 4" xfId="11371"/>
    <cellStyle name="汇总 2 6 4 6 2" xfId="11372"/>
    <cellStyle name="注释 3 2 4 3" xfId="11373"/>
    <cellStyle name="输入 2 7 2 2 3" xfId="11374"/>
    <cellStyle name="常规 7 2 2 2 2 2" xfId="11375"/>
    <cellStyle name="输出 2 6 2 4 3" xfId="11376"/>
    <cellStyle name="计算 2 4 3 8" xfId="11377"/>
    <cellStyle name="标题 4 2 3 3 2 2 3" xfId="11378"/>
    <cellStyle name="计算 2 5 2 7 2" xfId="11379"/>
    <cellStyle name="输出 2 2 2 2 3 2 2 2" xfId="11380"/>
    <cellStyle name="强调文字颜色 3 4 2 2 2" xfId="11381"/>
    <cellStyle name="标题 4 2 5 3" xfId="11382"/>
    <cellStyle name="40% - 强调文字颜色 6 2 2 2 2 4 3 2" xfId="11383"/>
    <cellStyle name="超链接 2 5 3 2" xfId="11384"/>
    <cellStyle name="标题 4 2 6" xfId="11385"/>
    <cellStyle name="计算 3 4 3 2" xfId="11386"/>
    <cellStyle name="强调文字颜色 3 2 4 4 2 3" xfId="11387"/>
    <cellStyle name="标题 7 3 2" xfId="11388"/>
    <cellStyle name="标题 5 2 4 2 2" xfId="11389"/>
    <cellStyle name="40% - 强调文字颜色 1 2 2 3 3" xfId="11390"/>
    <cellStyle name="注释 2 7 2 2 5" xfId="11391"/>
    <cellStyle name="20% - 强调文字颜色 6 2 3 6" xfId="11392"/>
    <cellStyle name="60% - 强调文字颜色 1 2 2 2 2 5" xfId="11393"/>
    <cellStyle name="60% - 强调文字颜色 5 2 3 2 4 2 2 2" xfId="11394"/>
    <cellStyle name="超链接 3 4 2 2 2" xfId="11395"/>
    <cellStyle name="输入 2 8 3 2 2" xfId="11396"/>
    <cellStyle name="输入 2 2 3 7 3" xfId="11397"/>
    <cellStyle name="输出 2 4 2 2 2 5 2" xfId="11398"/>
    <cellStyle name="警告文本 2 3 2 3 2 2 2" xfId="11399"/>
    <cellStyle name="计算 2 2 9 6 2" xfId="11400"/>
    <cellStyle name="强调文字颜色 4 2 2 3 3 2" xfId="11401"/>
    <cellStyle name="标题 3 4 2 2 2 2" xfId="11402"/>
    <cellStyle name="强调文字颜色 1 2 2 2 5 2 2 2" xfId="11403"/>
    <cellStyle name="适中 2 2 4 2 2 3" xfId="11404"/>
    <cellStyle name="计算 2 8 2 2 2 3" xfId="11405"/>
    <cellStyle name="强调文字颜色 2 3 2 3 2" xfId="11406"/>
    <cellStyle name="强调文字颜色 6 2 2 5 3 3" xfId="11407"/>
    <cellStyle name="汇总 2 7 3 3 3" xfId="11408"/>
    <cellStyle name="计算 2 2 7 2 4" xfId="11409"/>
    <cellStyle name="汇总 2 3 2 3 4 2 2" xfId="11410"/>
    <cellStyle name="强调文字颜色 3 2 3 3 2" xfId="11411"/>
    <cellStyle name="标题 2 2 2 2 6 2 3" xfId="11412"/>
    <cellStyle name="标题 4 2 4 3 2 3" xfId="11413"/>
    <cellStyle name="标题 4 2 9 2" xfId="11414"/>
    <cellStyle name="标题 5 2 3 3 3" xfId="11415"/>
    <cellStyle name="40% - 强调文字颜色 5 2 2 2 3 2 2" xfId="11416"/>
    <cellStyle name="60% - 强调文字颜色 1 3 2 2 2 2" xfId="11417"/>
    <cellStyle name="标题 7 2 3 2 2 2" xfId="11418"/>
    <cellStyle name="20% - 强调文字颜色 6 2 2 2 2 4 2" xfId="11419"/>
    <cellStyle name="20% - 强调文字颜色 4 4 4" xfId="11420"/>
    <cellStyle name="注释 2 2 4 2 7 2" xfId="11421"/>
    <cellStyle name="输出 2 9 3 3" xfId="11422"/>
    <cellStyle name="输入 2 2 3 4 3" xfId="11423"/>
    <cellStyle name="计算 2 2 9 3 2" xfId="11424"/>
    <cellStyle name="输出 2 4 2 2 2 2 2" xfId="11425"/>
    <cellStyle name="输出 3 11" xfId="11426"/>
    <cellStyle name="20% - 强调文字颜色 6 4 2 4 2" xfId="11427"/>
    <cellStyle name="警告文本 2 4 3 2" xfId="11428"/>
    <cellStyle name="强调文字颜色 2 3 2 2 4" xfId="11429"/>
    <cellStyle name="标题 1 2 3 3 3" xfId="11430"/>
    <cellStyle name="注释 2 3 3 2 6" xfId="11431"/>
    <cellStyle name="输出 2 2 2 3 2 6" xfId="11432"/>
    <cellStyle name="强调文字颜色 4 3 6" xfId="11433"/>
    <cellStyle name="标题 4 3 2 2 2 2" xfId="11434"/>
    <cellStyle name="标题 4 3 2 5" xfId="11435"/>
    <cellStyle name="输入 2 6 2 4 2" xfId="11436"/>
    <cellStyle name="注释 2 2 6 2" xfId="11437"/>
    <cellStyle name="超链接 3 4 3 3" xfId="11438"/>
    <cellStyle name="强调文字颜色 5 2 7 2 2" xfId="11439"/>
    <cellStyle name="汇总 2 2 2 2 3 6" xfId="11440"/>
    <cellStyle name="解释性文本 4 5" xfId="11441"/>
    <cellStyle name="40% - 强调文字颜色 5 2 5 3 2 2 2" xfId="11442"/>
    <cellStyle name="注释 2 2 4 4 3 2 2" xfId="11443"/>
    <cellStyle name="计算 2 3 3 2 5 2" xfId="11444"/>
    <cellStyle name="40% - 强调文字颜色 3 2 4 3 2 2 2" xfId="11445"/>
    <cellStyle name="强调文字颜色 1 2 2 3 2 3" xfId="11446"/>
    <cellStyle name="输入 2 8 4 3" xfId="11447"/>
    <cellStyle name="计算 2 7 2 2 3 2" xfId="11448"/>
    <cellStyle name="检查单元格 3 2 3 2" xfId="11449"/>
    <cellStyle name="输入 2 8 5 2 2" xfId="11450"/>
    <cellStyle name="强调文字颜色 4 2 4 3 2 3" xfId="11451"/>
    <cellStyle name="强调文字颜色 1 2 2 3 3 2 2" xfId="11452"/>
    <cellStyle name="40% - 强调文字颜色 3 2 2 2 2 2 3 2" xfId="11453"/>
    <cellStyle name="40% - 强调文字颜色 4 2 3 2 2 2 2 2 2 2" xfId="11454"/>
    <cellStyle name="标题 4 3 3 5" xfId="11455"/>
    <cellStyle name="检查单元格 2 2 2 7" xfId="11456"/>
    <cellStyle name="强调文字颜色 2 2 2 3 2 2 2 3" xfId="11457"/>
    <cellStyle name="汇总 2 3 4" xfId="11458"/>
    <cellStyle name="检查单元格 2 2 3 8" xfId="11459"/>
    <cellStyle name="Normal 5 2 2" xfId="11460"/>
    <cellStyle name="标题 2 2 2 4 5" xfId="11461"/>
    <cellStyle name="强调文字颜色 6 2 4 5 3" xfId="11462"/>
    <cellStyle name="汇总 2 9 3 3" xfId="11463"/>
    <cellStyle name="标题 4 3 3 3 2 3" xfId="11464"/>
    <cellStyle name="强调文字颜色 1 2 3 2 5 3" xfId="11465"/>
    <cellStyle name="标题 4 4 2 3" xfId="11466"/>
    <cellStyle name="60% - 强调文字颜色 2 2 2 2 2 5" xfId="11467"/>
    <cellStyle name="计算 2 2 4 3 2 2 6" xfId="11468"/>
    <cellStyle name="强调文字颜色 2 2 5 3 2" xfId="11469"/>
    <cellStyle name="汇总 2 2 5 2 2 7 2" xfId="11470"/>
    <cellStyle name="60% - 强调文字颜色 3 2 2 3 5 2 2" xfId="11471"/>
    <cellStyle name="标题 4 4 2 3 2 3" xfId="11472"/>
    <cellStyle name="强调文字颜色 5 2 2 4 3 3" xfId="11473"/>
    <cellStyle name="计算 2 5 5 2 2" xfId="11474"/>
    <cellStyle name="常规 8 2 2 4 2" xfId="11475"/>
    <cellStyle name="40% - 强调文字颜色 1 2 2 2 2 2 4" xfId="11476"/>
    <cellStyle name="20% - 强调文字颜色 1 2 2 6" xfId="11477"/>
    <cellStyle name="输出 2 2 2 2 6 3" xfId="11478"/>
    <cellStyle name="40% - 强调文字颜色 5 4 3 2 2 2" xfId="11479"/>
    <cellStyle name="输入 2 2 3 5 2 2" xfId="11480"/>
    <cellStyle name="标题 2 2 3 4 3" xfId="11481"/>
    <cellStyle name="计算 2 2 4 8 2 2" xfId="11482"/>
    <cellStyle name="标题 4 6" xfId="11483"/>
    <cellStyle name="60% - 强调文字颜色 3 2 2 3 3 2" xfId="11484"/>
    <cellStyle name="强调文字颜色 3 2 2 3 4 3 2" xfId="11485"/>
    <cellStyle name="60% - 强调文字颜色 3 2 2 3 2 2 2 2 2" xfId="11486"/>
    <cellStyle name="40% - 强调文字颜色 2 2 2 3 2 2 2 2" xfId="11487"/>
    <cellStyle name="常规 11 2 2 5" xfId="11488"/>
    <cellStyle name="标题 5 6 3 2 2" xfId="11489"/>
    <cellStyle name="汇总 2 2 8 2 5 2 2" xfId="11490"/>
    <cellStyle name="标题 4 4 4 3" xfId="11491"/>
    <cellStyle name="40% - 强调文字颜色 2 2 2 7" xfId="11492"/>
    <cellStyle name="标题 5 10" xfId="11493"/>
    <cellStyle name="标题 5 3 6 3" xfId="11494"/>
    <cellStyle name="标题 5 2 2 2 6 3" xfId="11495"/>
    <cellStyle name="常规 7 2 2 2 5 2 2" xfId="11496"/>
    <cellStyle name="计算 2 2 3 2 3" xfId="11497"/>
    <cellStyle name="计算 2 7 3 2 2 2" xfId="11498"/>
    <cellStyle name="输入 2 5 2 2 2 2 2 3" xfId="11499"/>
    <cellStyle name="输入 3 2 3 3" xfId="11500"/>
    <cellStyle name="适中 2 2 3 4 2 3" xfId="11501"/>
    <cellStyle name="汇总 2 2 3 3 6 3" xfId="11502"/>
    <cellStyle name="强调文字颜色 3 4 2" xfId="11503"/>
    <cellStyle name="输出 2 2 2 2 3 2" xfId="11504"/>
    <cellStyle name="常规 3 7 3 2" xfId="11505"/>
    <cellStyle name="适中 2 2 3 4 2 2" xfId="11506"/>
    <cellStyle name="20% - 强调文字颜色 5 2 2 3 4 3 2" xfId="11507"/>
    <cellStyle name="强调文字颜色 1 2 2 2 4 3" xfId="11508"/>
    <cellStyle name="输入 2 7 6 3" xfId="11509"/>
    <cellStyle name="40% - 强调文字颜色 1 2 5 3 3" xfId="11510"/>
    <cellStyle name="汇总 2 2 10 7" xfId="11511"/>
    <cellStyle name="计算 2 11 3 2" xfId="11512"/>
    <cellStyle name="超链接 3 3 5 3" xfId="11513"/>
    <cellStyle name="标题 3 2 2 2 3 3" xfId="11514"/>
    <cellStyle name="20% - 强调文字颜色 4 2 7 2 2 2" xfId="11515"/>
    <cellStyle name="输入 2 2 5 5" xfId="11516"/>
    <cellStyle name="汇总 2 5 2 4 2 2 3" xfId="11517"/>
    <cellStyle name="标题 5 4 7" xfId="11518"/>
    <cellStyle name="标题 5 2 2 3 7" xfId="11519"/>
    <cellStyle name="强调文字颜色 3 2 3 2 3 4" xfId="11520"/>
    <cellStyle name="计算 2 2 4 3" xfId="11521"/>
    <cellStyle name="链接单元格 2 4 5 2" xfId="11522"/>
    <cellStyle name="计算 2 5 2 2 4 2 2" xfId="11523"/>
    <cellStyle name="常规 3 5 2 2 2 2 2" xfId="11524"/>
    <cellStyle name="标题 5 2 2 4 2 2" xfId="11525"/>
    <cellStyle name="标题 5 5 2 2" xfId="11526"/>
    <cellStyle name="Normal 3 3 2" xfId="11527"/>
    <cellStyle name="解释性文本 2 3 7" xfId="11528"/>
    <cellStyle name="标题 2 2 4 4 3" xfId="11529"/>
    <cellStyle name="常规 10 2 2 2 3 2" xfId="11530"/>
    <cellStyle name="强调文字颜色 5 2 2 5 3 3" xfId="11531"/>
    <cellStyle name="计算 2 5 6 2 2" xfId="11532"/>
    <cellStyle name="60% - 强调文字颜色 5 2 7 2 2" xfId="11533"/>
    <cellStyle name="计算 2 2 7 4 2 3" xfId="11534"/>
    <cellStyle name="汇总 2 5 3 4 2 2" xfId="11535"/>
    <cellStyle name="标题 3 3 2 2 3" xfId="11536"/>
    <cellStyle name="40% - 强调文字颜色 2 2 6 2 2" xfId="11537"/>
    <cellStyle name="注释 2 7 4 3" xfId="11538"/>
    <cellStyle name="好 2 2 4 3 2 2" xfId="11539"/>
    <cellStyle name="标题 5 2 2 4 2 2 3" xfId="11540"/>
    <cellStyle name="超链接 2 3 2 2 2 2" xfId="11541"/>
    <cellStyle name="计算 2 2 5 4 4 2" xfId="11542"/>
    <cellStyle name="强调文字颜色 4 2 2 2 2 6" xfId="11543"/>
    <cellStyle name="40% - 强调文字颜色 2 2 3 2 4" xfId="11544"/>
    <cellStyle name="注释 2 4 4 5" xfId="11545"/>
    <cellStyle name="标题 5 2 2 2 3 3 2" xfId="11546"/>
    <cellStyle name="标题 5 3 3 3 2" xfId="11547"/>
    <cellStyle name="常规 5 2 5 5 2 2" xfId="11548"/>
    <cellStyle name="输入 2 2 6 4 2 3" xfId="11549"/>
    <cellStyle name="链接单元格 2 2 6 3 2" xfId="11550"/>
    <cellStyle name="汇总 2 2 3 2 7" xfId="11551"/>
    <cellStyle name="常规 9 2 2 3 3" xfId="11552"/>
    <cellStyle name="60% - 强调文字颜色 4 2 2 3 4 2 2" xfId="11553"/>
    <cellStyle name="汇总 2 2 8 3 8" xfId="11554"/>
    <cellStyle name="差 2 2 2 4 2 3" xfId="11555"/>
    <cellStyle name="计算 2 7 7" xfId="11556"/>
    <cellStyle name="解释性文本 2 2 4 3 2 2 2" xfId="11557"/>
    <cellStyle name="60% - 强调文字颜色 5 2 4 3" xfId="11558"/>
    <cellStyle name="标题 5 9" xfId="11559"/>
    <cellStyle name="链接单元格 2 3 2 2 4" xfId="11560"/>
    <cellStyle name="标题 5 2 2 8" xfId="11561"/>
    <cellStyle name="汇总 2 3 3 2 3" xfId="11562"/>
    <cellStyle name="差 2 2 5 3 2" xfId="11563"/>
    <cellStyle name="汇总 2 2 4 3 3" xfId="11564"/>
    <cellStyle name="差 2 3 4 2 2" xfId="11565"/>
    <cellStyle name="计算 4 2 3 3 3" xfId="11566"/>
    <cellStyle name="输入 2 2 6 2" xfId="11567"/>
    <cellStyle name="汇总 2 2 8 2 2 3" xfId="11568"/>
    <cellStyle name="40% - 强调文字颜色 2 3 2" xfId="11569"/>
    <cellStyle name="链接单元格 2 3 2 8" xfId="11570"/>
    <cellStyle name="输入 2 6 2 2 4 2" xfId="11571"/>
    <cellStyle name="注释 2 2 4 4 2" xfId="11572"/>
    <cellStyle name="汇总 2 2 3 3 3 5" xfId="11573"/>
    <cellStyle name="计算 2 5 10 2" xfId="11574"/>
    <cellStyle name="60% - 强调文字颜色 3 2 2 2 3 2 2 2 2" xfId="11575"/>
    <cellStyle name="注释 2 2 2 2 2 2 2 3" xfId="11576"/>
    <cellStyle name="计算 2 5 2 4 2 7" xfId="11577"/>
    <cellStyle name="注释 2 4 5 3 2" xfId="11578"/>
    <cellStyle name="40% - 强调文字颜色 2 2 3 3 2 2" xfId="11579"/>
    <cellStyle name="40% - 强调文字颜色 1 2 3 4 2 2 2" xfId="11580"/>
    <cellStyle name="适中 2 2 3 4" xfId="11581"/>
    <cellStyle name="输出 4 2 2 4" xfId="11582"/>
    <cellStyle name="标题 5 2 3 4 2 2 2" xfId="11583"/>
    <cellStyle name="检查单元格 2 3 2 4 2 3" xfId="11584"/>
    <cellStyle name="20% - 强调文字颜色 4 2 3 2 2 4 2 2" xfId="11585"/>
    <cellStyle name="40% - 强调文字颜色 3 2 5 2 3 2" xfId="11586"/>
    <cellStyle name="汇总 3 4 4" xfId="11587"/>
    <cellStyle name="常规 6 3 5 2 2 2" xfId="11588"/>
    <cellStyle name="标题 5 2 3 4 3 2" xfId="11589"/>
    <cellStyle name="20% - 强调文字颜色 4 2 3 2 2 5 2" xfId="11590"/>
    <cellStyle name="常规 3 2 2 4 2" xfId="11591"/>
    <cellStyle name="计算 2 2 2 4 4" xfId="11592"/>
    <cellStyle name="适中 2 2 2 2 2 2 2 2" xfId="11593"/>
    <cellStyle name="好 2 3 5 2 3" xfId="11594"/>
    <cellStyle name="注释 2 2 7 4 2 2" xfId="11595"/>
    <cellStyle name="输出 2 4 3 4 2" xfId="11596"/>
    <cellStyle name="适中 2 2 2 2 2 2 2" xfId="11597"/>
    <cellStyle name="汇总 2 2 10 2 5" xfId="11598"/>
    <cellStyle name="20% - 强调文字颜色 5 2 2 2 2 3 2 2" xfId="11599"/>
    <cellStyle name="汇总 2 15 3" xfId="11600"/>
    <cellStyle name="计算 2 2 2 3 4 3" xfId="11601"/>
    <cellStyle name="计算 2 2 5 4 6" xfId="11602"/>
    <cellStyle name="输出 2 2 5 2 2 3 2 2" xfId="11603"/>
    <cellStyle name="60% - 强调文字颜色 3 4 3" xfId="11604"/>
    <cellStyle name="汇总 2 5 4 2 3 2" xfId="11605"/>
    <cellStyle name="输出 2 2 4 4 5" xfId="11606"/>
    <cellStyle name="注释 2 4 5 2 3" xfId="11607"/>
    <cellStyle name="适中 2 2 2 5" xfId="11608"/>
    <cellStyle name="输入 2 5 2 2 2 6" xfId="11609"/>
    <cellStyle name="标题 5 2 4 4 3" xfId="11610"/>
    <cellStyle name="40% - 强调文字颜色 5 2 2 2 4 3 2" xfId="11611"/>
    <cellStyle name="超链接 3 2 3 3 2 2 2" xfId="11612"/>
    <cellStyle name="标题 1 3 2 2 3" xfId="11613"/>
    <cellStyle name="20% - 强调文字颜色 1 6 2 2 2" xfId="11614"/>
    <cellStyle name="超链接 2 2 5" xfId="11615"/>
    <cellStyle name="计算 2 2 4 2 4 2 4 2" xfId="11616"/>
    <cellStyle name="警告文本 2 2 3 5 2" xfId="11617"/>
    <cellStyle name="汇总 2 3 3 4 2 2" xfId="11618"/>
    <cellStyle name="常规 13 2 2 3" xfId="11619"/>
    <cellStyle name="计算 2 2 3 3 5 2 2" xfId="11620"/>
    <cellStyle name="注释 2 4 2 3 4 3" xfId="11621"/>
    <cellStyle name="计算 2 2 2 2 2 5 2" xfId="11622"/>
    <cellStyle name="计算 2 2 4 2 8 2" xfId="11623"/>
    <cellStyle name="链接单元格 2 2 3 2 2 2 3" xfId="11624"/>
    <cellStyle name="注释 2 2 7 10" xfId="11625"/>
    <cellStyle name="60% - 强调文字颜色 1 2 2 3 3 2" xfId="11626"/>
    <cellStyle name="注释 2 2 3 2 4 2 2 2" xfId="11627"/>
    <cellStyle name="适中 2 2" xfId="11628"/>
    <cellStyle name="20% - 强调文字颜色 6 2 8 2 2" xfId="11629"/>
    <cellStyle name="常规 11 2 2 2 3 2" xfId="11630"/>
    <cellStyle name="计算 2 2 2 7 2" xfId="11631"/>
    <cellStyle name="常规 12 3 3 2 2" xfId="11632"/>
    <cellStyle name="60% - 强调文字颜色 2 3 3" xfId="11633"/>
    <cellStyle name="40% - 强调文字颜色 2 2 3 3 2 2 2" xfId="11634"/>
    <cellStyle name="常规 6 2 3 4 3" xfId="11635"/>
    <cellStyle name="标题 5 2 5 3 2 2" xfId="11636"/>
    <cellStyle name="60% - 强调文字颜色 6 2 2 3 2" xfId="11637"/>
    <cellStyle name="超链接 2 2 4 3 2 2" xfId="11638"/>
    <cellStyle name="常规 5 4 2 3 3 2" xfId="11639"/>
    <cellStyle name="强调文字颜色 2 2 2 2 2 3 3" xfId="11640"/>
    <cellStyle name="40% - 强调文字颜色 3 2 6 3 2 2" xfId="11641"/>
    <cellStyle name="标题 1 2 5 2 3" xfId="11642"/>
    <cellStyle name="汇总 2 5 4 6 3" xfId="11643"/>
    <cellStyle name="常规 6 3 2 4 3" xfId="11644"/>
    <cellStyle name="标题 5 2 6 2 2 2" xfId="11645"/>
    <cellStyle name="20% - 强调文字颜色 1 2 2 3 5 2" xfId="11646"/>
    <cellStyle name="计算 2 7 4 3 2 2" xfId="11647"/>
    <cellStyle name="40% - 强调文字颜色 3 2 2 2 4 3 2 2" xfId="11648"/>
    <cellStyle name="检查单元格 2 2 2 4 2" xfId="11649"/>
    <cellStyle name="输出 2 2 3 3 3 2" xfId="11650"/>
    <cellStyle name="汇总 2 2 4 4 6 3" xfId="11651"/>
    <cellStyle name="输入 2 8 5 2" xfId="11652"/>
    <cellStyle name="强调文字颜色 1 2 2 3 3 2" xfId="11653"/>
    <cellStyle name="强调文字颜色 6 2 5 4" xfId="11654"/>
    <cellStyle name="输入 2 4 4 2" xfId="11655"/>
    <cellStyle name="40% - 强调文字颜色 3 2 3 4 2 2 2" xfId="11656"/>
    <cellStyle name="计算 2 2 4 2 5 2" xfId="11657"/>
    <cellStyle name="计算 2 2 2 2 2 2 2" xfId="11658"/>
    <cellStyle name="60% - 强调文字颜色 3 3 3 4 2" xfId="11659"/>
    <cellStyle name="计算 2 2 3 14" xfId="11660"/>
    <cellStyle name="输出 2 2 3 4 6" xfId="11661"/>
    <cellStyle name="标题 3 2 3 5 2 2 2" xfId="11662"/>
    <cellStyle name="强调文字颜色 2 2 3 4 2 2" xfId="11663"/>
    <cellStyle name="标题 5 2 6 3 3" xfId="11664"/>
    <cellStyle name="40% - 强调文字颜色 5 2 2 2 6 2 2" xfId="11665"/>
    <cellStyle name="标题 5 2 7 3" xfId="11666"/>
    <cellStyle name="40% - 强调文字颜色 2 2 3 7 2" xfId="11667"/>
    <cellStyle name="常规 7 2 2 2 4 3 2" xfId="11668"/>
    <cellStyle name="计算 2 2 2 3 3" xfId="11669"/>
    <cellStyle name="标题 3 2 2 6 3 2 2" xfId="11670"/>
    <cellStyle name="计算 2 2 2 4 2" xfId="11671"/>
    <cellStyle name="标题 5 2 8 2" xfId="11672"/>
    <cellStyle name="计算 2 6 4 2 3 2" xfId="11673"/>
    <cellStyle name="警告文本 2 4 4 3" xfId="11674"/>
    <cellStyle name="计算 2 2 4 2 6 3 2" xfId="11675"/>
    <cellStyle name="60% - 强调文字颜色 2 2 3 3 2" xfId="11676"/>
    <cellStyle name="60% - 强调文字颜色 3 2 5 2" xfId="11677"/>
    <cellStyle name="汇总 3 4 4 2" xfId="11678"/>
    <cellStyle name="强调文字颜色 1 4 4" xfId="11679"/>
    <cellStyle name="标题 5 3 2 4 2 2 2" xfId="11680"/>
    <cellStyle name="计算 2 2 4 4 4 3" xfId="11681"/>
    <cellStyle name="60% - 强调文字颜色 2 3 2 4" xfId="11682"/>
    <cellStyle name="标题 5 3 4 2 3" xfId="11683"/>
    <cellStyle name="常规 13 2 2" xfId="11684"/>
    <cellStyle name="40% - 强调文字颜色 4 2 8 2 2" xfId="11685"/>
    <cellStyle name="常规 13 8" xfId="11686"/>
    <cellStyle name="超链接 2 2 2 2 3 2 2" xfId="11687"/>
    <cellStyle name="常规 10 2 2 5 2" xfId="11688"/>
    <cellStyle name="强调文字颜色 2 2 5 2 3" xfId="11689"/>
    <cellStyle name="20% - 强调文字颜色 4 3 3" xfId="11690"/>
    <cellStyle name="标题 7 3 2 2 2" xfId="11691"/>
    <cellStyle name="输入 2 2 14 3" xfId="11692"/>
    <cellStyle name="标题 5 2 4 2 2 2 2" xfId="11693"/>
    <cellStyle name="输入 2 2 4 8 2" xfId="11694"/>
    <cellStyle name="标题 4 3 4" xfId="11695"/>
    <cellStyle name="40% - 强调文字颜色 4 2 4 3 2 2 2" xfId="11696"/>
    <cellStyle name="百分比 2 2 2 6" xfId="11697"/>
    <cellStyle name="标题 4 2 2 2 2" xfId="11698"/>
    <cellStyle name="检查单元格 4 2 3 2" xfId="11699"/>
    <cellStyle name="计算 2 7 3 2 3 2" xfId="11700"/>
    <cellStyle name="标题 5 4 5 2" xfId="11701"/>
    <cellStyle name="超链接 3 3 2 2 2 2" xfId="11702"/>
    <cellStyle name="强调文字颜色 6 2 5 3 3" xfId="11703"/>
    <cellStyle name="标题 5 4 5 2 2" xfId="11704"/>
    <cellStyle name="计算 2 2 4 2 2" xfId="11705"/>
    <cellStyle name="输入 2 4 2 2 5 3" xfId="11706"/>
    <cellStyle name="强调文字颜色 3 2 3 2 3 3 2" xfId="11707"/>
    <cellStyle name="标题 5 6 4" xfId="11708"/>
    <cellStyle name="标题 6 2 2 2 2" xfId="11709"/>
    <cellStyle name="计算 2 2 7 5 3" xfId="11710"/>
    <cellStyle name="汇总 2 7 3 6 2" xfId="11711"/>
    <cellStyle name="标题 6 2 2 3 2 3" xfId="11712"/>
    <cellStyle name="40% - 强调文字颜色 1 2 5 3 2 2 2" xfId="11713"/>
    <cellStyle name="40% - 强调文字颜色 2 4 2 3 2 2" xfId="11714"/>
    <cellStyle name="强调文字颜色 4 2 4 2 2 2" xfId="11715"/>
    <cellStyle name="标题 2 2 3 3 2 2 3" xfId="11716"/>
    <cellStyle name="解释性文本 2 3 2 2 2 2 2 2" xfId="11717"/>
    <cellStyle name="标题 6 2 2 4 2" xfId="11718"/>
    <cellStyle name="20% - 强调文字颜色 5 2 3 2 2 3 2 2 2" xfId="11719"/>
    <cellStyle name="标题 6 2 3 2" xfId="11720"/>
    <cellStyle name="40% - 强调文字颜色 6 2 5 2 3 2" xfId="11721"/>
    <cellStyle name="标题 6 2 4 2 3" xfId="11722"/>
    <cellStyle name="汇总 2 8 2 2 4 2" xfId="11723"/>
    <cellStyle name="注释 2 2 5 3 2 4" xfId="11724"/>
    <cellStyle name="强调文字颜色 5 5" xfId="11725"/>
    <cellStyle name="输出 2 2 2 4 4" xfId="11726"/>
    <cellStyle name="强调文字颜色 2 2 3 8" xfId="11727"/>
    <cellStyle name="注释 2 4 2 6 2" xfId="11728"/>
    <cellStyle name="汇总 2 5 2 3 2 3 2 2" xfId="11729"/>
    <cellStyle name="计算 2 5 4 4" xfId="11730"/>
    <cellStyle name="注释 2 2 2 2 2 6" xfId="11731"/>
    <cellStyle name="输出 2 5 2 2 2 3 2" xfId="11732"/>
    <cellStyle name="标题 7 2 2" xfId="11733"/>
    <cellStyle name="60% - 强调文字颜色 5 2 2 9" xfId="11734"/>
    <cellStyle name="40% - 强调文字颜色 4 2 5 2 3 2" xfId="11735"/>
    <cellStyle name="常规 10 2 3 2" xfId="11736"/>
    <cellStyle name="汇总 2 5 8" xfId="11737"/>
    <cellStyle name="注释 2 2 4 3 6" xfId="11738"/>
    <cellStyle name="60% - 强调文字颜色 5 2 3 4 3 2 2" xfId="11739"/>
    <cellStyle name="常规 10 4 3" xfId="11740"/>
    <cellStyle name="40% - 强调文字颜色 2 3 2 4" xfId="11741"/>
    <cellStyle name="计算 2 7 9 3" xfId="11742"/>
    <cellStyle name="输出 2 4 2 7 2 2" xfId="11743"/>
    <cellStyle name="标题 4 2 2 2 2 2 5" xfId="11744"/>
    <cellStyle name="解释性文本 3" xfId="11745"/>
    <cellStyle name="计算 3 6" xfId="11746"/>
    <cellStyle name="常规 12 4 4" xfId="11747"/>
    <cellStyle name="20% - 强调文字颜色 1 2 7 2 2" xfId="11748"/>
    <cellStyle name="计算 2 2 3 3 5 3" xfId="11749"/>
    <cellStyle name="计算 2 2 4 2 8" xfId="11750"/>
    <cellStyle name="计算 2 2 2 2 2 5" xfId="11751"/>
    <cellStyle name="强调文字颜色 6 2 2 2 3 7" xfId="11752"/>
    <cellStyle name="标题 7 2 3 3" xfId="11753"/>
    <cellStyle name="60% - 强调文字颜色 1 3 2 3" xfId="11754"/>
    <cellStyle name="常规 10 2 2 2 3 2 2" xfId="11755"/>
    <cellStyle name="20% - 强调文字颜色 2 2 5 3 3" xfId="11756"/>
    <cellStyle name="标题 2 2 4 4 3 2" xfId="11757"/>
    <cellStyle name="检查单元格 2 2 2 4 2 3" xfId="11758"/>
    <cellStyle name="标题 5 2 2 4 2 2 2" xfId="11759"/>
    <cellStyle name="标题 5 5 2 2 2" xfId="11760"/>
    <cellStyle name="链接单元格 2 4 5 2 2" xfId="11761"/>
    <cellStyle name="计算 3 2 2 2 4 2 2" xfId="11762"/>
    <cellStyle name="强调文字颜色 2 2 4 6" xfId="11763"/>
    <cellStyle name="输入 3 8 2 2" xfId="11764"/>
    <cellStyle name="标题 2 2 2 2 3 2" xfId="11765"/>
    <cellStyle name="超链接 2 4 4 2 2" xfId="11766"/>
    <cellStyle name="标题 3 3 6 2" xfId="11767"/>
    <cellStyle name="汇总 2 5 2 4 2 6" xfId="11768"/>
    <cellStyle name="计算 2 2 7 8 2" xfId="11769"/>
    <cellStyle name="计算 2 2 6 4 2 7" xfId="11770"/>
    <cellStyle name="好 2 2 3 2 2" xfId="11771"/>
    <cellStyle name="计算 3 2 2 7" xfId="11772"/>
    <cellStyle name="常规 13 3 3 2" xfId="11773"/>
    <cellStyle name="输出 2 2 12 3" xfId="11774"/>
    <cellStyle name="标题 1 2 2 2 2 6" xfId="11775"/>
    <cellStyle name="常规 18 3" xfId="11776"/>
    <cellStyle name="20% - 强调文字颜色 6 2 2 2 3 4" xfId="11777"/>
    <cellStyle name="适中 2 2 5 3" xfId="11778"/>
    <cellStyle name="计算 2 8 3 3" xfId="11779"/>
    <cellStyle name="输出 4 2 4 3" xfId="11780"/>
    <cellStyle name="输出 3 3 2 4" xfId="11781"/>
    <cellStyle name="40% - 强调文字颜色 2 2 2 4 2 2" xfId="11782"/>
    <cellStyle name="40% - 强调文字颜色 1 2 3 3 3 2 2" xfId="11783"/>
    <cellStyle name="输入 2 2 4 2 4 6" xfId="11784"/>
    <cellStyle name="标题 8" xfId="11785"/>
    <cellStyle name="常规 16 2 2" xfId="11786"/>
    <cellStyle name="标题 3 2 2 2 5" xfId="11787"/>
    <cellStyle name="输出 2 2 10 2 2" xfId="11788"/>
    <cellStyle name="汇总 2 5 2 4 2 4" xfId="11789"/>
    <cellStyle name="计算 2 2 6 4 2 5" xfId="11790"/>
    <cellStyle name="输出 2 4 4 2 3" xfId="11791"/>
    <cellStyle name="常规 2 3 2 2 3" xfId="11792"/>
    <cellStyle name="标题 9 2" xfId="11793"/>
    <cellStyle name="常规 2 3 2 4" xfId="11794"/>
    <cellStyle name="常规 6 2 2 2 2 2 2" xfId="11795"/>
    <cellStyle name="差 2 2" xfId="11796"/>
    <cellStyle name="汇总 2 2 4 2 4 2 3 2 2" xfId="11797"/>
    <cellStyle name="好 2 2 3 2 3" xfId="11798"/>
    <cellStyle name="注释 2 2 6 2 2 2" xfId="11799"/>
    <cellStyle name="百分比 2 2 2 3 2 2 2" xfId="11800"/>
    <cellStyle name="注释 2 3 2 5 2 2" xfId="11801"/>
    <cellStyle name="20% - 强调文字颜色 6 2 2 2 3 5" xfId="11802"/>
    <cellStyle name="20% - 强调文字颜色 6 2 2 3 2" xfId="11803"/>
    <cellStyle name="20% - 强调文字颜色 5 5 2" xfId="11804"/>
    <cellStyle name="好 3 9" xfId="11805"/>
    <cellStyle name="计算 4 2 3 3 2" xfId="11806"/>
    <cellStyle name="注释 2 2 3 6 3" xfId="11807"/>
    <cellStyle name="强调文字颜色 3 2 2 2 2 3 4" xfId="11808"/>
    <cellStyle name="40% - 强调文字颜色 3 2 3 5 2" xfId="11809"/>
    <cellStyle name="计算 2 2 7 3 2" xfId="11810"/>
    <cellStyle name="汇总 2 4 3 2 4 2 2" xfId="11811"/>
    <cellStyle name="注释 2 4 2 2 3 2" xfId="11812"/>
    <cellStyle name="汇总 2 2 4 4 2 5" xfId="11813"/>
    <cellStyle name="标题 1 2 2 7 2" xfId="11814"/>
    <cellStyle name="输出 2 17" xfId="11815"/>
    <cellStyle name="好 2 4 3 2 2 2" xfId="11816"/>
    <cellStyle name="注释 2 4 3 2 2 3 2" xfId="11817"/>
    <cellStyle name="百分比 2 4 3" xfId="11818"/>
    <cellStyle name="输入 2 2 8 6 2 2" xfId="11819"/>
    <cellStyle name="常规 6 2 2 2 2 2 2 2" xfId="11820"/>
    <cellStyle name="差 2 2 2" xfId="11821"/>
    <cellStyle name="20% - 强调文字颜色 1 4 2 3 2 2 2" xfId="11822"/>
    <cellStyle name="计算 2 2 2 9 2" xfId="11823"/>
    <cellStyle name="常规 12 3 3 4 2" xfId="11824"/>
    <cellStyle name="注释 2 2 3 2 2 9" xfId="11825"/>
    <cellStyle name="汇总 2 2 3 4 2 3" xfId="11826"/>
    <cellStyle name="计算 2 2 19" xfId="11827"/>
    <cellStyle name="标题 2 2 3 2 4 4" xfId="11828"/>
    <cellStyle name="计算 2 2 6 5 2 2 2" xfId="11829"/>
    <cellStyle name="计算 2 7" xfId="11830"/>
    <cellStyle name="输出 2 2 3 2 4 2 2 2" xfId="11831"/>
    <cellStyle name="标题 4 2 2 2 2 5 2" xfId="11832"/>
    <cellStyle name="计算 2 2 4 2 3 2 8" xfId="11833"/>
    <cellStyle name="注释 2 2 2 3 2 2 2 2" xfId="11834"/>
    <cellStyle name="40% - 强调文字颜色 2 2 4 5" xfId="11835"/>
    <cellStyle name="计算 4 3" xfId="11836"/>
    <cellStyle name="40% - 强调文字颜色 6 2 2 4 5 2" xfId="11837"/>
    <cellStyle name="计算 2 2 8 2 3" xfId="11838"/>
    <cellStyle name="输入 2 2 2 3 4" xfId="11839"/>
    <cellStyle name="40% - 强调文字颜色 2 5 2" xfId="11840"/>
    <cellStyle name="强调文字颜色 6 2 2 6 3 2" xfId="11841"/>
    <cellStyle name="汇总 2 7 4 3 2" xfId="11842"/>
    <cellStyle name="60% - 强调文字颜色 4 2 4 5 2 2" xfId="11843"/>
    <cellStyle name="计算 2 2 2 2 2 2 2 2 3" xfId="11844"/>
    <cellStyle name="输出 2 11 3" xfId="11845"/>
    <cellStyle name="20% - 强调文字颜色 3 2 3 2 5" xfId="11846"/>
    <cellStyle name="标题 5 2 3 10" xfId="11847"/>
    <cellStyle name="20% - 强调文字颜色 1 4 3 2" xfId="11848"/>
    <cellStyle name="标题 2 2 3 2 2 2 2 2 2" xfId="11849"/>
    <cellStyle name="标题 1 4 2 2 2 2" xfId="11850"/>
    <cellStyle name="强调文字颜色 2 2 2 3 3 2" xfId="11851"/>
    <cellStyle name="输出 2 4 6 2" xfId="11852"/>
    <cellStyle name="标题 5 3 2 2 2 2" xfId="11853"/>
    <cellStyle name="强调文字颜色 3 2 2 2 4 3 3" xfId="11854"/>
    <cellStyle name="40% - 强调文字颜色 1 2 2 3 3 2 2 2" xfId="11855"/>
    <cellStyle name="汇总 2 2 6 2" xfId="11856"/>
    <cellStyle name="标题 5 2 2 2 3 3" xfId="11857"/>
    <cellStyle name="20% - 强调文字颜色 6 2 7 2 2 2" xfId="11858"/>
    <cellStyle name="Normal 4 2 2 2" xfId="11859"/>
    <cellStyle name="20% - 强调文字颜色 6 2 4 4" xfId="11860"/>
    <cellStyle name="40% - 强调文字颜色 5 3 7" xfId="11861"/>
    <cellStyle name="常规 4 2 2 2" xfId="11862"/>
    <cellStyle name="20% - 强调文字颜色 4 2 2 2 2 4 2" xfId="11863"/>
    <cellStyle name="超链接 2 7 2 2" xfId="11864"/>
    <cellStyle name="常规 12 4 2 4" xfId="11865"/>
    <cellStyle name="汇总 4 3" xfId="11866"/>
    <cellStyle name="60% - 强调文字颜色 1 2 2 2 2 4" xfId="11867"/>
    <cellStyle name="20% - 强调文字颜色 5 4 4 2 2 2" xfId="11868"/>
    <cellStyle name="差 4 2 3 2 3" xfId="11869"/>
    <cellStyle name="40% - 强调文字颜色 4 2 4 2 2 2 2 2" xfId="11870"/>
    <cellStyle name="汇总 2 5 5 2 4" xfId="11871"/>
    <cellStyle name="计算 2 2 8 3" xfId="11872"/>
    <cellStyle name="输出 2 3 2 2 2 2 2 2" xfId="11873"/>
    <cellStyle name="计算 2 9 2 3 2 2" xfId="11874"/>
    <cellStyle name="适中 2 3 4 3 2 2" xfId="11875"/>
    <cellStyle name="标题 1 3 5 2 2" xfId="11876"/>
    <cellStyle name="输出 2 2 2 2 2 2 6" xfId="11877"/>
    <cellStyle name="40% - 强调文字颜色 3 2 2 2 6 2" xfId="11878"/>
    <cellStyle name="输入 2 4 3 4 3" xfId="11879"/>
    <cellStyle name="输出 2 4 2 4 2 2 2" xfId="11880"/>
    <cellStyle name="计算 2 3 2 3 2 2" xfId="11881"/>
    <cellStyle name="汇总 2 3 3 6" xfId="11882"/>
    <cellStyle name="20% - 强调文字颜色 5 3 5 2 2 2" xfId="11883"/>
    <cellStyle name="注释 2 3 6 3" xfId="11884"/>
    <cellStyle name="输入 2 6 3 4 3" xfId="11885"/>
    <cellStyle name="40% - 强调文字颜色 2 2 2 4 2" xfId="11886"/>
    <cellStyle name="60% - 强调文字颜色 6 4 3 2 2 2" xfId="11887"/>
    <cellStyle name="常规 5 3 2 2 3 2 2" xfId="11888"/>
    <cellStyle name="汇总 2 4 3 9" xfId="11889"/>
    <cellStyle name="汇总 2 6 7 2 2" xfId="11890"/>
    <cellStyle name="汇总 2 2 3 2 2 3 3" xfId="11891"/>
    <cellStyle name="输入 2 3 3 8" xfId="11892"/>
    <cellStyle name="标题 4 2 4 4 4" xfId="11893"/>
    <cellStyle name="常规 4 3 4 4 2 2" xfId="11894"/>
    <cellStyle name="强调文字颜色 4 2 2 2 2 3 3 3" xfId="11895"/>
    <cellStyle name="超链接 2 2 2" xfId="11896"/>
    <cellStyle name="汇总 2 2 6 4 2 6" xfId="11897"/>
    <cellStyle name="注释 2 2 4 2 2" xfId="11898"/>
    <cellStyle name="输入 2 6 2 2 2 2" xfId="11899"/>
    <cellStyle name="输出 2 2 3 2 3 2 5" xfId="11900"/>
    <cellStyle name="差 2 2 2 3 2 2 2 2" xfId="11901"/>
    <cellStyle name="60% - 强调文字颜色 1 2 4 3" xfId="11902"/>
    <cellStyle name="60% - 强调文字颜色 4 2 3 3 4" xfId="11903"/>
    <cellStyle name="40% - 强调文字颜色 6 2 9 2" xfId="11904"/>
    <cellStyle name="40% - 强调文字颜色 6 2 2 4 3 2 2" xfId="11905"/>
    <cellStyle name="注释 2 3 7 3" xfId="11906"/>
    <cellStyle name="输入 2 6 3 5 3" xfId="11907"/>
    <cellStyle name="40% - 强调文字颜色 2 2 2 5 2" xfId="11908"/>
    <cellStyle name="强调文字颜色 4 2 2 5 4" xfId="11909"/>
    <cellStyle name="标题 4 4 2 2 2 2" xfId="11910"/>
    <cellStyle name="警告文本 2 2 2 4 2 3" xfId="11911"/>
    <cellStyle name="强调文字颜色 5 2 2 3 3 2" xfId="11912"/>
    <cellStyle name="常规 5 3 2 2 2 2 2" xfId="11913"/>
    <cellStyle name="差 2 2 2 4" xfId="11914"/>
    <cellStyle name="警告文本 2 4 5 2" xfId="11915"/>
    <cellStyle name="好 2 2 4 2 3 2" xfId="11916"/>
    <cellStyle name="常规 13 4 3 3 2" xfId="11917"/>
    <cellStyle name="40% - 强调文字颜色 3 3 2 3 2 2 2" xfId="11918"/>
    <cellStyle name="输出 2 3 2 4 2 2" xfId="11919"/>
    <cellStyle name="汇总 2 10 5" xfId="11920"/>
    <cellStyle name="注释 2 2 6 3 2 2 2" xfId="11921"/>
    <cellStyle name="40% - 强调文字颜色 6 2 2 2 2 2 5 2" xfId="11922"/>
    <cellStyle name="超链接 3 2 3 4 3" xfId="11923"/>
    <cellStyle name="差 2 2 2 4 2 2" xfId="11924"/>
    <cellStyle name="汇总 2 2 8 3 7" xfId="11925"/>
    <cellStyle name="20% - 强调文字颜色 3 2 2 2 4" xfId="11926"/>
    <cellStyle name="警告文本 2 3 2 3 2" xfId="11927"/>
    <cellStyle name="差 2 2 2 4 3" xfId="11928"/>
    <cellStyle name="差 2 2 2 4 4" xfId="11929"/>
    <cellStyle name="20% - 强调文字颜色 3 2 2 2 5" xfId="11930"/>
    <cellStyle name="警告文本 2 3 2 3 3" xfId="11931"/>
    <cellStyle name="60% - 强调文字颜色 4 2 4 4 2 2" xfId="11932"/>
    <cellStyle name="检查单元格 2 3 2 2 2 2 3" xfId="11933"/>
    <cellStyle name="计算 3 2 2 6" xfId="11934"/>
    <cellStyle name="输入 2 4 2 2 9" xfId="11935"/>
    <cellStyle name="强调文字颜色 1 2 2 3 4 3" xfId="11936"/>
    <cellStyle name="输入 2 8 6 3" xfId="11937"/>
    <cellStyle name="60% - 强调文字颜色 3 2 4 3" xfId="11938"/>
    <cellStyle name="计算 2 5 3 2 5 2" xfId="11939"/>
    <cellStyle name="60% - 强调文字颜色 2 2 3 2 3" xfId="11940"/>
    <cellStyle name="输出 2 2 3 2 5 5" xfId="11941"/>
    <cellStyle name="计算 2 2 6 3 2 2 2 2" xfId="11942"/>
    <cellStyle name="注释 2 5 5" xfId="11943"/>
    <cellStyle name="输入 2 6 5 3" xfId="11944"/>
    <cellStyle name="计算 2 2 5 3 3 2 2" xfId="11945"/>
    <cellStyle name="强调文字颜色 6 2 2 3 4 2 2 2" xfId="11946"/>
    <cellStyle name="检查单元格 2 7 2 3" xfId="11947"/>
    <cellStyle name="60% - 强调文字颜色 6 2 3 7 2" xfId="11948"/>
    <cellStyle name="60% - 强调文字颜色 5 3 6" xfId="11949"/>
    <cellStyle name="汇总 2 2 4 3 2 6" xfId="11950"/>
    <cellStyle name="常规 4 3 2 3 2 2" xfId="11951"/>
    <cellStyle name="标题 4 5 2 2 2 2" xfId="11952"/>
    <cellStyle name="20% - 强调文字颜色 3 2 2 3 4 3" xfId="11953"/>
    <cellStyle name="警告文本 2 3 2 4 2 3" xfId="11954"/>
    <cellStyle name="输出 2 4 2 3 2 6" xfId="11955"/>
    <cellStyle name="注释 2 2 4 2 2 2 3 2" xfId="11956"/>
    <cellStyle name="强调文字颜色 3 3 3 4" xfId="11957"/>
    <cellStyle name="差 2 2 2 6" xfId="11958"/>
    <cellStyle name="解释性文本 2 6 3" xfId="11959"/>
    <cellStyle name="40% - 强调文字颜色 3 2 2 2 2 3" xfId="11960"/>
    <cellStyle name="20% - 强调文字颜色 5 3 3 2 2 2" xfId="11961"/>
    <cellStyle name="注释 2 9 2 5" xfId="11962"/>
    <cellStyle name="输出 2 5 2 2 4 2" xfId="11963"/>
    <cellStyle name="计算 2 2 9 3 4" xfId="11964"/>
    <cellStyle name="输入 2 2 3 4 5" xfId="11965"/>
    <cellStyle name="输出 2 4 2 2 2 2 4" xfId="11966"/>
    <cellStyle name="差 2 2 2 7" xfId="11967"/>
    <cellStyle name="20% - 强调文字颜色 5 3 3 3 2 2" xfId="11968"/>
    <cellStyle name="常规 2 2 2 7 2" xfId="11969"/>
    <cellStyle name="适中 2 4 3 4 2" xfId="11970"/>
    <cellStyle name="标题 2 2 6 2" xfId="11971"/>
    <cellStyle name="计算 2 10 3 2 2 2" xfId="11972"/>
    <cellStyle name="常规 9 4 3 3" xfId="11973"/>
    <cellStyle name="汇总 3 2 2 6 2" xfId="11974"/>
    <cellStyle name="标题 1 3 2 5" xfId="11975"/>
    <cellStyle name="60% - 强调文字颜色 4 2 2 4 5 2" xfId="11976"/>
    <cellStyle name="汇总 2 3 2 3 3 3" xfId="11977"/>
    <cellStyle name="强调文字颜色 2 2 2 2 4 3 2" xfId="11978"/>
    <cellStyle name="输出 2 4 4 2 2" xfId="11979"/>
    <cellStyle name="常规 2 3 2 2 2" xfId="11980"/>
    <cellStyle name="差 2 2 2 8" xfId="11981"/>
    <cellStyle name="常规 2 2 2 7 3" xfId="11982"/>
    <cellStyle name="常规 10 3 2 3 2 2" xfId="11983"/>
    <cellStyle name="标题 3 2 5 3 3" xfId="11984"/>
    <cellStyle name="汇总 2 7 2 2 3" xfId="11985"/>
    <cellStyle name="强调文字颜色 6 2 2 4 2 3" xfId="11986"/>
    <cellStyle name="计算 2 2 3 3 3 3 2 2" xfId="11987"/>
    <cellStyle name="强调文字颜色 2 2 2 4 3 3" xfId="11988"/>
    <cellStyle name="标题 1 4 2 3 2 3" xfId="11989"/>
    <cellStyle name="20% - 强调文字颜色 3 4 4 2 2" xfId="11990"/>
    <cellStyle name="60% - 强调文字颜色 4 2 3 3 3 2" xfId="11991"/>
    <cellStyle name="60% - 强调文字颜色 1 2 4 2 2" xfId="11992"/>
    <cellStyle name="汇总 4 2" xfId="11993"/>
    <cellStyle name="常规 12 4 2 3" xfId="11994"/>
    <cellStyle name="计算 2 2 3 2 7 2 2" xfId="11995"/>
    <cellStyle name="标题 1 3 2 3 3" xfId="11996"/>
    <cellStyle name="标题 3 2 2 4 2 4" xfId="11997"/>
    <cellStyle name="汇总 2 2 8 2 6" xfId="11998"/>
    <cellStyle name="计算 2 2 4 3 3 3" xfId="11999"/>
    <cellStyle name="强调文字颜色 6 2 2 2 4 2 3" xfId="12000"/>
    <cellStyle name="汇总 2 2 7 7 2" xfId="12001"/>
    <cellStyle name="20% - 强调文字颜色 6 2 2 3 7" xfId="12002"/>
    <cellStyle name="常规 3 3 2 2 4 3 2" xfId="12003"/>
    <cellStyle name="40% - 强调文字颜色 2 2 3 4 2 2 2" xfId="12004"/>
    <cellStyle name="常规 10 2 2 2 3 5" xfId="12005"/>
    <cellStyle name="60% - 强调文字颜色 2 4 4" xfId="12006"/>
    <cellStyle name="警告文本 2 4 6 2 2" xfId="12007"/>
    <cellStyle name="差 2 2 3 4 2" xfId="12008"/>
    <cellStyle name="20% - 强调文字颜色 6 4 2 3 2 2" xfId="12009"/>
    <cellStyle name="汇总 2 2 2 4 3" xfId="12010"/>
    <cellStyle name="40% - 强调文字颜色 4 4 2 4 2" xfId="12011"/>
    <cellStyle name="汇总 3 3 3 4" xfId="12012"/>
    <cellStyle name="输出 2 2 17" xfId="12013"/>
    <cellStyle name="标题 1 2 5 2 2 3" xfId="12014"/>
    <cellStyle name="注释 2 6 2 5" xfId="12015"/>
    <cellStyle name="检查单元格 2 3 2 4 3" xfId="12016"/>
    <cellStyle name="常规 28" xfId="12017"/>
    <cellStyle name="40% - 强调文字颜色 5 2 2 4 5" xfId="12018"/>
    <cellStyle name="汇总 2 4 9 2 2" xfId="12019"/>
    <cellStyle name="60% - 强调文字颜色 3 2 4 4 2 2 2" xfId="12020"/>
    <cellStyle name="汇总 2 2 2 4 4 2" xfId="12021"/>
    <cellStyle name="标题 2 2 2 2 6 3" xfId="12022"/>
    <cellStyle name="60% - 强调文字颜色 4 2 3 6 2 2 2" xfId="12023"/>
    <cellStyle name="计算 2 2 4 2 2 2 5" xfId="12024"/>
    <cellStyle name="差 2 2 3 5 2" xfId="12025"/>
    <cellStyle name="20% - 强调文字颜色 6 4 3 2 2 2" xfId="12026"/>
    <cellStyle name="20% - 强调文字颜色 3 2 5" xfId="12027"/>
    <cellStyle name="汇总 2 6 2 2 3 2 3" xfId="12028"/>
    <cellStyle name="40% - 强调文字颜色 4 2 6 3" xfId="12029"/>
    <cellStyle name="常规 11 3" xfId="12030"/>
    <cellStyle name="20% - 强调文字颜色 3 2 2 3 5 2 2" xfId="12031"/>
    <cellStyle name="输入 2 7 7 3" xfId="12032"/>
    <cellStyle name="标题 3 4 2 3" xfId="12033"/>
    <cellStyle name="强调文字颜色 1 2 2 2 5 3" xfId="12034"/>
    <cellStyle name="计算 2 6" xfId="12035"/>
    <cellStyle name="60% - 强调文字颜色 5 2 2 10" xfId="12036"/>
    <cellStyle name="汇总 2 2 2 6 3" xfId="12037"/>
    <cellStyle name="差 2 2 3 6 2" xfId="12038"/>
    <cellStyle name="常规 9 2 3 2 4" xfId="12039"/>
    <cellStyle name="计算 2 5 2 6 3" xfId="12040"/>
    <cellStyle name="汇总 2 8 3 2 6" xfId="12041"/>
    <cellStyle name="20% - 强调文字颜色 1 4 2 3" xfId="12042"/>
    <cellStyle name="差 2 2 3 2 2 2" xfId="12043"/>
    <cellStyle name="汇总 2 2 2 2 3 2" xfId="12044"/>
    <cellStyle name="强调文字颜色 2 2 2 3 2 3" xfId="12045"/>
    <cellStyle name="输出 2 4 5 3" xfId="12046"/>
    <cellStyle name="常规 2 3 3 3" xfId="12047"/>
    <cellStyle name="输入 2 5 2 3 4 2 2" xfId="12048"/>
    <cellStyle name="输入 2 3 4 7" xfId="12049"/>
    <cellStyle name="常规 5 2 2 4 2 3 3" xfId="12050"/>
    <cellStyle name="计算 2 6 6 3" xfId="12051"/>
    <cellStyle name="好 2 3 3 2 2" xfId="12052"/>
    <cellStyle name="汇总 4 3 4 2 2" xfId="12053"/>
    <cellStyle name="标题 5 3 6 2 3" xfId="12054"/>
    <cellStyle name="常规 15 2 2" xfId="12055"/>
    <cellStyle name="40% - 强调文字颜色 6 2 2 3 2 2 2 2" xfId="12056"/>
    <cellStyle name="差 2 3 2 6 2" xfId="12057"/>
    <cellStyle name="常规 9 3 2 2 4" xfId="12058"/>
    <cellStyle name="常规 8 2 3" xfId="12059"/>
    <cellStyle name="20% - 强调文字颜色 2 2 2 4 3 2 2 2" xfId="12060"/>
    <cellStyle name="40% - 强调文字颜色 1 2 8 2" xfId="12061"/>
    <cellStyle name="超链接 3 6 4" xfId="12062"/>
    <cellStyle name="计算 3 2 3" xfId="12063"/>
    <cellStyle name="警告文本 3 3 2 2" xfId="12064"/>
    <cellStyle name="输入 2 3 2 2 2 3 3" xfId="12065"/>
    <cellStyle name="20% - 强调文字颜色 1 2 4 3 2 2 2" xfId="12066"/>
    <cellStyle name="计算 2 2 8 2 3 2" xfId="12067"/>
    <cellStyle name="40% - 强调文字颜色 2 5 2 2" xfId="12068"/>
    <cellStyle name="汇总 2 7 4 3 2 2" xfId="12069"/>
    <cellStyle name="标题 4 2 2 2 4 2 3" xfId="12070"/>
    <cellStyle name="输入 2 2 2 3 4 2" xfId="12071"/>
    <cellStyle name="强调文字颜色 6 2 2 6 3 2 2" xfId="12072"/>
    <cellStyle name="标题 5 3 5 3" xfId="12073"/>
    <cellStyle name="40% - 强调文字颜色 2 2 4 5 2" xfId="12074"/>
    <cellStyle name="链接单元格 2 2 2 2 2 2 2" xfId="12075"/>
    <cellStyle name="汇总 2 5 2 2 11" xfId="12076"/>
    <cellStyle name="标题 4 2 2 6 2 2" xfId="12077"/>
    <cellStyle name="标题 2 2 2 2 2 4 3 2" xfId="12078"/>
    <cellStyle name="20% - 强调文字颜色 4 2 2 2 2 2 3" xfId="12079"/>
    <cellStyle name="常规 5 3 4 3 2" xfId="12080"/>
    <cellStyle name="60% - 强调文字颜色 5 4 2 2" xfId="12081"/>
    <cellStyle name="40% - 强调文字颜色 5 2 2 2 2 2 2 2 2 2" xfId="12082"/>
    <cellStyle name="注释 2 7 7 2" xfId="12083"/>
    <cellStyle name="标题 3 3 2 5 2" xfId="12084"/>
    <cellStyle name="汇总 2 2 4 2 2 6 3" xfId="12085"/>
    <cellStyle name="20% - 强调文字颜色 3 3 2 2 2 2 2 2" xfId="12086"/>
    <cellStyle name="强调文字颜色 3 2 3 2 6" xfId="12087"/>
    <cellStyle name="20% - 强调文字颜色 1 2 2 3 2 2 2 2" xfId="12088"/>
    <cellStyle name="常规 4 2 7" xfId="12089"/>
    <cellStyle name="注释 2 2 2 2 2 4" xfId="12090"/>
    <cellStyle name="60% - 强调文字颜色 5 2 2 2 2 3 2 2 2" xfId="12091"/>
    <cellStyle name="计算 2 2 4 2 5 3 2 2" xfId="12092"/>
    <cellStyle name="警告文本 2 3 4 3 2" xfId="12093"/>
    <cellStyle name="计算 2 2 2 2 2 2 3 2 2" xfId="12094"/>
    <cellStyle name="常规 9 3 2 3 3" xfId="12095"/>
    <cellStyle name="汇总 2 3 3 2 7" xfId="12096"/>
    <cellStyle name="汇总 2 2 2 2 3 3 3" xfId="12097"/>
    <cellStyle name="40% - 强调文字颜色 2 2 5 4 2 2" xfId="12098"/>
    <cellStyle name="解释性文本 4 2 3" xfId="12099"/>
    <cellStyle name="标题 5 4 4 3 2" xfId="12100"/>
    <cellStyle name="强调文字颜色 6 2 4 4 3" xfId="12101"/>
    <cellStyle name="汇总 2 9 2 3" xfId="12102"/>
    <cellStyle name="检查单元格 2 2 2 3 2 3" xfId="12103"/>
    <cellStyle name="标题 2 2 2 3 5" xfId="12104"/>
    <cellStyle name="60% - 强调文字颜色 3 2 2 2 2 4" xfId="12105"/>
    <cellStyle name="汇总 2 3 2 3 4" xfId="12106"/>
    <cellStyle name="差 2 2 4 4 3" xfId="12107"/>
    <cellStyle name="汇总 2 2 3 4 4" xfId="12108"/>
    <cellStyle name="20% - 强调文字颜色 5 2 2 2 7 2" xfId="12109"/>
    <cellStyle name="输入 2 2 4 2 2 2 3" xfId="12110"/>
    <cellStyle name="输入 2 8 3 4" xfId="12111"/>
    <cellStyle name="常规 4 2 5 2 2" xfId="12112"/>
    <cellStyle name="链接单元格 2 3 3 2 2 2" xfId="12113"/>
    <cellStyle name="标题 5 3 2 6 2" xfId="12114"/>
    <cellStyle name="计算 2 2 4 2 3 2 5" xfId="12115"/>
    <cellStyle name="差 2 2 4 5 2" xfId="12116"/>
    <cellStyle name="汇总 2 3 2 4 3" xfId="12117"/>
    <cellStyle name="汇总 2 2 3 5 3" xfId="12118"/>
    <cellStyle name="说明文本 4 3" xfId="12119"/>
    <cellStyle name="输入 2 2 3 5 3" xfId="12120"/>
    <cellStyle name="输出 2 4 2 2 2 3 2" xfId="12121"/>
    <cellStyle name="计算 2 2 9 4 2" xfId="12122"/>
    <cellStyle name="强调文字颜色 1 2 2 3 5 2" xfId="12123"/>
    <cellStyle name="输入 2 8 7 2" xfId="12124"/>
    <cellStyle name="标题 3 5 2 2" xfId="12125"/>
    <cellStyle name="计算 2 2 3 2 2 5 2" xfId="12126"/>
    <cellStyle name="60% - 强调文字颜色 2 2 4 7" xfId="12127"/>
    <cellStyle name="计算 2 2 3 2 2 2 4 2 2" xfId="12128"/>
    <cellStyle name="40% - 强调文字颜色 6 2 2 2 4 3 2" xfId="12129"/>
    <cellStyle name="好 3 2 3" xfId="12130"/>
    <cellStyle name="汇总 2 7 2 2 3 2" xfId="12131"/>
    <cellStyle name="强调文字颜色 6 2 2 4 2 3 2" xfId="12132"/>
    <cellStyle name="标题 6 3 3" xfId="12133"/>
    <cellStyle name="标题 5 2 3 2 3" xfId="12134"/>
    <cellStyle name="强调文字颜色 6 2 2 4 5 2 2" xfId="12135"/>
    <cellStyle name="汇总 2 7 2 5 2 2" xfId="12136"/>
    <cellStyle name="计算 2 2 6 4 3 2" xfId="12137"/>
    <cellStyle name="差 3 2 4" xfId="12138"/>
    <cellStyle name="计算 2 2 5 3 2 4 2 2" xfId="12139"/>
    <cellStyle name="标题 3 2 2 3 2" xfId="12140"/>
    <cellStyle name="计算 2 6 3 4 3" xfId="12141"/>
    <cellStyle name="计算 2 7 2 2 9" xfId="12142"/>
    <cellStyle name="60% - 强调文字颜色 5 2 3 2 5" xfId="12143"/>
    <cellStyle name="40% - 强调文字颜色 3 2 2 2 3" xfId="12144"/>
    <cellStyle name="检查单元格 2 5 3 2" xfId="12145"/>
    <cellStyle name="汇总 2 5 2 2 3 2 2" xfId="12146"/>
    <cellStyle name="60% - 强调文字颜色 2 2 4 8" xfId="12147"/>
    <cellStyle name="计算 2 2 3 2 2 5 3" xfId="12148"/>
    <cellStyle name="20% - 强调文字颜色 2 5 2 2" xfId="12149"/>
    <cellStyle name="输出 3 2 2 2 3 2" xfId="12150"/>
    <cellStyle name="20% - 强调文字颜色 3 2 2 2 2 5 2" xfId="12151"/>
    <cellStyle name="注释 2 2 3 2 3 3 2 2" xfId="12152"/>
    <cellStyle name="计算 2 2" xfId="12153"/>
    <cellStyle name="强调文字颜色 1 2 2 3 5 3" xfId="12154"/>
    <cellStyle name="输入 2 8 7 3" xfId="12155"/>
    <cellStyle name="标题 3 5 2 3" xfId="12156"/>
    <cellStyle name="汇总 2 3 2 4 4" xfId="12157"/>
    <cellStyle name="差 2 2 4 5 3" xfId="12158"/>
    <cellStyle name="计算 2 2 4 2 3 2 6" xfId="12159"/>
    <cellStyle name="汇总 2 5 2 3 3 3 3" xfId="12160"/>
    <cellStyle name="注释 2 5 2 7" xfId="12161"/>
    <cellStyle name="标题 4 2 3 2 4 2 2" xfId="12162"/>
    <cellStyle name="汇总 2 5 2 4 8" xfId="12163"/>
    <cellStyle name="输出 2 2 3 2 3 2 2" xfId="12164"/>
    <cellStyle name="汇总 2 5 11 3" xfId="12165"/>
    <cellStyle name="标题 1 2 2 7" xfId="12166"/>
    <cellStyle name="常规 9 3 3 5" xfId="12167"/>
    <cellStyle name="好 2 4 3 2 2" xfId="12168"/>
    <cellStyle name="计算 2 7 3 6 2" xfId="12169"/>
    <cellStyle name="注释 2 13 2" xfId="12170"/>
    <cellStyle name="标题 4 2 2 2 6 3" xfId="12171"/>
    <cellStyle name="汇总 2 5 2 5 7" xfId="12172"/>
    <cellStyle name="输出 3 2 2 3 2 2" xfId="12173"/>
    <cellStyle name="40% - 强调文字颜色 3 2 2 2 2 4 3 2" xfId="12174"/>
    <cellStyle name="输入 2 8 7 2 2" xfId="12175"/>
    <cellStyle name="标题 3 5 2 2 2" xfId="12176"/>
    <cellStyle name="强调文字颜色 1 2 2 3 5 2 2" xfId="12177"/>
    <cellStyle name="计算 2 2 4 4 2 3" xfId="12178"/>
    <cellStyle name="汇总 2 2 4 4 2 4 2" xfId="12179"/>
    <cellStyle name="常规 2 2 2 2 2 3 3 2 2" xfId="12180"/>
    <cellStyle name="计算 2 9 3 4" xfId="12181"/>
    <cellStyle name="标题 1 4 6" xfId="12182"/>
    <cellStyle name="注释 2 6 4 2 4" xfId="12183"/>
    <cellStyle name="解释性文本 2 2 2 2 5 3" xfId="12184"/>
    <cellStyle name="计算 2 2 5 2 2 2 2 3" xfId="12185"/>
    <cellStyle name="超链接 2 2 5 2" xfId="12186"/>
    <cellStyle name="60% - 强调文字颜色 2 3 10" xfId="12187"/>
    <cellStyle name="超链接 2 3 3" xfId="12188"/>
    <cellStyle name="20% - 强调文字颜色 4 2 3" xfId="12189"/>
    <cellStyle name="强调文字颜色 6 2 4 7" xfId="12190"/>
    <cellStyle name="40% - 强调文字颜色 1 2 2 4 5 2 2" xfId="12191"/>
    <cellStyle name="汇总 2 9 5" xfId="12192"/>
    <cellStyle name="计算 2 9 4 3" xfId="12193"/>
    <cellStyle name="差 2 2 9 2" xfId="12194"/>
    <cellStyle name="常规 10 2 3 2 3 2" xfId="12195"/>
    <cellStyle name="差 2 3" xfId="12196"/>
    <cellStyle name="计算 2 2 4 5 2 3 2 2" xfId="12197"/>
    <cellStyle name="计算 2 2 5 6 2" xfId="12198"/>
    <cellStyle name="强调文字颜色 4 2 4 4 2 2 2" xfId="12199"/>
    <cellStyle name="汇总 2 2 9 2 4" xfId="12200"/>
    <cellStyle name="计算 3 2 11" xfId="12201"/>
    <cellStyle name="输入 2 2 3 6 2 2" xfId="12202"/>
    <cellStyle name="汇总 2 2 4 2 2 3 3 2" xfId="12203"/>
    <cellStyle name="强调文字颜色 2 2 2 2 2 6" xfId="12204"/>
    <cellStyle name="计算 2 2 4 9 2 2" xfId="12205"/>
    <cellStyle name="60% - 强调文字颜色 3 2 2 4 3 2" xfId="12206"/>
    <cellStyle name="60% - 强调文字颜色 5 2 2 2 7" xfId="12207"/>
    <cellStyle name="计算 2 6 2 4 5" xfId="12208"/>
    <cellStyle name="常规 5 2 2 6 2 2" xfId="12209"/>
    <cellStyle name="60% - 强调文字颜色 4 2 5 2 2" xfId="12210"/>
    <cellStyle name="好 4 4" xfId="12211"/>
    <cellStyle name="20% - 强调文字颜色 5 2 2 2 2 2 4" xfId="12212"/>
    <cellStyle name="40% - 强调文字颜色 1 2 8 2 2" xfId="12213"/>
    <cellStyle name="标题 2 3 4 2 3" xfId="12214"/>
    <cellStyle name="20% - 强调文字颜色 2 2 2 2 2 2" xfId="12215"/>
    <cellStyle name="强调文字颜色 1 2 3 5 2 2 2" xfId="12216"/>
    <cellStyle name="40% - 强调文字颜色 6 4 5" xfId="12217"/>
    <cellStyle name="输入 2 2 6 2 7" xfId="12218"/>
    <cellStyle name="计算 2 2 4 4 2 4 2 2" xfId="12219"/>
    <cellStyle name="汇总 2 2 8 4" xfId="12220"/>
    <cellStyle name="强调文字颜色 6 2 3 5 2 2 2" xfId="12221"/>
    <cellStyle name="汇总 2 8 3 2 2 2" xfId="12222"/>
    <cellStyle name="标题 6 4 2 2" xfId="12223"/>
    <cellStyle name="标题 5 2 3 3 2 2" xfId="12224"/>
    <cellStyle name="链接单元格 2 3 3 2 3" xfId="12225"/>
    <cellStyle name="标题 5 3 2 7" xfId="12226"/>
    <cellStyle name="常规 2 5 2 2 2 2" xfId="12227"/>
    <cellStyle name="常规 3 3 7 3 2" xfId="12228"/>
    <cellStyle name="输出 2 6 4 2 2 2" xfId="12229"/>
    <cellStyle name="Millares 2" xfId="12230"/>
    <cellStyle name="常规 2 2 2 2" xfId="12231"/>
    <cellStyle name="差 2 3 2 3 2 2 3" xfId="12232"/>
    <cellStyle name="汇总 2 5 2 2 2 4 3" xfId="12233"/>
    <cellStyle name="40% - 强调文字颜色 5 2 5 3 3 2" xfId="12234"/>
    <cellStyle name="注释 2 2 9 6" xfId="12235"/>
    <cellStyle name="注释 2 2 3 2 3 2 2 2 2" xfId="12236"/>
    <cellStyle name="适中 2 2 2 2 4 4" xfId="12237"/>
    <cellStyle name="汇总 4 9" xfId="12238"/>
    <cellStyle name="输入 2 2 5 4 4 3" xfId="12239"/>
    <cellStyle name="常规 6 2 3 3 2" xfId="12240"/>
    <cellStyle name="常规 12" xfId="12241"/>
    <cellStyle name="40% - 强调文字颜色 4 2 7" xfId="12242"/>
    <cellStyle name="差 2 3 2 4 2" xfId="12243"/>
    <cellStyle name="计算 2 4 4 5" xfId="12244"/>
    <cellStyle name="常规 12 2" xfId="12245"/>
    <cellStyle name="40% - 强调文字颜色 4 2 7 2" xfId="12246"/>
    <cellStyle name="适中 2 2 2 2 3 3 2 2" xfId="12247"/>
    <cellStyle name="输入 2 5 2" xfId="12248"/>
    <cellStyle name="常规 12 3" xfId="12249"/>
    <cellStyle name="40% - 强调文字颜色 4 2 7 3" xfId="12250"/>
    <cellStyle name="标题 4 2 2 5 3 2 2" xfId="12251"/>
    <cellStyle name="常规 13 2" xfId="12252"/>
    <cellStyle name="40% - 强调文字颜色 4 2 8 2" xfId="12253"/>
    <cellStyle name="常规 5 2 2 2 2 3" xfId="12254"/>
    <cellStyle name="好 2 4 4 3 2" xfId="12255"/>
    <cellStyle name="强调文字颜色 4 2 4" xfId="12256"/>
    <cellStyle name="输出 2 6 7" xfId="12257"/>
    <cellStyle name="常规 9 5 3 2 3" xfId="12258"/>
    <cellStyle name="强调文字颜色 2 2 2 5 4" xfId="12259"/>
    <cellStyle name="标题 1 2 2 4 5 3" xfId="12260"/>
    <cellStyle name="计算 2 7 6 2 2" xfId="12261"/>
    <cellStyle name="计算 2 5 4 6 2 2" xfId="12262"/>
    <cellStyle name="强调文字颜色 1 2 3 3 6" xfId="12263"/>
    <cellStyle name="标题 4 5 3" xfId="12264"/>
    <cellStyle name="汇总 2 4 2 2 3 5" xfId="12265"/>
    <cellStyle name="常规 7 2 4 2 2 2" xfId="12266"/>
    <cellStyle name="常规 5 2 2 2 2 6" xfId="12267"/>
    <cellStyle name="60% - 强调文字颜色 3 2 2 2 4 3 2" xfId="12268"/>
    <cellStyle name="计算 2 7 2 2" xfId="12269"/>
    <cellStyle name="计算 2 5 2 3 3 5" xfId="12270"/>
    <cellStyle name="计算 2 2 5 2 2 8" xfId="12271"/>
    <cellStyle name="常规 2 4 4 3" xfId="12272"/>
    <cellStyle name="输入 2 6 2 10" xfId="12273"/>
    <cellStyle name="汇总 2 5 6 4 2" xfId="12274"/>
    <cellStyle name="注释 4 2 2 2 3" xfId="12275"/>
    <cellStyle name="强调文字颜色 1 2 4 4 2 3" xfId="12276"/>
    <cellStyle name="常规 2 2_light steel" xfId="12277"/>
    <cellStyle name="汇总 2 2 6 4 2 3" xfId="12278"/>
    <cellStyle name="强调文字颜色 4 2 2 3" xfId="12279"/>
    <cellStyle name="强调文字颜色 4 2 3 5 2" xfId="12280"/>
    <cellStyle name="输入 2 2 5 2 2 2 3 2" xfId="12281"/>
    <cellStyle name="适中 2 4 5 2" xfId="12282"/>
    <cellStyle name="标题 2 4 4" xfId="12283"/>
    <cellStyle name="注释 4 4 2" xfId="12284"/>
    <cellStyle name="强调文字颜色 1 2 6 4" xfId="12285"/>
    <cellStyle name="汇总 2 2 6 4 4 2" xfId="12286"/>
    <cellStyle name="常规 3 3 5" xfId="12287"/>
    <cellStyle name="40% - 强调文字颜色 5 3 2 2 3" xfId="12288"/>
    <cellStyle name="常规 9 5 2 2 2" xfId="12289"/>
    <cellStyle name="标题 3 2 3 3 3 3" xfId="12290"/>
    <cellStyle name="注释 2 5 2 10" xfId="12291"/>
    <cellStyle name="40% - 强调文字颜色 2 2 2 7 2 2" xfId="12292"/>
    <cellStyle name="超链接 3 3 3 5" xfId="12293"/>
    <cellStyle name="标题 4 2 2 2 2 4 2" xfId="12294"/>
    <cellStyle name="差 2 3 2 5 2 2" xfId="12295"/>
    <cellStyle name="60% - 强调文字颜色 4 2 5 3 2" xfId="12296"/>
    <cellStyle name="汇总 2 6 3 3 2 3" xfId="12297"/>
    <cellStyle name="差 2 2 4 3 2 2" xfId="12298"/>
    <cellStyle name="汇总 2 3 2 2 3 2" xfId="12299"/>
    <cellStyle name="差 2 3 3 2 2 2" xfId="12300"/>
    <cellStyle name="差 2 3 3 5" xfId="12301"/>
    <cellStyle name="20% - 强调文字颜色 6 4 4 2 2" xfId="12302"/>
    <cellStyle name="差 2 3 4" xfId="12303"/>
    <cellStyle name="计算 2 2 6 3 4 2" xfId="12304"/>
    <cellStyle name="20% - 强调文字颜色 4 2 3 2 2 2 2 2 2" xfId="12305"/>
    <cellStyle name="汇总 3 4 3 2" xfId="12306"/>
    <cellStyle name="常规 6 2 3 3 3" xfId="12307"/>
    <cellStyle name="差 2 2 2 2 2 5" xfId="12308"/>
    <cellStyle name="60% - 强调文字颜色 3 2 2 9 2" xfId="12309"/>
    <cellStyle name="计算 2 2 5 2 7 2" xfId="12310"/>
    <cellStyle name="计算 2 2 2 3 2 4 2" xfId="12311"/>
    <cellStyle name="输出 2 2 2 4 2 3 2" xfId="12312"/>
    <cellStyle name="强调文字颜色 5 3 3 2" xfId="12313"/>
    <cellStyle name="差 2 3 5 2" xfId="12314"/>
    <cellStyle name="差 2 2 6 3 2" xfId="12315"/>
    <cellStyle name="汇总 2 3 4 2 3" xfId="12316"/>
    <cellStyle name="差 2 3 5 2 2" xfId="12317"/>
    <cellStyle name="强调文字颜色 6 2 2 2 2 2 3 2" xfId="12318"/>
    <cellStyle name="强调文字颜色 4 3 2 4" xfId="12319"/>
    <cellStyle name="强调文字颜色 4 2 4 5 3" xfId="12320"/>
    <cellStyle name="强调文字颜色 5 3 2 2 2 2" xfId="12321"/>
    <cellStyle name="20% - 强调文字颜色 3 2 2 2 3 3" xfId="12322"/>
    <cellStyle name="计算 2 2 8 7" xfId="12323"/>
    <cellStyle name="标题 3 2 11" xfId="12324"/>
    <cellStyle name="强调文字颜色 6 2 2 2 2 5" xfId="12325"/>
    <cellStyle name="40% - 强调文字颜色 5 2 2 3 3 2 2" xfId="12326"/>
    <cellStyle name="标题 5 3 3 3 3" xfId="12327"/>
    <cellStyle name="40% - 强调文字颜色 4 2 7 3 2" xfId="12328"/>
    <cellStyle name="常规 12 3 2" xfId="12329"/>
    <cellStyle name="40% - 强调文字颜色 5 2 2 2 2 2 2 2" xfId="12330"/>
    <cellStyle name="输入 2 5 2 2" xfId="12331"/>
    <cellStyle name="计算 2 2 8 5 2 2 2" xfId="12332"/>
    <cellStyle name="40% - 强调文字颜色 6 3 8" xfId="12333"/>
    <cellStyle name="计算 2 2 7 2 2 4" xfId="12334"/>
    <cellStyle name="计算 2 7 4 2 7" xfId="12335"/>
    <cellStyle name="强调文字颜色 5 2 2 2 2 5 2 2" xfId="12336"/>
    <cellStyle name="标题 5 2 2 2 3 3 3" xfId="12337"/>
    <cellStyle name="输入 2 2 6 2 2 4" xfId="12338"/>
    <cellStyle name="链接单元格 2 2 4 3 3" xfId="12339"/>
    <cellStyle name="20% - 强调文字颜色 1 2 2 2 2 2" xfId="12340"/>
    <cellStyle name="汇总 2 5 3 3 3" xfId="12341"/>
    <cellStyle name="差 2 3 5 3" xfId="12342"/>
    <cellStyle name="差 2 3 6 2" xfId="12343"/>
    <cellStyle name="强调文字颜色 3 2 2 3 4 2 2" xfId="12344"/>
    <cellStyle name="标题 4 2 3 3 4" xfId="12345"/>
    <cellStyle name="汇总 2 2 4 2 4 2 6" xfId="12346"/>
    <cellStyle name="60% - 强调文字颜色 1 2 4 2 2 2 2 2" xfId="12347"/>
    <cellStyle name="标题 4 2 2 3 4 3" xfId="12348"/>
    <cellStyle name="40% - 强调文字颜色 2 3 9" xfId="12349"/>
    <cellStyle name="60% - 强调文字颜色 5 2 2 3 3 2 2 2" xfId="12350"/>
    <cellStyle name="输出 2 7 2 6" xfId="12351"/>
    <cellStyle name="计算 2 3 2 4 3 2" xfId="12352"/>
    <cellStyle name="注释 3 2 4 2 2" xfId="12353"/>
    <cellStyle name="输入 2 7 2 2 2 2" xfId="12354"/>
    <cellStyle name="汇总 2 4 4 6" xfId="12355"/>
    <cellStyle name="汇总 2 2 4 2 4 2 7" xfId="12356"/>
    <cellStyle name="标题 4 2 3 3 5" xfId="12357"/>
    <cellStyle name="检查单元格 2 3 2 4 2 2 2" xfId="12358"/>
    <cellStyle name="输入 2 4 2 2 6 2" xfId="12359"/>
    <cellStyle name="链接单元格 2 2 2 2 8" xfId="12360"/>
    <cellStyle name="计算 2 11 2 3" xfId="12361"/>
    <cellStyle name="超链接 3 3 4 4" xfId="12362"/>
    <cellStyle name="60% - 强调文字颜色 2 3 2 4 2 2" xfId="12363"/>
    <cellStyle name="强调文字颜色 1 2 2 2 3 4" xfId="12364"/>
    <cellStyle name="输入 2 7 5 4" xfId="12365"/>
    <cellStyle name="注释 4 3 2" xfId="12366"/>
    <cellStyle name="强调文字颜色 1 2 5 4" xfId="12367"/>
    <cellStyle name="60% - 强调文字颜色 6 2 3" xfId="12368"/>
    <cellStyle name="常规 5 4 2 4" xfId="12369"/>
    <cellStyle name="常规 10 2 3 3 3" xfId="12370"/>
    <cellStyle name="检查单元格 2 2 2 2 3 3 2 2" xfId="12371"/>
    <cellStyle name="汇总 2 5 2 4 3 3" xfId="12372"/>
    <cellStyle name="计算 2 2 4 2 6 5" xfId="12373"/>
    <cellStyle name="20% - 强调文字颜色 6 4 3 2" xfId="12374"/>
    <cellStyle name="20% - 强调文字颜色 6 2 3 2 3 2" xfId="12375"/>
    <cellStyle name="20% - 强调文字颜色 3 3 8" xfId="12376"/>
    <cellStyle name="强调文字颜色 2 2 2 4 3 2 3" xfId="12377"/>
    <cellStyle name="60% - 强调文字颜色 1 2 3 3 2 2 2 2" xfId="12378"/>
    <cellStyle name="汇总 2 2 12 5" xfId="12379"/>
    <cellStyle name="注释 2 2 2 6" xfId="12380"/>
    <cellStyle name="常规 5 2 2 2 2 2" xfId="12381"/>
    <cellStyle name="差 2 3 9" xfId="12382"/>
    <cellStyle name="检查单元格 2 4 3 3 2" xfId="12383"/>
    <cellStyle name="注释 4 2 2 2 2" xfId="12384"/>
    <cellStyle name="强调文字颜色 1 2 4 4 2 2" xfId="12385"/>
    <cellStyle name="20% - 强调文字颜色 4 2 2 3 5 2 2" xfId="12386"/>
    <cellStyle name="解释性文本 2 4 2 2 2 2 2" xfId="12387"/>
    <cellStyle name="20% - 强调文字颜色 4 3 3 4 2" xfId="12388"/>
    <cellStyle name="注释 2 5 3 2 3 2" xfId="12389"/>
    <cellStyle name="40% - 强调文字颜色 2 2 5 3 2 2" xfId="12390"/>
    <cellStyle name="40% - 强调文字颜色 1 2 3 6 2 2 2" xfId="12391"/>
    <cellStyle name="汇总 2 2 2 2 2 3 3" xfId="12392"/>
    <cellStyle name="解释性文本 3 2 3" xfId="12393"/>
    <cellStyle name="注释 4 6 3" xfId="12394"/>
    <cellStyle name="常规 12 2 6" xfId="12395"/>
    <cellStyle name="汇总 2 2 3 11 2" xfId="12396"/>
    <cellStyle name="40% - 强调文字颜色 3 2 3 2 2 4 3 2" xfId="12397"/>
    <cellStyle name="差 2 4 10" xfId="12398"/>
    <cellStyle name="解释性文本 4 2 3 2" xfId="12399"/>
    <cellStyle name="强调文字颜色 3 2 3 2 2 5" xfId="12400"/>
    <cellStyle name="计算 2 2 3 4" xfId="12401"/>
    <cellStyle name="常规 5 5 2 2 5" xfId="12402"/>
    <cellStyle name="强调文字颜色 3 2 4 3 2 3" xfId="12403"/>
    <cellStyle name="计算 3 3 3 2" xfId="12404"/>
    <cellStyle name="常规 4 4 2 2 3" xfId="12405"/>
    <cellStyle name="差 2 4 2" xfId="12406"/>
    <cellStyle name="汇总 2 2 5 3 3 3 3" xfId="12407"/>
    <cellStyle name="常规 4 6" xfId="12408"/>
    <cellStyle name="强调文字颜色 4 2 3 2 4 3" xfId="12409"/>
    <cellStyle name="强调文字颜色 1 2 2 2 2 4 2" xfId="12410"/>
    <cellStyle name="输出 6" xfId="12411"/>
    <cellStyle name="20% - 强调文字颜色 6 2 2 2 3 2 2" xfId="12412"/>
    <cellStyle name="差 2 4 3" xfId="12413"/>
    <cellStyle name="常规 4 4 2 2 4" xfId="12414"/>
    <cellStyle name="强调文字颜色 3 2 2 3 2 2" xfId="12415"/>
    <cellStyle name="60% - 强调文字颜色 6 4 3 3" xfId="12416"/>
    <cellStyle name="常规 5 3 2 2 4" xfId="12417"/>
    <cellStyle name="注释 2 13" xfId="12418"/>
    <cellStyle name="计算 2 7 3 6" xfId="12419"/>
    <cellStyle name="标题 3 2 2 2 6 2 2" xfId="12420"/>
    <cellStyle name="输入 2 2 8 4 2" xfId="12421"/>
    <cellStyle name="汇总 2 2 4 2 2 10" xfId="12422"/>
    <cellStyle name="警告文本 2 2 2 2 6 3" xfId="12423"/>
    <cellStyle name="超链接 2 2 3 2 2 2 2" xfId="12424"/>
    <cellStyle name="标题 1 2 6 2 2 2" xfId="12425"/>
    <cellStyle name="汇总 2 2 5 3 2 4" xfId="12426"/>
    <cellStyle name="强调文字颜色 3 2 4 2 3" xfId="12427"/>
    <cellStyle name="计算 2 3 3 3 2 2" xfId="12428"/>
    <cellStyle name="60% - 强调文字颜色 1 2 2 6 2" xfId="12429"/>
    <cellStyle name="常规 5 4 3 2 3 3" xfId="12430"/>
    <cellStyle name="计算 2 3 2 2 2 9" xfId="12431"/>
    <cellStyle name="汇总 2 4 10 2 2" xfId="12432"/>
    <cellStyle name="40% - 强调文字颜色 2 2 8 2 2" xfId="12433"/>
    <cellStyle name="标题 3 3 4 2 3" xfId="12434"/>
    <cellStyle name="注释 2 6 12" xfId="12435"/>
    <cellStyle name="20% - 强调文字颜色 2 3 2 2 2 2" xfId="12436"/>
    <cellStyle name="Normal 5 3 2" xfId="12437"/>
    <cellStyle name="汇总 2 5 3 2 3 2" xfId="12438"/>
    <cellStyle name="差 2 3 4 3 2 2" xfId="12439"/>
    <cellStyle name="汇总 2 4 2 2 3 2" xfId="12440"/>
    <cellStyle name="差 2 4 3 2 2 2" xfId="12441"/>
    <cellStyle name="差 2 4 8" xfId="12442"/>
    <cellStyle name="常规 10 2 3 4 2" xfId="12443"/>
    <cellStyle name="常规 6 2 3" xfId="12444"/>
    <cellStyle name="Normal 6 2 2" xfId="12445"/>
    <cellStyle name="汇总 2 5 3 3 2 2" xfId="12446"/>
    <cellStyle name="60% - 强调文字颜色 5 2 6 2 2" xfId="12447"/>
    <cellStyle name="计算 2 2 7 3 2 3" xfId="12448"/>
    <cellStyle name="好 2 2 4 2 3" xfId="12449"/>
    <cellStyle name="40% - 强调文字颜色 2 2 2 2 7 2" xfId="12450"/>
    <cellStyle name="标题 2 2 3 5 2" xfId="12451"/>
    <cellStyle name="强调文字颜色 1 2 3 2 2 2 2 3" xfId="12452"/>
    <cellStyle name="强调文字颜色 6 3 2 2 4" xfId="12453"/>
    <cellStyle name="强调文字颜色 1 2 2 4 3 2 2 2" xfId="12454"/>
    <cellStyle name="检查单元格 2 2 3 4 2 2 2" xfId="12455"/>
    <cellStyle name="常规 6 2 2 2 5" xfId="12456"/>
    <cellStyle name="常规 5 2 3 3 4 2 2" xfId="12457"/>
    <cellStyle name="输入 2 2 4 2 4 3 2" xfId="12458"/>
    <cellStyle name="40% - 强调文字颜色 4 4 2 3 2" xfId="12459"/>
    <cellStyle name="汇总 3 3 2 4" xfId="12460"/>
    <cellStyle name="计算 4 4 4" xfId="12461"/>
    <cellStyle name="60% - 强调文字颜色 6 2 5 3" xfId="12462"/>
    <cellStyle name="计算 2 2 7" xfId="12463"/>
    <cellStyle name="汇总 2 4 3 3 3" xfId="12464"/>
    <cellStyle name="汇总 2 5 2 2 3" xfId="12465"/>
    <cellStyle name="差 2 4 4 3 2" xfId="12466"/>
    <cellStyle name="汇总 2 2 2 2 2 3 2 3" xfId="12467"/>
    <cellStyle name="解释性文本 3 2 2 3" xfId="12468"/>
    <cellStyle name="汇总 4 2 2" xfId="12469"/>
    <cellStyle name="常规 12 4 2 3 2" xfId="12470"/>
    <cellStyle name="60% - 强调文字颜色 1 2 2 4 2 2 2 2" xfId="12471"/>
    <cellStyle name="汇总 2 4 2 5 2 2" xfId="12472"/>
    <cellStyle name="强调文字颜色 3 2 2 4 5 3" xfId="12473"/>
    <cellStyle name="强调文字颜色 6 2 4 2 3" xfId="12474"/>
    <cellStyle name="强调文字颜色 5 2 3 2 4 3 2" xfId="12475"/>
    <cellStyle name="计算 2 6 3 3 2 2" xfId="12476"/>
    <cellStyle name="计算 2 6 2 6 2" xfId="12477"/>
    <cellStyle name="超链接 2 5 4 2" xfId="12478"/>
    <cellStyle name="标题 2 2 3 2 3" xfId="12479"/>
    <cellStyle name="差 2 5 3 2 2" xfId="12480"/>
    <cellStyle name="注释 2 5 2 2 4 3" xfId="12481"/>
    <cellStyle name="计算 2 3 4" xfId="12482"/>
    <cellStyle name="强调文字颜色 6 2 2 2 4 3 2 2" xfId="12483"/>
    <cellStyle name="计算 2 2 4 3 4 2 2" xfId="12484"/>
    <cellStyle name="汇总 2 2 8 3 5 2" xfId="12485"/>
    <cellStyle name="常规 11 2 2 3 4" xfId="12486"/>
    <cellStyle name="差 2 6 2" xfId="12487"/>
    <cellStyle name="常规 4 4 2 4 3" xfId="12488"/>
    <cellStyle name="输出 2 2 7 2 3 2 2" xfId="12489"/>
    <cellStyle name="标题 1 3 2 2 2 2 2 2" xfId="12490"/>
    <cellStyle name="常规 2 6 3 2" xfId="12491"/>
    <cellStyle name="差 2 6 2 2 2" xfId="12492"/>
    <cellStyle name="计算 2 2 4 11 2" xfId="12493"/>
    <cellStyle name="差 2 6 2 2 3" xfId="12494"/>
    <cellStyle name="检查单元格 2 2 2 6 2" xfId="12495"/>
    <cellStyle name="汇总 2 2 2 2" xfId="12496"/>
    <cellStyle name="汇总 8" xfId="12497"/>
    <cellStyle name="差 2 7" xfId="12498"/>
    <cellStyle name="40% - 强调文字颜色 4 2 3 2 2 2 2 2 2" xfId="12499"/>
    <cellStyle name="解释性文本 2 3 4 2 2 2" xfId="12500"/>
    <cellStyle name="注释 3 5 2 2" xfId="12501"/>
    <cellStyle name="标题 3 2 2 4 4 2" xfId="12502"/>
    <cellStyle name="汇总 2 4 4 2 5" xfId="12503"/>
    <cellStyle name="输出 2 2 3 8" xfId="12504"/>
    <cellStyle name="注释 2 2 5 4 6" xfId="12505"/>
    <cellStyle name="40% - 强调文字颜色 5 2 10" xfId="12506"/>
    <cellStyle name="输入 2 3 2 4 2" xfId="12507"/>
    <cellStyle name="汇总 2 5 3 3 4" xfId="12508"/>
    <cellStyle name="输入 2 2 6 2 2 5" xfId="12509"/>
    <cellStyle name="链接单元格 2 2 4 3 4" xfId="12510"/>
    <cellStyle name="20% - 强调文字颜色 1 2 2 2 2 3" xfId="12511"/>
    <cellStyle name="40% - 强调文字颜色 1 2 2 2 2 2 2" xfId="12512"/>
    <cellStyle name="输入 2 5 2 3 3 2" xfId="12513"/>
    <cellStyle name="适中 2 2 2 2 6 2 2" xfId="12514"/>
    <cellStyle name="常规 10 3 2 2 3" xfId="12515"/>
    <cellStyle name="输入 2 2 4 2 2" xfId="12516"/>
    <cellStyle name="输入 2 2 2 2 2 4" xfId="12517"/>
    <cellStyle name="计算 2 8 7 3" xfId="12518"/>
    <cellStyle name="40% - 强调文字颜色 4 2 4 5 2 2" xfId="12519"/>
    <cellStyle name="60% - 强调文字颜色 1 3 2" xfId="12520"/>
    <cellStyle name="标题 7 2 3" xfId="12521"/>
    <cellStyle name="强调文字颜色 5 2 3 4 3 2 2" xfId="12522"/>
    <cellStyle name="强调文字颜色 6 2 2" xfId="12523"/>
    <cellStyle name="强调文字颜色 2 2 4 5 2" xfId="12524"/>
    <cellStyle name="计算 2 2 2 3 3 2" xfId="12525"/>
    <cellStyle name="计算 2 2 5 3 5" xfId="12526"/>
    <cellStyle name="强调文字颜色 6 2 2 3 4 4" xfId="12527"/>
    <cellStyle name="20% - 强调文字颜色 2 3 8" xfId="12528"/>
    <cellStyle name="差 3 2 2 2 2 2 2" xfId="12529"/>
    <cellStyle name="强调文字颜色 2 2 2 4 2 2 3" xfId="12530"/>
    <cellStyle name="常规 3 3 6 3 2 2" xfId="12531"/>
    <cellStyle name="标题 5 2 2 7 2" xfId="12532"/>
    <cellStyle name="链接单元格 2 3 2 2 3 2" xfId="12533"/>
    <cellStyle name="标题 9 2 3" xfId="12534"/>
    <cellStyle name="60% - 强调文字颜色 3 3 2" xfId="12535"/>
    <cellStyle name="强调文字颜色 3 2" xfId="12536"/>
    <cellStyle name="60% - 强调文字颜色 1 2 3 6 2 2" xfId="12537"/>
    <cellStyle name="注释 2 2 5 4 2 4" xfId="12538"/>
    <cellStyle name="输出 2 2 3 4 4" xfId="12539"/>
    <cellStyle name="计算 2 2 3 12" xfId="12540"/>
    <cellStyle name="标题 5 2 2 6 2 3" xfId="12541"/>
    <cellStyle name="链接单元格 2 3 2 2 2 2 3" xfId="12542"/>
    <cellStyle name="汇总 2 2 2 4 6" xfId="12543"/>
    <cellStyle name="计算 4 5 2" xfId="12544"/>
    <cellStyle name="差 3 2 2 3" xfId="12545"/>
    <cellStyle name="输出 2 3 3 2 2 2" xfId="12546"/>
    <cellStyle name="20% - 强调文字颜色 6 2 4 5" xfId="12547"/>
    <cellStyle name="40% - 强调文字颜色 2 2 2 2 2 4 2 2 2" xfId="12548"/>
    <cellStyle name="汇总 2 2 5 2 4 2 2 2" xfId="12549"/>
    <cellStyle name="汇总 2 4 2 2 2 3 3" xfId="12550"/>
    <cellStyle name="40% - 强调文字颜色 4 2 5 3 2 2" xfId="12551"/>
    <cellStyle name="常规 10 3 2 2" xfId="12552"/>
    <cellStyle name="输出 4 2 8" xfId="12553"/>
    <cellStyle name="适中 2 2 9" xfId="12554"/>
    <cellStyle name="计算 2 8 7" xfId="12555"/>
    <cellStyle name="汇总 2 5 2 5 3 3" xfId="12556"/>
    <cellStyle name="Porcentaje 2 2" xfId="12557"/>
    <cellStyle name="计算 3 2 2 3 2 2" xfId="12558"/>
    <cellStyle name="输入 4 6 2" xfId="12559"/>
    <cellStyle name="计算 2 6 2 2 3 4" xfId="12560"/>
    <cellStyle name="计算 2 4 3 3 2 3" xfId="12561"/>
    <cellStyle name="汇总 6 3 2" xfId="12562"/>
    <cellStyle name="60% - 强调文字颜色 3 2 2 4 5" xfId="12563"/>
    <cellStyle name="60% - 强调文字颜色 1 2 7 2 2 2" xfId="12564"/>
    <cellStyle name="20% - 强调文字颜色 4 2 2 2 6 2 2 2" xfId="12565"/>
    <cellStyle name="计算 2 2 5 8" xfId="12566"/>
    <cellStyle name="常规 6 7 3" xfId="12567"/>
    <cellStyle name="20% - 强调文字颜色 5 2 2 3 2" xfId="12568"/>
    <cellStyle name="输出 2 2 5 2 3" xfId="12569"/>
    <cellStyle name="标题 2 2 2 2 3 2 2 2 2" xfId="12570"/>
    <cellStyle name="60% - 强调文字颜色 4 4 2 3 2" xfId="12571"/>
    <cellStyle name="汇总 2 2 18 2" xfId="12572"/>
    <cellStyle name="输入 2 2 5 2 3 3" xfId="12573"/>
    <cellStyle name="常规 5 2 4 3 3 2" xfId="12574"/>
    <cellStyle name="40% - 强调文字颜色 3 2 2 6 3 2 2" xfId="12575"/>
    <cellStyle name="汇总 2 6 2 4 4 2" xfId="12576"/>
    <cellStyle name="汇总 2 2 4 2 3 3 5" xfId="12577"/>
    <cellStyle name="标题 4 2 2 4 3" xfId="12578"/>
    <cellStyle name="说明文本 5" xfId="12579"/>
    <cellStyle name="汇总 2 2 3 3 2 2 2 2" xfId="12580"/>
    <cellStyle name="计算 2 10 6 2" xfId="12581"/>
    <cellStyle name="输出 2 2 5 2 2 2 3" xfId="12582"/>
    <cellStyle name="常规 2 2 3 2 2 2 2 2" xfId="12583"/>
    <cellStyle name="注释 4 3 3" xfId="12584"/>
    <cellStyle name="40% - 强调文字颜色 2 2 9 2" xfId="12585"/>
    <cellStyle name="标题 4 2 2 3 3 3 2" xfId="12586"/>
    <cellStyle name="输入 2 2 5 4 4 2" xfId="12587"/>
    <cellStyle name="40% - 强调文字颜色 5 6 2 2" xfId="12588"/>
    <cellStyle name="汇总 4 8" xfId="12589"/>
    <cellStyle name="汇总 2 2 5 2 4 3 2 2" xfId="12590"/>
    <cellStyle name="20% - 强调文字颜色 4 2 3 2 2 2 2" xfId="12591"/>
    <cellStyle name="注释 2 2 3 4 3 3" xfId="12592"/>
    <cellStyle name="输出 3 3 4" xfId="12593"/>
    <cellStyle name="汇总 2 2 6 3 6 2" xfId="12594"/>
    <cellStyle name="40% - 强调文字颜色 1 3 2 2 2 2 2" xfId="12595"/>
    <cellStyle name="计算 3 3 2 5" xfId="12596"/>
    <cellStyle name="强调文字颜色 6 2 2 2 2 3 3 2" xfId="12597"/>
    <cellStyle name="强调文字颜色 4 4 2 4" xfId="12598"/>
    <cellStyle name="汇总 2 2 2 6 3 3" xfId="12599"/>
    <cellStyle name="常规 5 2 3 2 3 4 2" xfId="12600"/>
    <cellStyle name="汇总 2 2 4 4" xfId="12601"/>
    <cellStyle name="链接单元格 2 2 2 2 3 3 2" xfId="12602"/>
    <cellStyle name="输入 2 4 3 5" xfId="12603"/>
    <cellStyle name="差 3 3 3 3" xfId="12604"/>
    <cellStyle name="输出 2 8 3 2 2" xfId="12605"/>
    <cellStyle name="汇总 3 2 3 5" xfId="12606"/>
    <cellStyle name="输入 2 2 4 2 3 4 3" xfId="12607"/>
    <cellStyle name="差 3 4 2 2 2" xfId="12608"/>
    <cellStyle name="强调文字颜色 5 2 5" xfId="12609"/>
    <cellStyle name="超链接 3 5 3 2 2 2" xfId="12610"/>
    <cellStyle name="20% - 强调文字颜色 3 2 2 2 2 2 3" xfId="12611"/>
    <cellStyle name="20% - 强调文字颜色 6 2 2 2 3 2 2 2" xfId="12612"/>
    <cellStyle name="差 2 4 3 2" xfId="12613"/>
    <cellStyle name="常规 4 4 2 2 4 2" xfId="12614"/>
    <cellStyle name="差 3 2 5" xfId="12615"/>
    <cellStyle name="输出 6 2" xfId="12616"/>
    <cellStyle name="注释 2 3 2 2 3 2" xfId="12617"/>
    <cellStyle name="20% - 强调文字颜色 2 2 3 4 2" xfId="12618"/>
    <cellStyle name="常规 10 2 4 2" xfId="12619"/>
    <cellStyle name="强调文字颜色 1 3 2 2 2 2" xfId="12620"/>
    <cellStyle name="标题 1 2 3 2 5 2 2" xfId="12621"/>
    <cellStyle name="差 3 7" xfId="12622"/>
    <cellStyle name="差 3 8" xfId="12623"/>
    <cellStyle name="差 4" xfId="12624"/>
    <cellStyle name="差 4 2 2 3" xfId="12625"/>
    <cellStyle name="差 4 3 2" xfId="12626"/>
    <cellStyle name="40% - 强调文字颜色 4 2 2 8" xfId="12627"/>
    <cellStyle name="20% - 强调文字颜色 2 4 2 2 2 2 2" xfId="12628"/>
    <cellStyle name="40% - 强调文字颜色 4 2 2 8 2" xfId="12629"/>
    <cellStyle name="差 4 3 2 2" xfId="12630"/>
    <cellStyle name="40% - 强调文字颜色 4 2 2 9" xfId="12631"/>
    <cellStyle name="差 4 3 3" xfId="12632"/>
    <cellStyle name="输出 2 4 3 2 4 2 2" xfId="12633"/>
    <cellStyle name="差 4 4 2 2" xfId="12634"/>
    <cellStyle name="汇总 2 2 7 4 2" xfId="12635"/>
    <cellStyle name="差 5 2 2 2 2" xfId="12636"/>
    <cellStyle name="注释 4 4" xfId="12637"/>
    <cellStyle name="20% - 强调文字颜色 3 2 2 3" xfId="12638"/>
    <cellStyle name="计算 2 2 4 2 3 3 2 2 2" xfId="12639"/>
    <cellStyle name="输出 2 2 4 2 2 5" xfId="12640"/>
    <cellStyle name="强调文字颜色 4 2 2 2 7" xfId="12641"/>
    <cellStyle name="计算 2 5 2 4 2 2 2" xfId="12642"/>
    <cellStyle name="链接单元格 2 6 4" xfId="12643"/>
    <cellStyle name="强调文字颜色 5 3 2 2 2" xfId="12644"/>
    <cellStyle name="输出 2 2 2 4 2 2 2 2" xfId="12645"/>
    <cellStyle name="汇总 2 4 5 3 2 2" xfId="12646"/>
    <cellStyle name="输入 2 12 2 2" xfId="12647"/>
    <cellStyle name="计算 4 2 6 2" xfId="12648"/>
    <cellStyle name="常规 6 3 2 2 3 2" xfId="12649"/>
    <cellStyle name="差 6 3" xfId="12650"/>
    <cellStyle name="输入 2 2 4 2 3 2 4" xfId="12651"/>
    <cellStyle name="常规 5 2 2 3 6" xfId="12652"/>
    <cellStyle name="计算 2 2 4 3 2 2 2 3" xfId="12653"/>
    <cellStyle name="计算 2 5 10 2 2" xfId="12654"/>
    <cellStyle name="40% - 强调文字颜色 4 2 3 2 2 4 2 2 2" xfId="12655"/>
    <cellStyle name="40% - 强调文字颜色 5 2 3 2 4 3 2" xfId="12656"/>
    <cellStyle name="40% - 强调文字颜色 4 2 5 2 2 2" xfId="12657"/>
    <cellStyle name="常规 10 2 2 2" xfId="12658"/>
    <cellStyle name="常规 6 2 4 3 2 2" xfId="12659"/>
    <cellStyle name="输入 2 6 2 2 2 6" xfId="12660"/>
    <cellStyle name="注释 2 2 4 2 6" xfId="12661"/>
    <cellStyle name="适中 2 2 2 3 4" xfId="12662"/>
    <cellStyle name="百分比 2 2 2 4 2 2" xfId="12663"/>
    <cellStyle name="60% - 强调文字颜色 2 2 3 2 4 2 2 2" xfId="12664"/>
    <cellStyle name="警告文本 2 3 3 3 2" xfId="12665"/>
    <cellStyle name="计算 2 2 4 2 5 2 2 2" xfId="12666"/>
    <cellStyle name="计算 2 2 2 2 2 2 2 2 2" xfId="12667"/>
    <cellStyle name="输出 2 11 2" xfId="12668"/>
    <cellStyle name="20% - 强调文字颜色 3 2 3 2 4" xfId="12669"/>
    <cellStyle name="超链接 3 3 3 3 2 2" xfId="12670"/>
    <cellStyle name="常规 9 3 5" xfId="12671"/>
    <cellStyle name="汇总 2 2 4 8" xfId="12672"/>
    <cellStyle name="注释 3 2 2 2 4" xfId="12673"/>
    <cellStyle name="标题 3 2 2 3 4 2 2 2" xfId="12674"/>
    <cellStyle name="常规 5 2 3 3 2 4 2" xfId="12675"/>
    <cellStyle name="输入 2 2 4 2 2 5 2" xfId="12676"/>
    <cellStyle name="20% - 强调文字颜色 6 2 2 2 6 2" xfId="12677"/>
    <cellStyle name="60% - 强调文字颜色 2 4 2 2 2" xfId="12678"/>
    <cellStyle name="常规 10 2 2 2 3 3 2 2" xfId="12679"/>
    <cellStyle name="强调文字颜色 5 2 2 5 2 2 2" xfId="12680"/>
    <cellStyle name="强调文字颜色 3 2 4 3" xfId="12681"/>
    <cellStyle name="20% - 强调文字颜色 3 2 2 2 5 2" xfId="12682"/>
    <cellStyle name="警告文本 2 3 2 3 3 2" xfId="12683"/>
    <cellStyle name="计算 2 2 10 2 4 2" xfId="12684"/>
    <cellStyle name="标题 4 2 2 3 2 2" xfId="12685"/>
    <cellStyle name="汇总 2 2 4 2 3 2 4 2" xfId="12686"/>
    <cellStyle name="计算 2 3 2 2" xfId="12687"/>
    <cellStyle name="标题 6 2 6" xfId="12688"/>
    <cellStyle name="差 2 2 2 2 4" xfId="12689"/>
    <cellStyle name="汇总 2 3 2 2 2 2 3" xfId="12690"/>
    <cellStyle name="汇总 2 2 4 3 2 2 4 2" xfId="12691"/>
    <cellStyle name="汇总 4 2 4" xfId="12692"/>
    <cellStyle name="标题 3 2 2 2 2 5 2" xfId="12693"/>
    <cellStyle name="20% - 强调文字颜色 5 2 3 2 3 3" xfId="12694"/>
    <cellStyle name="常规 7 5 2 2" xfId="12695"/>
    <cellStyle name="输出 2 4 2 2 5 3" xfId="12696"/>
    <cellStyle name="强调文字颜色 4 2 3 2 2" xfId="12697"/>
    <cellStyle name="强调文字颜色 2 2 2 5 3 2 2" xfId="12698"/>
    <cellStyle name="标题 1 2 2 2 2 3 3 3" xfId="12699"/>
    <cellStyle name="常规 5 2 2 6" xfId="12700"/>
    <cellStyle name="输出 2 6 6 2 2" xfId="12701"/>
    <cellStyle name="20% - 强调文字颜色 1 2 4 2" xfId="12702"/>
    <cellStyle name="常规 4 2 6 3 2" xfId="12703"/>
    <cellStyle name="60% - 强调文字颜色 6 2 2 2 3 7" xfId="12704"/>
    <cellStyle name="强调文字颜色 3 2 2 4 3 3" xfId="12705"/>
    <cellStyle name="常规 5 3 3 3 5" xfId="12706"/>
    <cellStyle name="标题 2 4 2 3 2 3" xfId="12707"/>
    <cellStyle name="输入 2 5 2 3 2 4" xfId="12708"/>
    <cellStyle name="输出 2 2 2 8 3" xfId="12709"/>
    <cellStyle name="强调文字颜色 2 2 4 3 4" xfId="12710"/>
    <cellStyle name="标题 1 4 4 2 3" xfId="12711"/>
    <cellStyle name="40% - 强调文字颜色 2 2 3 3 3 2" xfId="12712"/>
    <cellStyle name="60% - 强调文字颜色 3 2 2 2 2 4 2 2 2" xfId="12713"/>
    <cellStyle name="注释 2 4 5 4 2" xfId="12714"/>
    <cellStyle name="计算 2 8 2 4" xfId="12715"/>
    <cellStyle name="适中 2 2 4 4" xfId="12716"/>
    <cellStyle name="60% - 强调文字颜色 5 2 2 2 3 5" xfId="12717"/>
    <cellStyle name="汇总 2 6 2 7 2 2" xfId="12718"/>
    <cellStyle name="汇总 3 5 4" xfId="12719"/>
    <cellStyle name="标题 2 2 4 6 3" xfId="12720"/>
    <cellStyle name="常规 10 2 2 2 5 2" xfId="12721"/>
    <cellStyle name="标题 4 2 2 7 2 2" xfId="12722"/>
    <cellStyle name="链接单元格 2 2 2 2 3 2 2" xfId="12723"/>
    <cellStyle name="输入 2 4 2 5" xfId="12724"/>
    <cellStyle name="计算 5 5 2" xfId="12725"/>
    <cellStyle name="差 3 3 2 3" xfId="12726"/>
    <cellStyle name="输出 2 6 10" xfId="12727"/>
    <cellStyle name="标题 2 2 5 3 3" xfId="12728"/>
    <cellStyle name="常规 10 2 2 3 2 2" xfId="12729"/>
    <cellStyle name="输入 2 2 3 3 3" xfId="12730"/>
    <cellStyle name="计算 2 2 9 2 2" xfId="12731"/>
    <cellStyle name="计算 2 2 2 7" xfId="12732"/>
    <cellStyle name="常规 12 3 3 2" xfId="12733"/>
    <cellStyle name="常规 11 2 2 2 3" xfId="12734"/>
    <cellStyle name="计算 2 9 3 3 3" xfId="12735"/>
    <cellStyle name="常规 10 2 2 7" xfId="12736"/>
    <cellStyle name="常规 10 2 3" xfId="12737"/>
    <cellStyle name="40% - 强调文字颜色 4 2 5 2 3" xfId="12738"/>
    <cellStyle name="20% - 强调文字颜色 3 2 5 3 3" xfId="12739"/>
    <cellStyle name="常规 10 2 3 2 3 2 2" xfId="12740"/>
    <cellStyle name="常规 10 2 3 3 2 2" xfId="12741"/>
    <cellStyle name="输入 3 3 3 2 2" xfId="12742"/>
    <cellStyle name="差 2 4 2 3" xfId="12743"/>
    <cellStyle name="输出 5 3" xfId="12744"/>
    <cellStyle name="常规 4 4 2 2 3 3" xfId="12745"/>
    <cellStyle name="常规 10 2 4 2 3 2" xfId="12746"/>
    <cellStyle name="汇总 2 3 2 3 2 3" xfId="12747"/>
    <cellStyle name="60% - 强调文字颜色 4 2 2 4 4 2" xfId="12748"/>
    <cellStyle name="计算 2 7 2 2 2 2 2 2" xfId="12749"/>
    <cellStyle name="常规 10 2 4 2 3 3" xfId="12750"/>
    <cellStyle name="输入 2 6 7 2 2" xfId="12751"/>
    <cellStyle name="强调文字颜色 4 2 2 5 2 3" xfId="12752"/>
    <cellStyle name="标题 3 3 2 2 2" xfId="12753"/>
    <cellStyle name="注释 2 7 4 2" xfId="12754"/>
    <cellStyle name="计算 2 2 7 4 2 2" xfId="12755"/>
    <cellStyle name="60% - 强调文字颜色 6 2 3 3 2 2 2 2 2" xfId="12756"/>
    <cellStyle name="输入 2 4 2 7" xfId="12757"/>
    <cellStyle name="差 3 3 2 2 3" xfId="12758"/>
    <cellStyle name="输入 2 4 2 4 3" xfId="12759"/>
    <cellStyle name="20% - 强调文字颜色 1 2 2 2 3 2 2 2 2" xfId="12760"/>
    <cellStyle name="输入 2 6 4 3" xfId="12761"/>
    <cellStyle name="注释 2 4 5" xfId="12762"/>
    <cellStyle name="常规 2 2 2 2 2 3 2" xfId="12763"/>
    <cellStyle name="计算 2 6 3 2 3 2 2" xfId="12764"/>
    <cellStyle name="强调文字颜色 6 2 3 3 3 2" xfId="12765"/>
    <cellStyle name="标题 5 4 3 2 2 2" xfId="12766"/>
    <cellStyle name="计算 2 3 5 2 3" xfId="12767"/>
    <cellStyle name="20% - 强调文字颜色 2 2 6 3 2 2" xfId="12768"/>
    <cellStyle name="60% - 强调文字颜色 1 2 2 8 2" xfId="12769"/>
    <cellStyle name="输入 2 3 6 2 2" xfId="12770"/>
    <cellStyle name="强调文字颜色 4 2 3 2 3 2 3" xfId="12771"/>
    <cellStyle name="输出 2 7 2 2 5" xfId="12772"/>
    <cellStyle name="常规 10 2 6 2" xfId="12773"/>
    <cellStyle name="40% - 强调文字颜色 4 2 5 3 2" xfId="12774"/>
    <cellStyle name="常规 10 3 2" xfId="12775"/>
    <cellStyle name="超链接 2 3 3 2 2 2" xfId="12776"/>
    <cellStyle name="标题 5 2 2 5 2 2 3" xfId="12777"/>
    <cellStyle name="标题 5 6 2 2 3" xfId="12778"/>
    <cellStyle name="计算 2 5 2 2 2 3 3" xfId="12779"/>
    <cellStyle name="常规 5 2 5 5 2" xfId="12780"/>
    <cellStyle name="链接单元格 2 2 6 3" xfId="12781"/>
    <cellStyle name="60% - 强调文字颜色 6 2 2 3 3 2 2" xfId="12782"/>
    <cellStyle name="标题 5 3 3 3" xfId="12783"/>
    <cellStyle name="标题 6 2 2 2 2 3" xfId="12784"/>
    <cellStyle name="40% - 强调文字颜色 2 4 2 2 2 2" xfId="12785"/>
    <cellStyle name="好 2 2 5 2" xfId="12786"/>
    <cellStyle name="标题 4 3 3 2 2 2" xfId="12787"/>
    <cellStyle name="输出 2 2 3 3 2 6" xfId="12788"/>
    <cellStyle name="标题 1 3 3 3 3" xfId="12789"/>
    <cellStyle name="注释 2 4 3 2 6" xfId="12790"/>
    <cellStyle name="60% - 强调文字颜色 6 2 3 2 2 4" xfId="12791"/>
    <cellStyle name="汇总 2 8 3 2" xfId="12792"/>
    <cellStyle name="强调文字颜色 6 2 3 5 2" xfId="12793"/>
    <cellStyle name="40% - 强调文字颜色 6 2 3 3 4" xfId="12794"/>
    <cellStyle name="解释性文本 2 8 2 2 2" xfId="12795"/>
    <cellStyle name="常规 5 2 3 2 2 3 2 2" xfId="12796"/>
    <cellStyle name="汇总 2 6 4 2 2 3" xfId="12797"/>
    <cellStyle name="汇总 2 4 4" xfId="12798"/>
    <cellStyle name="标题 3 2 2 3 5" xfId="12799"/>
    <cellStyle name="输入 2 2 6 2 4" xfId="12800"/>
    <cellStyle name="40% - 强调文字颜色 6 4 2" xfId="12801"/>
    <cellStyle name="汇总 2 7 8 2 2" xfId="12802"/>
    <cellStyle name="60% - 强调文字颜色 2 2 2 2 2 3 3 2 2" xfId="12803"/>
    <cellStyle name="40% - 强调文字颜色 4 2 2 2 5 2" xfId="12804"/>
    <cellStyle name="标题 3 4 3 2 3" xfId="12805"/>
    <cellStyle name="强调文字颜色 4 2 3 3 4" xfId="12806"/>
    <cellStyle name="40% - 强调文字颜色 2 3 3 3 2 2" xfId="12807"/>
    <cellStyle name="40% - 强调文字颜色 1 2 4 4 2 2 2" xfId="12808"/>
    <cellStyle name="强调文字颜色 1 2 2 2 2 3 3 2" xfId="12809"/>
    <cellStyle name="40% - 强调文字颜色 6 4 2 4" xfId="12810"/>
    <cellStyle name="20% - 强调文字颜色 1 2 2 2 4 2" xfId="12811"/>
    <cellStyle name="链接单元格 2 2 4 5 3" xfId="12812"/>
    <cellStyle name="60% - 强调文字颜色 2 2 3 4 3 2" xfId="12813"/>
    <cellStyle name="汇总 2 5 3 5 3" xfId="12814"/>
    <cellStyle name="输入 2 2 4 3 4" xfId="12815"/>
    <cellStyle name="汇总 2 7 6 3 2" xfId="12816"/>
    <cellStyle name="40% - 强调文字颜色 4 5 2" xfId="12817"/>
    <cellStyle name="百分比 2 2 2 2" xfId="12818"/>
    <cellStyle name="常规 8 2 2 2 2 2" xfId="12819"/>
    <cellStyle name="输入 2 3 2 3" xfId="12820"/>
    <cellStyle name="40% - 强调文字颜色 4 2 5 3 3" xfId="12821"/>
    <cellStyle name="常规 10 3 3" xfId="12822"/>
    <cellStyle name="常规 5 2 5 3" xfId="12823"/>
    <cellStyle name="60% - 强调文字颜色 6 2 2 2 2 4 4" xfId="12824"/>
    <cellStyle name="常规 10 3 3 2" xfId="12825"/>
    <cellStyle name="汇总 2 4 2 2 2 4 3" xfId="12826"/>
    <cellStyle name="40% - 强调文字颜色 4 2 5 3 3 2" xfId="12827"/>
    <cellStyle name="输入 2 3 2 3 2" xfId="12828"/>
    <cellStyle name="常规 8 2 2 2 2 2 2" xfId="12829"/>
    <cellStyle name="输入 2 5 2 8 3" xfId="12830"/>
    <cellStyle name="常规 10 3 4 2" xfId="12831"/>
    <cellStyle name="40% - 强调文字颜色 4 2 5 4" xfId="12832"/>
    <cellStyle name="常规 10 4" xfId="12833"/>
    <cellStyle name="常规 10 4 2" xfId="12834"/>
    <cellStyle name="40% - 强调文字颜色 4 2 5 4 2" xfId="12835"/>
    <cellStyle name="汇总 2 2 3 2 2 5 2 2" xfId="12836"/>
    <cellStyle name="强调文字颜色 3 2 2 2" xfId="12837"/>
    <cellStyle name="检查单元格 2 5 2" xfId="12838"/>
    <cellStyle name="20% - 强调文字颜色 4 2 2 9" xfId="12839"/>
    <cellStyle name="输入 2 2 6 3 3" xfId="12840"/>
    <cellStyle name="60% - 强调文字颜色 4 3 2 2 3" xfId="12841"/>
    <cellStyle name="输入 2 2 4 2 2 4" xfId="12842"/>
    <cellStyle name="常规 5 2 3 3 2 3" xfId="12843"/>
    <cellStyle name="常规 10 4 3 3 2" xfId="12844"/>
    <cellStyle name="注释 2 2 3 2 3 2 4" xfId="12845"/>
    <cellStyle name="常规 5 2 4 2 2 2" xfId="12846"/>
    <cellStyle name="注释 2 8 8" xfId="12847"/>
    <cellStyle name="常规 10 5" xfId="12848"/>
    <cellStyle name="40% - 强调文字颜色 4 2 5 5" xfId="12849"/>
    <cellStyle name="输入 2 3 4" xfId="12850"/>
    <cellStyle name="标题 9 2 2" xfId="12851"/>
    <cellStyle name="40% - 强调文字颜色 4 2 5 5 2" xfId="12852"/>
    <cellStyle name="常规 10 5 2" xfId="12853"/>
    <cellStyle name="输入 2 3 4 2" xfId="12854"/>
    <cellStyle name="常规 2 2 2 2 2 4" xfId="12855"/>
    <cellStyle name="超链接 2 2 3 3 3 2" xfId="12856"/>
    <cellStyle name="常规 10 5 2 2 2" xfId="12857"/>
    <cellStyle name="超链接 3 3 2 4" xfId="12858"/>
    <cellStyle name="输入 2 7 3 4" xfId="12859"/>
    <cellStyle name="注释 3 3 6" xfId="12860"/>
    <cellStyle name="60% - 强调文字颜色 2 2 3 4 2" xfId="12861"/>
    <cellStyle name="差 2 3 5 2 2 3" xfId="12862"/>
    <cellStyle name="20% - 强调文字颜色 3 2 2 2 6 2 2 2" xfId="12863"/>
    <cellStyle name="注释 2 4 2 2 2 2 2 2" xfId="12864"/>
    <cellStyle name="注释 2 4 2 10" xfId="12865"/>
    <cellStyle name="输入 2 2 5 2 2 8" xfId="12866"/>
    <cellStyle name="注释 2 2 2 2 2 2 3 2" xfId="12867"/>
    <cellStyle name="常规 11 3 2 4" xfId="12868"/>
    <cellStyle name="40% - 强调文字颜色 3 2 5 2 2 2 2" xfId="12869"/>
    <cellStyle name="计算 2 4 2 2 5 2" xfId="12870"/>
    <cellStyle name="汇总 2 6 2 2 5 2" xfId="12871"/>
    <cellStyle name="汇总 2 10 2 2" xfId="12872"/>
    <cellStyle name="60% - 强调文字颜色 4 2 2 5" xfId="12873"/>
    <cellStyle name="计算 2 2 4 3 2 2 2 2" xfId="12874"/>
    <cellStyle name="常规 5 2 2 3 5" xfId="12875"/>
    <cellStyle name="注释 2 6 2 2" xfId="12876"/>
    <cellStyle name="常规 25" xfId="12877"/>
    <cellStyle name="汇总 2 5 5 3 2" xfId="12878"/>
    <cellStyle name="输出 2 2 14" xfId="12879"/>
    <cellStyle name="常规 10 2 4 3" xfId="12880"/>
    <cellStyle name="40% - 强调文字颜色 6 2 3 5 2 2 2" xfId="12881"/>
    <cellStyle name="汇总 2 2 8 7 2 2" xfId="12882"/>
    <cellStyle name="常规 10 5 2 3 2" xfId="12883"/>
    <cellStyle name="注释 2 2 3 3 2 2 4" xfId="12884"/>
    <cellStyle name="常规 4 9" xfId="12885"/>
    <cellStyle name="强调文字颜色 4 2 8" xfId="12886"/>
    <cellStyle name="20% - 强调文字颜色 1 3 2 4 2" xfId="12887"/>
    <cellStyle name="强调文字颜色 2 2 2 2 2 4 2" xfId="12888"/>
    <cellStyle name="输出 2 4 5 3 2 2" xfId="12889"/>
    <cellStyle name="输出 2 4 3 2 4" xfId="12890"/>
    <cellStyle name="差 2 2 3 2 2 2 2 2" xfId="12891"/>
    <cellStyle name="汇总 2 2 2 2 3 2 2 2" xfId="12892"/>
    <cellStyle name="强调文字颜色 2 2 2 4 3 3 2" xfId="12893"/>
    <cellStyle name="好 3 10" xfId="12894"/>
    <cellStyle name="链接单元格 2 4 4 3 2" xfId="12895"/>
    <cellStyle name="输入 2 2 8 2 2 3" xfId="12896"/>
    <cellStyle name="常规 10 2 2 2 2 3 2" xfId="12897"/>
    <cellStyle name="20% - 强调文字颜色 2 2 4 4 3" xfId="12898"/>
    <cellStyle name="强调文字颜色 1 2 3 5" xfId="12899"/>
    <cellStyle name="强调文字颜色 5 2 2 4 2 2" xfId="12900"/>
    <cellStyle name="60% - 强调文字颜色 2 3 2 2" xfId="12901"/>
    <cellStyle name="汇总 2 8 5 2 2 2" xfId="12902"/>
    <cellStyle name="常规 6 3 3 2 2 2" xfId="12903"/>
    <cellStyle name="标题 4 2 3" xfId="12904"/>
    <cellStyle name="20% - 强调文字颜色 6 3 3 3 2 2 2" xfId="12905"/>
    <cellStyle name="常规 10 5 2 3 2 2" xfId="12906"/>
    <cellStyle name="标题 5 2 5 3 3" xfId="12907"/>
    <cellStyle name="40% - 强调文字颜色 5 2 2 2 5 2 2" xfId="12908"/>
    <cellStyle name="常规 7 2" xfId="12909"/>
    <cellStyle name="40% - 强调文字颜色 3 2 2 2 2 3 2 2 2" xfId="12910"/>
    <cellStyle name="计算 2 2 2 2 2 2 3 2" xfId="12911"/>
    <cellStyle name="计算 2 2 4 2 5 3 2" xfId="12912"/>
    <cellStyle name="警告文本 2 3 4 3" xfId="12913"/>
    <cellStyle name="输入 2 6 6" xfId="12914"/>
    <cellStyle name="60% - 强调文字颜色 5 2 2 2 2 3 3 2" xfId="12915"/>
    <cellStyle name="计算 2 2 4 4 7" xfId="12916"/>
    <cellStyle name="计算 2 2 2 2 4 4" xfId="12917"/>
    <cellStyle name="常规 10 5 2 3 3" xfId="12918"/>
    <cellStyle name="超链接 3 2 3 3 3 2" xfId="12919"/>
    <cellStyle name="注释 2 6 3 2 5" xfId="12920"/>
    <cellStyle name="超链接 2 3 3 3" xfId="12921"/>
    <cellStyle name="20% - 强调文字颜色 5 2 3 2 2 3 3 2" xfId="12922"/>
    <cellStyle name="60% - 强调文字颜色 5 2 2 3 4 2 2 2" xfId="12923"/>
    <cellStyle name="输入 2 2 2 3 2 5" xfId="12924"/>
    <cellStyle name="适中 2 4 3 5" xfId="12925"/>
    <cellStyle name="标题 2 2 7" xfId="12926"/>
    <cellStyle name="好 2 2 3 2 2 2 2" xfId="12927"/>
    <cellStyle name="常规 4 8 3 2" xfId="12928"/>
    <cellStyle name="常规 6 3 5" xfId="12929"/>
    <cellStyle name="60% - 强调文字颜色 1 2 2 3 4 2 2" xfId="12930"/>
    <cellStyle name="输入 2 2 6 2 4 3" xfId="12931"/>
    <cellStyle name="40% - 强调文字颜色 6 4 2 3" xfId="12932"/>
    <cellStyle name="常规 5 2 5 3 4 2" xfId="12933"/>
    <cellStyle name="链接单元格 2 2 4 5 2" xfId="12934"/>
    <cellStyle name="输入 2 2 2 4 2" xfId="12935"/>
    <cellStyle name="标题 4 2 4 4 3 2" xfId="12936"/>
    <cellStyle name="输入 2 5 2 2 2 5" xfId="12937"/>
    <cellStyle name="计算 2 2 5 2 4 2 3" xfId="12938"/>
    <cellStyle name="差 2 2 8" xfId="12939"/>
    <cellStyle name="常规 2 2 3 3 3" xfId="12940"/>
    <cellStyle name="百分比 2 3 6" xfId="12941"/>
    <cellStyle name="20% - 强调文字颜色 4 3 2 5" xfId="12942"/>
    <cellStyle name="60% - 强调文字颜色 1 2 2 2 3 5" xfId="12943"/>
    <cellStyle name="注释 2 2 2 13" xfId="12944"/>
    <cellStyle name="计算 2 4 3 2 3 2 2" xfId="12945"/>
    <cellStyle name="标题 1 2 3 3 2 2 2 2 2" xfId="12946"/>
    <cellStyle name="60% - 强调文字颜色 4 2 8" xfId="12947"/>
    <cellStyle name="输入 2 2 3 2 2 2 2 3" xfId="12948"/>
    <cellStyle name="计算 2 2 4 3 2 4 2" xfId="12949"/>
    <cellStyle name="常规 10 2 3 2 2" xfId="12950"/>
    <cellStyle name="60% - 强调文字颜色 5 2 2 9 2" xfId="12951"/>
    <cellStyle name="汇总 2 2 4 4 2 3 3" xfId="12952"/>
    <cellStyle name="差 2 4 2 2 2 2 2" xfId="12953"/>
    <cellStyle name="常规 10 6 2" xfId="12954"/>
    <cellStyle name="百分比 2 3 4 3 2" xfId="12955"/>
    <cellStyle name="60% - 强调文字颜色 3 2 2 5 2 2" xfId="12956"/>
    <cellStyle name="输入 3 4 2 2 2" xfId="12957"/>
    <cellStyle name="汇总 2 4 2 2 2 2 3" xfId="12958"/>
    <cellStyle name="40% - 强调文字颜色 2 2 4 4 2 2 2" xfId="12959"/>
    <cellStyle name="输入 2 7" xfId="12960"/>
    <cellStyle name="差 2 4 2 2 2 3" xfId="12961"/>
    <cellStyle name="常规 10 7" xfId="12962"/>
    <cellStyle name="20% - 强调文字颜色 3 2 2 3 3 2 2 2" xfId="12963"/>
    <cellStyle name="计算 2 5 2 15" xfId="12964"/>
    <cellStyle name="汇总 2 2 4 2 6 2 3" xfId="12965"/>
    <cellStyle name="汇总 2 5 10" xfId="12966"/>
    <cellStyle name="解释性文本 3 5 2" xfId="12967"/>
    <cellStyle name="汇总 2 2 2 2 2 6 2" xfId="12968"/>
    <cellStyle name="40% - 强调文字颜色 2 2 3 2 2 3" xfId="12969"/>
    <cellStyle name="计算 2 5 2 3 2 8" xfId="12970"/>
    <cellStyle name="强调文字颜色 4 2 2 2 2 4 3" xfId="12971"/>
    <cellStyle name="注释 2 4 4 3 3" xfId="12972"/>
    <cellStyle name="20% - 强调文字颜色 4 3 4 2 2 2" xfId="12973"/>
    <cellStyle name="标题 5 3 4 2 2 3" xfId="12974"/>
    <cellStyle name="40% - 强调文字颜色 3 4 4 2 2" xfId="12975"/>
    <cellStyle name="汇总 3 2 3 3" xfId="12976"/>
    <cellStyle name="标题 6 11" xfId="12977"/>
    <cellStyle name="强调文字颜色 5 2 3 2 2 2 3" xfId="12978"/>
    <cellStyle name="标题 2 2 2 9 2" xfId="12979"/>
    <cellStyle name="汇总 2 4 5" xfId="12980"/>
    <cellStyle name="标题 3 2 3 5 2 2" xfId="12981"/>
    <cellStyle name="强调文字颜色 2 2 3 4 2" xfId="12982"/>
    <cellStyle name="60% - 强调文字颜色 6 3 5 2 3" xfId="12983"/>
    <cellStyle name="计算 2 2 2 2 2 2" xfId="12984"/>
    <cellStyle name="计算 2 2 4 2 5" xfId="12985"/>
    <cellStyle name="强调文字颜色 6 2 2 2 3 4" xfId="12986"/>
    <cellStyle name="计算 2 2 2 3 2 5 2" xfId="12987"/>
    <cellStyle name="计算 2 2 5 2 8 2" xfId="12988"/>
    <cellStyle name="60% - 强调文字颜色 2 2 2" xfId="12989"/>
    <cellStyle name="常规 3 2 4 2 3" xfId="12990"/>
    <cellStyle name="输出 3 2 2 2 3" xfId="12991"/>
    <cellStyle name="20% - 强调文字颜色 2 5 2" xfId="12992"/>
    <cellStyle name="计算 2 2 6 2 2 2 4" xfId="12993"/>
    <cellStyle name="40% - 强调文字颜色 4 5 2 2 2 2" xfId="12994"/>
    <cellStyle name="强调文字颜色 5 2 3 2 2 3" xfId="12995"/>
    <cellStyle name="强调文字颜色 5 2 2 2 2 3 3 2 2" xfId="12996"/>
    <cellStyle name="20% - 强调文字颜色 3 2 3 2 2 3" xfId="12997"/>
    <cellStyle name="强调文字颜色 4 4 2 2" xfId="12998"/>
    <cellStyle name="输出 2 2 2 3 3 2 2" xfId="12999"/>
    <cellStyle name="警告文本 5 2 2" xfId="13000"/>
    <cellStyle name="计算 2 8 3 2 4" xfId="13001"/>
    <cellStyle name="汇总 2 2 5 3 2 6" xfId="13002"/>
    <cellStyle name="常规 6 3 3 2 3 2 2" xfId="13003"/>
    <cellStyle name="标题 4 3 3 2" xfId="13004"/>
    <cellStyle name="输入 2 4 4" xfId="13005"/>
    <cellStyle name="20% - 强调文字颜色 1 2 2 3 5" xfId="13006"/>
    <cellStyle name="标题 5 2 6 2 2" xfId="13007"/>
    <cellStyle name="计算 2 2 3 2 2 4 3" xfId="13008"/>
    <cellStyle name="60% - 强调文字颜色 2 2 3 8" xfId="13009"/>
    <cellStyle name="适中 2 2 6 2 3" xfId="13010"/>
    <cellStyle name="计算 2 8 4 2 3" xfId="13011"/>
    <cellStyle name="强调文字颜色 4 2 3 2 4 3 2" xfId="13012"/>
    <cellStyle name="强调文字颜色 1 2 2 2 2 4 2 2" xfId="13013"/>
    <cellStyle name="汇总 2 5 9" xfId="13014"/>
    <cellStyle name="标题 5 3 2 2 3" xfId="13015"/>
    <cellStyle name="常规 11 2 2" xfId="13016"/>
    <cellStyle name="40% - 强调文字颜色 4 2 6 2 2" xfId="13017"/>
    <cellStyle name="60% - 强调文字颜色 2 2 2 4" xfId="13018"/>
    <cellStyle name="40% - 强调文字颜色 3 3 6 2" xfId="13019"/>
    <cellStyle name="输入 2 6 2 3 2 2 2" xfId="13020"/>
    <cellStyle name="注释 2 2 5 2 2 2" xfId="13021"/>
    <cellStyle name="计算 2 2 2 8" xfId="13022"/>
    <cellStyle name="常规 12 3 3 3" xfId="13023"/>
    <cellStyle name="汇总 2 2 8 3 4 2" xfId="13024"/>
    <cellStyle name="常规 11 2 2 2 4" xfId="13025"/>
    <cellStyle name="60% - 强调文字颜色 3 2 2 2 3 5" xfId="13026"/>
    <cellStyle name="标题 2 2 2 4 6" xfId="13027"/>
    <cellStyle name="链接单元格 2 3 2 2 2 2 2" xfId="13028"/>
    <cellStyle name="标题 5 2 2 6 2 2" xfId="13029"/>
    <cellStyle name="标题 5 7 2 2" xfId="13030"/>
    <cellStyle name="40% - 强调文字颜色 4 2 2 3 3" xfId="13031"/>
    <cellStyle name="强调文字颜色 1 2 3 4 2 2" xfId="13032"/>
    <cellStyle name="40% - 强调文字颜色 5 2 3 3 4" xfId="13033"/>
    <cellStyle name="检查单元格 2 3 3 3 2" xfId="13034"/>
    <cellStyle name="强调文字颜色 2 2 2 3 3 2 3" xfId="13035"/>
    <cellStyle name="注释 2 2 7 5 2 2" xfId="13036"/>
    <cellStyle name="输出 2 4 4 4 2" xfId="13037"/>
    <cellStyle name="常规 2 3 2 4 2" xfId="13038"/>
    <cellStyle name="计算 2 2 5 3 2 3 3" xfId="13039"/>
    <cellStyle name="60% - 强调文字颜色 2 3 2 2 3 2" xfId="13040"/>
    <cellStyle name="注释 4 5 2" xfId="13041"/>
    <cellStyle name="解释性文本 2 3 5 2 2" xfId="13042"/>
    <cellStyle name="输入 2 4 2 2 3" xfId="13043"/>
    <cellStyle name="常规 5 2 8 2 2" xfId="13044"/>
    <cellStyle name="链接单元格 2 5 3 3" xfId="13045"/>
    <cellStyle name="超链接 3 3 4 3" xfId="13046"/>
    <cellStyle name="计算 2 11 2 2" xfId="13047"/>
    <cellStyle name="40% - 强调文字颜色 1 2 5 2 3" xfId="13048"/>
    <cellStyle name="强调文字颜色 1 2 2 2 3 3" xfId="13049"/>
    <cellStyle name="计算 2 2 5 3 4 2 2" xfId="13050"/>
    <cellStyle name="输入 2 7 5 3" xfId="13051"/>
    <cellStyle name="输出 2 2 3 2 2 7" xfId="13052"/>
    <cellStyle name="20% - 强调文字颜色 4 2 3 2 2 5 2 2" xfId="13053"/>
    <cellStyle name="40% - 强调文字颜色 5 2 3 2 3 2 2 2 2" xfId="13054"/>
    <cellStyle name="强调文字颜色 1 2 4 4" xfId="13055"/>
    <cellStyle name="注释 4 2 2" xfId="13056"/>
    <cellStyle name="输入 2 5 2 3 2 2 3" xfId="13057"/>
    <cellStyle name="计算 2 2 3 11" xfId="13058"/>
    <cellStyle name="输出 2 2 3 4 3" xfId="13059"/>
    <cellStyle name="注释 2 2 5 4 2 3" xfId="13060"/>
    <cellStyle name="计算 2 3 3 4 2 2" xfId="13061"/>
    <cellStyle name="20% - 强调文字颜色 4 3 2 2 3" xfId="13062"/>
    <cellStyle name="常规 11 2 2 5 2 2" xfId="13063"/>
    <cellStyle name="计算 2 6 12" xfId="13064"/>
    <cellStyle name="计算 3 2 2 2 2" xfId="13065"/>
    <cellStyle name="输入 3 6" xfId="13066"/>
    <cellStyle name="强调文字颜色 3 2 2 2 2 4 3" xfId="13067"/>
    <cellStyle name="标题 3 2 3 3 5" xfId="13068"/>
    <cellStyle name="超链接 3 3 2 2 3" xfId="13069"/>
    <cellStyle name="40% - 强调文字颜色 2 3 2 2 2" xfId="13070"/>
    <cellStyle name="注释 3 3 4 3" xfId="13071"/>
    <cellStyle name="标题 4 2 2 2 2 2 3 2" xfId="13072"/>
    <cellStyle name="输入 2 7 3 2 3" xfId="13073"/>
    <cellStyle name="警告文本 2 2 2 2 2 3 2" xfId="13074"/>
    <cellStyle name="常规 4 5 3 3 2" xfId="13075"/>
    <cellStyle name="好 2 2 2 2 7" xfId="13076"/>
    <cellStyle name="注释 2 10 5" xfId="13077"/>
    <cellStyle name="标题 4 2 2 2 3 6" xfId="13078"/>
    <cellStyle name="20% - 强调文字颜色 5 2 4 2" xfId="13079"/>
    <cellStyle name="汇总 2 6 6 2" xfId="13080"/>
    <cellStyle name="Normal 2" xfId="13081"/>
    <cellStyle name="输入 2 6 4 7" xfId="13082"/>
    <cellStyle name="注释 2 4 9" xfId="13083"/>
    <cellStyle name="检查单元格 2 3 4 3 2 2" xfId="13084"/>
    <cellStyle name="强调文字颜色 2 2 3 2 3 3 2 2" xfId="13085"/>
    <cellStyle name="无色 3 2 2" xfId="13086"/>
    <cellStyle name="汇总 2 4 2 2 3 3 2" xfId="13087"/>
    <cellStyle name="标题 2 2 2 3 3 3" xfId="13088"/>
    <cellStyle name="20% - 强调文字颜色 3 2 7 3 2 2" xfId="13089"/>
    <cellStyle name="注释 2 2 4 2 2 2 2 2 2" xfId="13090"/>
    <cellStyle name="输出 2 2 2 2 2 2 4 2" xfId="13091"/>
    <cellStyle name="强调文字颜色 3 3 2 4 2" xfId="13092"/>
    <cellStyle name="20% - 强调文字颜色 5 2 2 3" xfId="13093"/>
    <cellStyle name="标题 1 2 2 2 3 5" xfId="13094"/>
    <cellStyle name="常规 19 2" xfId="13095"/>
    <cellStyle name="输出 2 2 13 2" xfId="13096"/>
    <cellStyle name="常规 10 2 4 2 2" xfId="13097"/>
    <cellStyle name="常规 8 5" xfId="13098"/>
    <cellStyle name="60% - 强调文字颜色 6 2 2 9" xfId="13099"/>
    <cellStyle name="常规 11 2 3 2" xfId="13100"/>
    <cellStyle name="40% - 强调文字颜色 1 2 3 2 2 3 3 2 2" xfId="13101"/>
    <cellStyle name="汇总 2 5 2 4 2 2 2 2" xfId="13102"/>
    <cellStyle name="计算 2 2 5 3 2 4" xfId="13103"/>
    <cellStyle name="常规 6 3 2 2 5 2 2" xfId="13104"/>
    <cellStyle name="输出 2 2 3 2 8 2 2" xfId="13105"/>
    <cellStyle name="40% - 强调文字颜色 2 2 3 2 2 2 2 2 2 2" xfId="13106"/>
    <cellStyle name="强调文字颜色 1 2 2 7" xfId="13107"/>
    <cellStyle name="汇总 2 4 4 2 2 2 2" xfId="13108"/>
    <cellStyle name="强调文字颜色 4 2 3 2 3 2 2" xfId="13109"/>
    <cellStyle name="好 2 2 2 2 2 5" xfId="13110"/>
    <cellStyle name="标题 5 4 2 3" xfId="13111"/>
    <cellStyle name="计算 2 5 2 2 3 2 3" xfId="13112"/>
    <cellStyle name="常规 5 2 6 4 2" xfId="13113"/>
    <cellStyle name="链接单元格 2 3 5 3" xfId="13114"/>
    <cellStyle name="40% - 强调文字颜色 1 3 2 6" xfId="13115"/>
    <cellStyle name="60% - 强调文字颜色 5 2 3 3 5" xfId="13116"/>
    <cellStyle name="60% - 强调文字颜色 6 2 2 9 2" xfId="13117"/>
    <cellStyle name="常规 11 2 3 2 2" xfId="13118"/>
    <cellStyle name="汇总 2 6 3 2" xfId="13119"/>
    <cellStyle name="汇总 2 2 5 4 2 3 3" xfId="13120"/>
    <cellStyle name="汇总 2 7 2 5 2" xfId="13121"/>
    <cellStyle name="计算 2 2 6 4 3" xfId="13122"/>
    <cellStyle name="强调文字颜色 6 2 2 4 5 2" xfId="13123"/>
    <cellStyle name="输入 2 5 7 3" xfId="13124"/>
    <cellStyle name="计算 2 2 5 3 2 4 2" xfId="13125"/>
    <cellStyle name="标题 3 2 2 3" xfId="13126"/>
    <cellStyle name="汇总 2 5 2 2" xfId="13127"/>
    <cellStyle name="常规 11 2 5" xfId="13128"/>
    <cellStyle name="输入 2 4 2 5 2 2" xfId="13129"/>
    <cellStyle name="警告文本 2 2 4 4 2" xfId="13130"/>
    <cellStyle name="标题 5 2 2 6 3" xfId="13131"/>
    <cellStyle name="40% - 强调文字颜色 5 2 2 2 2 5 2" xfId="13132"/>
    <cellStyle name="链接单元格 2 3 2 2 2 3" xfId="13133"/>
    <cellStyle name="60% - 强调文字颜色 3 2 2 6 2" xfId="13134"/>
    <cellStyle name="标题 3 2 3 3 2 2 3" xfId="13135"/>
    <cellStyle name="差 2 2 3 3 2 2" xfId="13136"/>
    <cellStyle name="超链接 3 3 2 4 3" xfId="13137"/>
    <cellStyle name="输入 2 2 8 4" xfId="13138"/>
    <cellStyle name="输出 3 4 2 2 2" xfId="13139"/>
    <cellStyle name="汇总 2 4 2 4 5" xfId="13140"/>
    <cellStyle name="标题 3 2 2 2 6 2" xfId="13141"/>
    <cellStyle name="输出 2 4 3 10" xfId="13142"/>
    <cellStyle name="注释 2 2 7 2 2 5" xfId="13143"/>
    <cellStyle name="输入 2 2 3 2 6" xfId="13144"/>
    <cellStyle name="40% - 强调文字颜色 3 4 4" xfId="13145"/>
    <cellStyle name="20% - 强调文字颜色 6 2 2 4 3 2 2 2" xfId="13146"/>
    <cellStyle name="汇总 2 2 8 3 5" xfId="13147"/>
    <cellStyle name="计算 2 2 4 3 4 2" xfId="13148"/>
    <cellStyle name="强调文字颜色 6 2 2 2 4 3 2" xfId="13149"/>
    <cellStyle name="强调文字颜色 1 2 4 7" xfId="13150"/>
    <cellStyle name="输入 2 8 2 3" xfId="13151"/>
    <cellStyle name="计算 2 5 5 5 2 2" xfId="13152"/>
    <cellStyle name="注释 4 2 5" xfId="13153"/>
    <cellStyle name="计算 2 2 3 3 5 2" xfId="13154"/>
    <cellStyle name="40% - 强调文字颜色 3 2 3 3 3 2 2" xfId="13155"/>
    <cellStyle name="差 2 2 2 3 6" xfId="13156"/>
    <cellStyle name="40% - 强调文字颜色 2 3 2 2 2 2 2 2" xfId="13157"/>
    <cellStyle name="注释 2 2 4 2 5 2" xfId="13158"/>
    <cellStyle name="警告文本 2 3 2 2 5" xfId="13159"/>
    <cellStyle name="标题 3 2 2 3 6" xfId="13160"/>
    <cellStyle name="输出 3 4 3 2" xfId="13161"/>
    <cellStyle name="链接单元格 2 2 2 2 4 2" xfId="13162"/>
    <cellStyle name="标题 4 2 2 8 2" xfId="13163"/>
    <cellStyle name="汇总 2 9 6 3" xfId="13164"/>
    <cellStyle name="60% - 强调文字颜色 5 2 4 2 2 2 2 2" xfId="13165"/>
    <cellStyle name="注释 2 5 2 3 2" xfId="13166"/>
    <cellStyle name="计算 2 2 2 7 2 2" xfId="13167"/>
    <cellStyle name="输入 2 2 3 3 6" xfId="13168"/>
    <cellStyle name="计算 2 2 9 2 5" xfId="13169"/>
    <cellStyle name="汇总 3 5 3 3" xfId="13170"/>
    <cellStyle name="60% - 强调文字颜色 5 2 2 2 6 2 2 2" xfId="13171"/>
    <cellStyle name="汇总 2 2 4 4 2" xfId="13172"/>
    <cellStyle name="计算 2 8 6 2" xfId="13173"/>
    <cellStyle name="输出 4 2 7 2" xfId="13174"/>
    <cellStyle name="40% - 强调文字颜色 5 2 3 2 2 2 2 2" xfId="13175"/>
    <cellStyle name="差 2 2 4 3 3 2" xfId="13176"/>
    <cellStyle name="汇总 2 3 2 2 4 2" xfId="13177"/>
    <cellStyle name="常规 11 2 6 2 2" xfId="13178"/>
    <cellStyle name="输出 2 7 2 2 4" xfId="13179"/>
    <cellStyle name="计算 2 2 5 3 3" xfId="13180"/>
    <cellStyle name="强调文字颜色 6 2 2 3 4 2" xfId="13181"/>
    <cellStyle name="汇总 2 2 3 2 2 3 4" xfId="13182"/>
    <cellStyle name="差 2 2 2 5 2" xfId="13183"/>
    <cellStyle name="警告文本 2 3 2 4 2 2 2" xfId="13184"/>
    <cellStyle name="20% - 强调文字颜色 3 2 3 2 2 3 3 2" xfId="13185"/>
    <cellStyle name="汇总 2 2 6 2 3 3" xfId="13186"/>
    <cellStyle name="强调文字颜色 3 3 3 3 2" xfId="13187"/>
    <cellStyle name="40% - 强调文字颜色 5 2 2 3 2 2 2" xfId="13188"/>
    <cellStyle name="标题 5 3 2 3 3" xfId="13189"/>
    <cellStyle name="40% - 强调文字颜色 4 2 6 3 2" xfId="13190"/>
    <cellStyle name="常规 11 3 2" xfId="13191"/>
    <cellStyle name="汇总 2 6 9" xfId="13192"/>
    <cellStyle name="标题 1 2 5 3 3" xfId="13193"/>
    <cellStyle name="输入 2 4 2 2 2" xfId="13194"/>
    <cellStyle name="标题 5 3 2 3 3 2" xfId="13195"/>
    <cellStyle name="常规 11 3 2 2" xfId="13196"/>
    <cellStyle name="40% - 强调文字颜色 4 2 6 3 2 2" xfId="13197"/>
    <cellStyle name="输入 2 2 6 5 3" xfId="13198"/>
    <cellStyle name="计算 2 5 2 3 2 7" xfId="13199"/>
    <cellStyle name="输入 2 6 4 2 3 2" xfId="13200"/>
    <cellStyle name="强调文字颜色 4 2 2 2 2 4 2" xfId="13201"/>
    <cellStyle name="40% - 强调文字颜色 2 2 3 2 2 2" xfId="13202"/>
    <cellStyle name="注释 2 4 4 3 2" xfId="13203"/>
    <cellStyle name="40% - 强调文字颜色 3 2 2 4 2 3" xfId="13204"/>
    <cellStyle name="60% - 强调文字颜色 6 4 2 2 2 2 2" xfId="13205"/>
    <cellStyle name="输入 2 2 5 4 5" xfId="13206"/>
    <cellStyle name="常规 5 2 3 2 3 5" xfId="13207"/>
    <cellStyle name="注释 2 2 5 3 3 2 2" xfId="13208"/>
    <cellStyle name="强调文字颜色 6 3 2" xfId="13209"/>
    <cellStyle name="输出 2 2 2 5 2 2" xfId="13210"/>
    <cellStyle name="标题 3 3 3 2 2" xfId="13211"/>
    <cellStyle name="注释 2 8 4 2" xfId="13212"/>
    <cellStyle name="强调文字颜色 4 2 2 6 2 3" xfId="13213"/>
    <cellStyle name="输入 2 6 8 2 2" xfId="13214"/>
    <cellStyle name="计算 2 2 6 4 3 3" xfId="13215"/>
    <cellStyle name="标题 5 3 2 3 4" xfId="13216"/>
    <cellStyle name="常规 11 3 3" xfId="13217"/>
    <cellStyle name="40% - 强调文字颜色 5 3 9" xfId="13218"/>
    <cellStyle name="计算 2 2 2 2 4 2 3" xfId="13219"/>
    <cellStyle name="计算 2 2 4 4 5 3" xfId="13220"/>
    <cellStyle name="常规 9 4 3 2 3" xfId="13221"/>
    <cellStyle name="标题 1 3 2 4 3" xfId="13222"/>
    <cellStyle name="标题 3 2 2 4 3 4" xfId="13223"/>
    <cellStyle name="汇总 4 2 2 5 2" xfId="13224"/>
    <cellStyle name="60% - 强调文字颜色 3 2 6 3 2 2" xfId="13225"/>
    <cellStyle name="超链接 3 4 2" xfId="13226"/>
    <cellStyle name="适中 2 2 3 3 2 3" xfId="13227"/>
    <cellStyle name="汇总 2 4 2 6 2" xfId="13228"/>
    <cellStyle name="60% - 强调文字颜色 2 2 2 3 4 3" xfId="13229"/>
    <cellStyle name="40% - 强调文字颜色 4 2 3 3 2" xfId="13230"/>
    <cellStyle name="强调文字颜色 1 2 2 2 2 3 4" xfId="13231"/>
    <cellStyle name="输出 2 2 3 4 8" xfId="13232"/>
    <cellStyle name="60% - 强调文字颜色 1 2 2 8" xfId="13233"/>
    <cellStyle name="20% - 强调文字颜色 2 2 6 3 2" xfId="13234"/>
    <cellStyle name="差 2 2 3 3 2 2 2" xfId="13235"/>
    <cellStyle name="强调文字颜色 2 2 2 4 3 4" xfId="13236"/>
    <cellStyle name="强调文字颜色 2 2 2 4 2 3 2" xfId="13237"/>
    <cellStyle name="汇总 2 2 2 3 3 2 2" xfId="13238"/>
    <cellStyle name="常规 4 2 12" xfId="13239"/>
    <cellStyle name="汇总 2 2 7 6" xfId="13240"/>
    <cellStyle name="注释 3 2 2 5 2" xfId="13241"/>
    <cellStyle name="计算 2 6 4 2 4" xfId="13242"/>
    <cellStyle name="常规 11 3 3 4" xfId="13243"/>
    <cellStyle name="计算 2 4 2 2 6 2" xfId="13244"/>
    <cellStyle name="20% - 强调文字颜色 2 2 2" xfId="13245"/>
    <cellStyle name="计算 2 2 3 2 4 3 3" xfId="13246"/>
    <cellStyle name="60% - 强调文字颜色 2 2 2 2 5 2 2 2" xfId="13247"/>
    <cellStyle name="计算 2 6 3 3 4" xfId="13248"/>
    <cellStyle name="注释 3 2 2 5 2 2" xfId="13249"/>
    <cellStyle name="汇总 2 2 7 6 2" xfId="13250"/>
    <cellStyle name="计算 2 4 2 2 6 2 2" xfId="13251"/>
    <cellStyle name="20% - 强调文字颜色 2 2 2 2" xfId="13252"/>
    <cellStyle name="40% - 强调文字颜色 5 2 2 3 4 2" xfId="13253"/>
    <cellStyle name="输入 2 2 4 2 7" xfId="13254"/>
    <cellStyle name="40% - 强调文字颜色 4 4 5" xfId="13255"/>
    <cellStyle name="汇总 2 5 3 5" xfId="13256"/>
    <cellStyle name="强调文字颜色 1 2 2 2 2 4 2 2 2" xfId="13257"/>
    <cellStyle name="常规 11 4" xfId="13258"/>
    <cellStyle name="汇总 2 2 5 2 4 4 2" xfId="13259"/>
    <cellStyle name="强调文字颜色 3 2 3 4 3 2" xfId="13260"/>
    <cellStyle name="汇总 2 6 3 7" xfId="13261"/>
    <cellStyle name="输入 2 2 4 4 2" xfId="13262"/>
    <cellStyle name="标题 4 2 2 2 2 2 2 2 3" xfId="13263"/>
    <cellStyle name="标题 5 3 2 4 3" xfId="13264"/>
    <cellStyle name="常规 11 4 2" xfId="13265"/>
    <cellStyle name="汇总 2 7 9" xfId="13266"/>
    <cellStyle name="计算 2 4 2 13" xfId="13267"/>
    <cellStyle name="60% - 强调文字颜色 6 3 2 2 3 2 2" xfId="13268"/>
    <cellStyle name="计算 2 2 4 2 3 3 3 2" xfId="13269"/>
    <cellStyle name="常规 11 4 2 2" xfId="13270"/>
    <cellStyle name="标题 5 3 2 4 3 2" xfId="13271"/>
    <cellStyle name="汇总 2 5 2 3 2 8" xfId="13272"/>
    <cellStyle name="常规 11 4 4 2" xfId="13273"/>
    <cellStyle name="常规 11 5" xfId="13274"/>
    <cellStyle name="标题 5 3 2 5 3" xfId="13275"/>
    <cellStyle name="常规 11 5 2" xfId="13276"/>
    <cellStyle name="汇总 2 8 9" xfId="13277"/>
    <cellStyle name="常规 2 2 4 3 3 2" xfId="13278"/>
    <cellStyle name="输出 2 2 3 5 3" xfId="13279"/>
    <cellStyle name="计算 2 2 6 2 2 7" xfId="13280"/>
    <cellStyle name="40% - 强调文字颜色 5 3 2 3 2 2" xfId="13281"/>
    <cellStyle name="常规 3 4 4 2" xfId="13282"/>
    <cellStyle name="标题 5 2 2 3 2" xfId="13283"/>
    <cellStyle name="标题 5 4 2" xfId="13284"/>
    <cellStyle name="汇总 2 2 4 2 13" xfId="13285"/>
    <cellStyle name="计算 2 5 2 2 3 2" xfId="13286"/>
    <cellStyle name="链接单元格 2 3 5" xfId="13287"/>
    <cellStyle name="警告文本 2 2 6 2 3" xfId="13288"/>
    <cellStyle name="输入 2 4 2 8" xfId="13289"/>
    <cellStyle name="注释 2 7 2 3 2" xfId="13290"/>
    <cellStyle name="20% - 强调文字颜色 6 2 4 3" xfId="13291"/>
    <cellStyle name="计算 2 2 5 2 8" xfId="13292"/>
    <cellStyle name="计算 2 2 2 3 2 5" xfId="13293"/>
    <cellStyle name="常规 2 3 5 3 2" xfId="13294"/>
    <cellStyle name="输入 2 4 8 2" xfId="13295"/>
    <cellStyle name="强调文字颜色 5 2 3 2 3 3" xfId="13296"/>
    <cellStyle name="标题 1 2 3 2 3 3 3" xfId="13297"/>
    <cellStyle name="计算 2 6 3 2 2" xfId="13298"/>
    <cellStyle name="标题 3 3 2 4 2 2" xfId="13299"/>
    <cellStyle name="汇总 2 2 2 3 3 2 3" xfId="13300"/>
    <cellStyle name="注释 2 7 6 2 2" xfId="13301"/>
    <cellStyle name="汇总 2 2 2 3" xfId="13302"/>
    <cellStyle name="常规 12 2 2 2 4 2" xfId="13303"/>
    <cellStyle name="注释 2 2 2 4 7" xfId="13304"/>
    <cellStyle name="常规 6 4 3 2 2 2" xfId="13305"/>
    <cellStyle name="20% - 强调文字颜色 4 4 3" xfId="13306"/>
    <cellStyle name="60% - 强调文字颜色 2 2 2 2 2 6" xfId="13307"/>
    <cellStyle name="超链接 2 2 2 2 3 3 2" xfId="13308"/>
    <cellStyle name="输入 2 3 3 2 2 2" xfId="13309"/>
    <cellStyle name="计算 2 9 3 3 2 2" xfId="13310"/>
    <cellStyle name="常规 10 2 2 6 2" xfId="13311"/>
    <cellStyle name="强调文字颜色 2 2 5 3 3" xfId="13312"/>
    <cellStyle name="40% - 强调文字颜色 3 4 2 2 2 2 2" xfId="13313"/>
    <cellStyle name="输出 2 2 3 5 4 2" xfId="13314"/>
    <cellStyle name="计算 2 11 7" xfId="13315"/>
    <cellStyle name="强调文字颜色 4 2 2 4 4 2" xfId="13316"/>
    <cellStyle name="汇总 2 2 3 3 2 3 3" xfId="13317"/>
    <cellStyle name="常规 6 2 3 2 3 2 2" xfId="13318"/>
    <cellStyle name="40% - 强调文字颜色 3 2 2 3 6" xfId="13319"/>
    <cellStyle name="常规 5 2 2 3 4 2" xfId="13320"/>
    <cellStyle name="40% - 强调文字颜色 3 4 2 3" xfId="13321"/>
    <cellStyle name="输入 2 2 3 2 4 3" xfId="13322"/>
    <cellStyle name="汇总 2 5 3 2 2 3 2 2" xfId="13323"/>
    <cellStyle name="强调文字颜色 3 2 2 4 5" xfId="13324"/>
    <cellStyle name="输出 3 4 3" xfId="13325"/>
    <cellStyle name="输入 2 2 6 3 4" xfId="13326"/>
    <cellStyle name="40% - 强调文字颜色 6 5 2" xfId="13327"/>
    <cellStyle name="标题 4 2 3 6 2" xfId="13328"/>
    <cellStyle name="链接单元格 2 2 2 3 2 2" xfId="13329"/>
    <cellStyle name="40% - 强调文字颜色 3 2 3 3 3 2" xfId="13330"/>
    <cellStyle name="计算 2 5 2 4 4 2 2" xfId="13331"/>
    <cellStyle name="输入 2 14 2 2" xfId="13332"/>
    <cellStyle name="40% - 强调文字颜色 6 2 7 3" xfId="13333"/>
    <cellStyle name="注释 2 2 3 4 4 2" xfId="13334"/>
    <cellStyle name="好 2 3 2 2 2 3" xfId="13335"/>
    <cellStyle name="标题 4 2 2 10" xfId="13336"/>
    <cellStyle name="汇总 4 2 2 5" xfId="13337"/>
    <cellStyle name="60% - 强调文字颜色 2 2 2 4 2 2 2" xfId="13338"/>
    <cellStyle name="超链接 3 4" xfId="13339"/>
    <cellStyle name="60% - 强调文字颜色 3 2 6 3 2" xfId="13340"/>
    <cellStyle name="计算 2 4 3 7 2" xfId="13341"/>
    <cellStyle name="输出 2 2 2 2 9" xfId="13342"/>
    <cellStyle name="60% - 强调文字颜色 4 2 3 2 2" xfId="13343"/>
    <cellStyle name="输入 2 2 3 3 2 3" xfId="13344"/>
    <cellStyle name="常规 5 2 2 4 2 2" xfId="13345"/>
    <cellStyle name="常规 5 6 2 4" xfId="13346"/>
    <cellStyle name="输入 2 2 2 2 4 2 2" xfId="13347"/>
    <cellStyle name="汇总 2 7 4 2 2 2 2" xfId="13348"/>
    <cellStyle name="输入 2 8 3 2 3" xfId="13349"/>
    <cellStyle name="40% - 强调文字颜色 2 4 2 2 2" xfId="13350"/>
    <cellStyle name="超链接 3 4 2 2 3" xfId="13351"/>
    <cellStyle name="标题 3 2 3 2 4 2" xfId="13352"/>
    <cellStyle name="汇总 2 5 2 2 5" xfId="13353"/>
    <cellStyle name="汇总 2 2 12 2 2" xfId="13354"/>
    <cellStyle name="注释 5 6" xfId="13355"/>
    <cellStyle name="20% - 强调文字颜色 3 2 2 2 4 3 2 2" xfId="13356"/>
    <cellStyle name="注释 2 3 3 2" xfId="13357"/>
    <cellStyle name="计算 2 9 3 2 2" xfId="13358"/>
    <cellStyle name="标题 1 4 4 2" xfId="13359"/>
    <cellStyle name="适中 2 3 5 2 2" xfId="13360"/>
    <cellStyle name="强调文字颜色 4 2 2 5 2 2" xfId="13361"/>
    <cellStyle name="常规 12 2 5" xfId="13362"/>
    <cellStyle name="汇总 2 4 4 6 2" xfId="13363"/>
    <cellStyle name="输入 2 7 2 2 2 2 2" xfId="13364"/>
    <cellStyle name="计算 2 3 2 4 3 2 2" xfId="13365"/>
    <cellStyle name="标题 3 3 2 2 3 2" xfId="13366"/>
    <cellStyle name="输入 2 6 2 8" xfId="13367"/>
    <cellStyle name="40% - 强调文字颜色 2 2 6 2 2 2" xfId="13368"/>
    <cellStyle name="汇总 2 2 5 2 2 7" xfId="13369"/>
    <cellStyle name="超链接 2 6 2 2 2" xfId="13370"/>
    <cellStyle name="60% - 强调文字颜色 6 2 2 5 2 2 2" xfId="13371"/>
    <cellStyle name="常规 12 3 2 4 2" xfId="13372"/>
    <cellStyle name="汇总 2 2 7 2 2 6" xfId="13373"/>
    <cellStyle name="标题 3 2 2 4 3 2 2" xfId="13374"/>
    <cellStyle name="60% - 强调文字颜色 6 3 10" xfId="13375"/>
    <cellStyle name="标题 3 2 8 2" xfId="13376"/>
    <cellStyle name="超链接 2 3 4 2 2 2" xfId="13377"/>
    <cellStyle name="常规 3 2 2 4 4 2" xfId="13378"/>
    <cellStyle name="40% - 强调文字颜色 3 5 2 2 2" xfId="13379"/>
    <cellStyle name="输入 2 2 3 3 4 2 2" xfId="13380"/>
    <cellStyle name="计算 2 2 9 2 3 2 2" xfId="13381"/>
    <cellStyle name="Normal 4 2" xfId="13382"/>
    <cellStyle name="超链接 2 4" xfId="13383"/>
    <cellStyle name="60% - 强调文字颜色 3 2 6 2 2" xfId="13384"/>
    <cellStyle name="计算 4 4 3 2 2" xfId="13385"/>
    <cellStyle name="计算 2 6 3 5" xfId="13386"/>
    <cellStyle name="常规 5 3 3 2 3 3" xfId="13387"/>
    <cellStyle name="计算 2 2 2 2 2 9" xfId="13388"/>
    <cellStyle name="输出 2 3 3 2 3 2" xfId="13389"/>
    <cellStyle name="标题 1 2 2 6 2 3" xfId="13390"/>
    <cellStyle name="百分比 2 3 3 3" xfId="13391"/>
    <cellStyle name="计算 2 6 2 7 2" xfId="13392"/>
    <cellStyle name="汇总 2 2 8 7 3" xfId="13393"/>
    <cellStyle name="计算 2 2 2 2 3 7" xfId="13394"/>
    <cellStyle name="标题 4 2 3 4 2 2 3" xfId="13395"/>
    <cellStyle name="汇总 2 3 2 2 9" xfId="13396"/>
    <cellStyle name="20% - 强调文字颜色 6 2 2 2 2 2" xfId="13397"/>
    <cellStyle name="20% - 强调文字颜色 5 4 2 2" xfId="13398"/>
    <cellStyle name="强调文字颜色 2 2 6 3 2 2" xfId="13399"/>
    <cellStyle name="强调文字颜色 6 2 3 6 2" xfId="13400"/>
    <cellStyle name="60% - 强调文字颜色 6 2 3 2 3 4" xfId="13401"/>
    <cellStyle name="汇总 2 8 4 2" xfId="13402"/>
    <cellStyle name="60% - 强调文字颜色 5 2 3 3 3" xfId="13403"/>
    <cellStyle name="40% - 强调文字颜色 1 3 2 4" xfId="13404"/>
    <cellStyle name="好 2 2 4 5 2" xfId="13405"/>
    <cellStyle name="强调文字颜色 5 2 2 2 2 3 3 2" xfId="13406"/>
    <cellStyle name="常规 5 2 5 3 3 3" xfId="13407"/>
    <cellStyle name="20% - 强调文字颜色 1 2 2 2 3 2" xfId="13408"/>
    <cellStyle name="链接单元格 2 2 4 4 3" xfId="13409"/>
    <cellStyle name="解释性文本 3 13" xfId="13410"/>
    <cellStyle name="输入 2 2 4 3 6" xfId="13411"/>
    <cellStyle name="计算 2 2 2 8 2 2" xfId="13412"/>
    <cellStyle name="常规 12 3 3 3 2 2" xfId="13413"/>
    <cellStyle name="注释 2 2 5 2 2 2 2 2" xfId="13414"/>
    <cellStyle name="警告文本 2 3 3 4" xfId="13415"/>
    <cellStyle name="计算 2 2 2 2 2 2 2 3" xfId="13416"/>
    <cellStyle name="输出 2 12" xfId="13417"/>
    <cellStyle name="计算 2 2 4 2 5 2 3" xfId="13418"/>
    <cellStyle name="超链接 3 2 4 4" xfId="13419"/>
    <cellStyle name="计算 2 10 2 3" xfId="13420"/>
    <cellStyle name="汇总 2 2 3 2 3 4" xfId="13421"/>
    <cellStyle name="差 2 2 2 2 3 2 3" xfId="13422"/>
    <cellStyle name="输入 2 3 9 2" xfId="13423"/>
    <cellStyle name="标题 2 2 2 4 3 2 3" xfId="13424"/>
    <cellStyle name="计算 2 6 2 3 2" xfId="13425"/>
    <cellStyle name="60% - 强调文字颜色 2 2 2 2 3" xfId="13426"/>
    <cellStyle name="常规 2 2 4 2 3" xfId="13427"/>
    <cellStyle name="输出 5 5" xfId="13428"/>
    <cellStyle name="标题 2 2 2 2 4 3 2" xfId="13429"/>
    <cellStyle name="汇总 2 2 2 4 2 2 2" xfId="13430"/>
    <cellStyle name="汇总 2 7 10 3" xfId="13431"/>
    <cellStyle name="输出 2 4 3 2 7" xfId="13432"/>
    <cellStyle name="计算 2 2 4 2 2 2 3 2" xfId="13433"/>
    <cellStyle name="超链接 3 3 4 2 3" xfId="13434"/>
    <cellStyle name="链接单元格 2 2 2 2 6 3" xfId="13435"/>
    <cellStyle name="汇总 3 8 2" xfId="13436"/>
    <cellStyle name="输入 2 2 5 4 3 2 2" xfId="13437"/>
    <cellStyle name="强调文字颜色 6 3 3 4" xfId="13438"/>
    <cellStyle name="汇总 2 2 4 5 4 3" xfId="13439"/>
    <cellStyle name="检查单元格 2 2 3 2 2" xfId="13440"/>
    <cellStyle name="常规 12 3 2 3 2 2" xfId="13441"/>
    <cellStyle name="汇总 2 2 2 3 2 3 3" xfId="13442"/>
    <cellStyle name="汇总 2 2 11 4" xfId="13443"/>
    <cellStyle name="输入 2 7 2 8" xfId="13444"/>
    <cellStyle name="输入 3" xfId="13445"/>
    <cellStyle name="40% - 强调文字颜色 2 2 6 3 2 2" xfId="13446"/>
    <cellStyle name="常规 10 2 3 5" xfId="13447"/>
    <cellStyle name="20% - 强调文字颜色 1 2 7 3 2 2" xfId="13448"/>
    <cellStyle name="适中 2 2 4" xfId="13449"/>
    <cellStyle name="计算 2 8 2" xfId="13450"/>
    <cellStyle name="输出 4 2 3" xfId="13451"/>
    <cellStyle name="40% - 强调文字颜色 4 2 2 2 3 3 2" xfId="13452"/>
    <cellStyle name="常规 5 3 3 3 3 3" xfId="13453"/>
    <cellStyle name="60% - 强调文字颜色 1 2 2 2 2 4 2 2 2" xfId="13454"/>
    <cellStyle name="输入 2 2 7 6 3" xfId="13455"/>
    <cellStyle name="计算 2 2 3 2 13" xfId="13456"/>
    <cellStyle name="60% - 强调文字颜色 3 2 2 6 3 2 2" xfId="13457"/>
    <cellStyle name="20% - 强调文字颜色 5 2 3 2 2 2 3" xfId="13458"/>
    <cellStyle name="标题 4 2 2 2 3 2 2 3" xfId="13459"/>
    <cellStyle name="计算 2 5 12" xfId="13460"/>
    <cellStyle name="计算 2 2 7 6 2 2" xfId="13461"/>
    <cellStyle name="差" xfId="13462" builtinId="27"/>
    <cellStyle name="输入 2 2 5 3 3 3" xfId="13463"/>
    <cellStyle name="常规 6 2 2 2 2" xfId="13464"/>
    <cellStyle name="常规 6 2 2 2 3 2 2" xfId="13465"/>
    <cellStyle name="计算 2 3 11" xfId="13466"/>
    <cellStyle name="计算 2 2 3 2 3 4 3" xfId="13467"/>
    <cellStyle name="20% - 强调文字颜色 4 2 3 2 2 3 2 2 2" xfId="13468"/>
    <cellStyle name="计算 2 2 4 2 2 2 2 3 2 2" xfId="13469"/>
    <cellStyle name="计算 2 2 6 2 5 3" xfId="13470"/>
    <cellStyle name="计算 2 2 2 4 2 2 3" xfId="13471"/>
    <cellStyle name="60% - 强调文字颜色 1 2 2 4 4 2" xfId="13472"/>
    <cellStyle name="注释 2 2 7 4 5" xfId="13473"/>
    <cellStyle name="输出 2 4 3 7" xfId="13474"/>
    <cellStyle name="60% - 强调文字颜色 3 2 2 4 4 2" xfId="13475"/>
    <cellStyle name="常规 10 2 2 2 4 2" xfId="13476"/>
    <cellStyle name="标题 2 2 4 5 3" xfId="13477"/>
    <cellStyle name="计算 2 6 3 2" xfId="13478"/>
    <cellStyle name="链接单元格 2 4 8" xfId="13479"/>
    <cellStyle name="输入 2 2 13 2 2" xfId="13480"/>
    <cellStyle name="警告文本 2 3 2 2 4" xfId="13481"/>
    <cellStyle name="输出 2 2 3 2 2 3 2 2 2" xfId="13482"/>
    <cellStyle name="标题 1 2 4 2 2 2 3" xfId="13483"/>
    <cellStyle name="差 2 2 2 3 5" xfId="13484"/>
    <cellStyle name="常规 12 3 6" xfId="13485"/>
    <cellStyle name="输出 2 2 3 2 2 4 2 2" xfId="13486"/>
    <cellStyle name="60% - 强调文字颜色 2 2 3" xfId="13487"/>
    <cellStyle name="计算 2 2 2 2 2 3" xfId="13488"/>
    <cellStyle name="强调文字颜色 6 2 2 2 3 5" xfId="13489"/>
    <cellStyle name="计算 2 2 4 2 6" xfId="13490"/>
    <cellStyle name="40% - 强调文字颜色 5 2 2 3 3 3 2" xfId="13491"/>
    <cellStyle name="常规 12 4 2" xfId="13492"/>
    <cellStyle name="60% - 强调文字颜色 6 2 2 2 2 6" xfId="13493"/>
    <cellStyle name="标题 2 3 2 4 2" xfId="13494"/>
    <cellStyle name="百分比 2 2 4 3 2 2" xfId="13495"/>
    <cellStyle name="计算 3 2 5" xfId="13496"/>
    <cellStyle name="强调文字颜色 1 2 6 3 3" xfId="13497"/>
    <cellStyle name="计算 2 8 3 4 2 2" xfId="13498"/>
    <cellStyle name="汇总 2 5 3 2 5" xfId="13499"/>
    <cellStyle name="计算 2 2 2 6 2" xfId="13500"/>
    <cellStyle name="60% - 强调文字颜色 3 2 2 2 5" xfId="13501"/>
    <cellStyle name="计算 2 3 3 7 2" xfId="13502"/>
    <cellStyle name="常规 12 4 4 2 2" xfId="13503"/>
    <cellStyle name="计算 3 4 4" xfId="13504"/>
    <cellStyle name="检查单元格 2 4 4" xfId="13505"/>
    <cellStyle name="计算 2 2 4 2 11 2" xfId="13506"/>
    <cellStyle name="40% - 强调文字颜色 6 2 2 2 2 2 2 2" xfId="13507"/>
    <cellStyle name="20% - 强调文字颜色 6 2 3 2 4 2 2" xfId="13508"/>
    <cellStyle name="超链接 3 2 4 2 2 3" xfId="13509"/>
    <cellStyle name="常规 12 5" xfId="13510"/>
    <cellStyle name="汇总 2 2 6 2 2 2 4" xfId="13511"/>
    <cellStyle name="标题 2 2 2 8" xfId="13512"/>
    <cellStyle name="常规 12 5 2" xfId="13513"/>
    <cellStyle name="60% - 强调文字颜色 6 2 2 2 3 6" xfId="13514"/>
    <cellStyle name="强调文字颜色 5 2 3 4 2 2 2" xfId="13515"/>
    <cellStyle name="常规 12 7" xfId="13516"/>
    <cellStyle name="链接单元格 2 6 3 2" xfId="13517"/>
    <cellStyle name="警告文本 2 2 2 2 2 2 2 2" xfId="13518"/>
    <cellStyle name="标题 4 2 2 5 4" xfId="13519"/>
    <cellStyle name="计算 2 2 5 2 3 2 3" xfId="13520"/>
    <cellStyle name="40% - 强调文字颜色 6 3 2 3" xfId="13521"/>
    <cellStyle name="链接单元格 2 2 3 5 2" xfId="13522"/>
    <cellStyle name="常规 5 2 5 2 4 2" xfId="13523"/>
    <cellStyle name="输出 2 3 4 3 3" xfId="13524"/>
    <cellStyle name="常规 2 2 2 3 3" xfId="13525"/>
    <cellStyle name="常规 13 2 2 2 2 4" xfId="13526"/>
    <cellStyle name="常规 13 2 2 2 2 4 2" xfId="13527"/>
    <cellStyle name="常规 2 2 2 3 3 2" xfId="13528"/>
    <cellStyle name="超链接 2 5 2 3" xfId="13529"/>
    <cellStyle name="20% - 强调文字颜色 5 2 3 2 2 5 2 2" xfId="13530"/>
    <cellStyle name="60% - 强调文字颜色 5 2 2 2 3 3 2" xfId="13531"/>
    <cellStyle name="输出 2 3 4 5 2" xfId="13532"/>
    <cellStyle name="警告文本 2 2 2 2 4 2 3" xfId="13533"/>
    <cellStyle name="计算 2 2 4 2 2 5 2 2" xfId="13534"/>
    <cellStyle name="40% - 强调文字颜色 2 2 6 2" xfId="13535"/>
    <cellStyle name="输入 2 4 9" xfId="13536"/>
    <cellStyle name="适中 2 5 2 2" xfId="13537"/>
    <cellStyle name="标题 2 2 2 6 2" xfId="13538"/>
    <cellStyle name="汇总 2 2 6 2 2 2 2 2" xfId="13539"/>
    <cellStyle name="标题 3 4 5" xfId="13540"/>
    <cellStyle name="强调文字颜色 1 2 2 2 8" xfId="13541"/>
    <cellStyle name="输出 2 2 3 2 2 8" xfId="13542"/>
    <cellStyle name="60% - 强调文字颜色 6 2 3 4 2 2" xfId="13543"/>
    <cellStyle name="20% - 强调文字颜色 5 2 2 2 3 2" xfId="13544"/>
    <cellStyle name="计算 2 2 2 2 2 7" xfId="13545"/>
    <cellStyle name="链接单元格 2 4 9" xfId="13546"/>
    <cellStyle name="计算 2 6 3 3" xfId="13547"/>
    <cellStyle name="计算 2 6 3 3 4 2" xfId="13548"/>
    <cellStyle name="20% - 强调文字颜色 1 2 2 5 2 2 2" xfId="13549"/>
    <cellStyle name="好 2 4 3 4" xfId="13550"/>
    <cellStyle name="强调文字颜色 5 2 2 2 4 2 2" xfId="13551"/>
    <cellStyle name="强调文字颜色 5 2 2 2 2 3 2 2" xfId="13552"/>
    <cellStyle name="好 2 2 4 4 2" xfId="13553"/>
    <cellStyle name="60% - 强调文字颜色 5 2 3 2 3" xfId="13554"/>
    <cellStyle name="计算 2 7 2 2 7" xfId="13555"/>
    <cellStyle name="标题 1 2 2 2 2 6 2" xfId="13556"/>
    <cellStyle name="标题 3 2 4 2 2 2 2" xfId="13557"/>
    <cellStyle name="注释 2 3 2 8" xfId="13558"/>
    <cellStyle name="60% - 强调文字颜色 1 2 8" xfId="13559"/>
    <cellStyle name="强调文字颜色 5 2 3 2 5 2" xfId="13560"/>
    <cellStyle name="计算 2 5 3 2 2 4 2" xfId="13561"/>
    <cellStyle name="40% - 强调文字颜色 5 2 7 3 2 2" xfId="13562"/>
    <cellStyle name="汇总 2 5 2 4 2 3 3" xfId="13563"/>
    <cellStyle name="常规 5 2 3 3 4" xfId="13564"/>
    <cellStyle name="60% - 强调文字颜色 4 3 2 4" xfId="13565"/>
    <cellStyle name="输入 2 2 6 5" xfId="13566"/>
    <cellStyle name="汇总 2 4 2 2 6" xfId="13567"/>
    <cellStyle name="标题 3 2 2 2 4 3" xfId="13568"/>
    <cellStyle name="汇总 3 2 2 4 2 2" xfId="13569"/>
    <cellStyle name="汇总 2 2 5 3 3 3 2 2" xfId="13570"/>
    <cellStyle name="适中 3 10" xfId="13571"/>
    <cellStyle name="强调文字颜色 4 2 3 2 4 2 2" xfId="13572"/>
    <cellStyle name="常规 4 5 2" xfId="13573"/>
    <cellStyle name="常规 5 5 2 2 4 2" xfId="13574"/>
    <cellStyle name="强调文字颜色 3 2 4 3 2 2 2" xfId="13575"/>
    <cellStyle name="差 2 2 2 2 6" xfId="13576"/>
    <cellStyle name="输入 3 10" xfId="13577"/>
    <cellStyle name="计算 2 2 4 2 2 2 2" xfId="13578"/>
    <cellStyle name="计算 2 4 4 2 5 2" xfId="13579"/>
    <cellStyle name="常规 13 3 2 4" xfId="13580"/>
    <cellStyle name="超链接 3 6 2 2" xfId="13581"/>
    <cellStyle name="汇总 2 2 2 2 5 3" xfId="13582"/>
    <cellStyle name="解释性文本 6 2" xfId="13583"/>
    <cellStyle name="好 5 2 2 3" xfId="13584"/>
    <cellStyle name="20% - 强调文字颜色 6 2 4 7" xfId="13585"/>
    <cellStyle name="强调文字颜色 6 2 2 2 2 4 3 2" xfId="13586"/>
    <cellStyle name="20% - 强调文字颜色 1 3 5 2 2 2" xfId="13587"/>
    <cellStyle name="好 2 2 3 2 2 2" xfId="13588"/>
    <cellStyle name="计算 3 2 2 7 2" xfId="13589"/>
    <cellStyle name="计算 2 7 12" xfId="13590"/>
    <cellStyle name="常规 13 3 3 2 2" xfId="13591"/>
    <cellStyle name="常规 3 3 2 2 3 2 2 2" xfId="13592"/>
    <cellStyle name="60% - 强调文字颜色 2 3 2 3 2" xfId="13593"/>
    <cellStyle name="输入 4 2 4" xfId="13594"/>
    <cellStyle name="输入 3 3 4 2 2" xfId="13595"/>
    <cellStyle name="标题 5 2" xfId="13596"/>
    <cellStyle name="20% - 强调文字颜色 6 2 2 2 2 2 3 2 2" xfId="13597"/>
    <cellStyle name="解释性文本 2 3 2 5 3" xfId="13598"/>
    <cellStyle name="20% - 强调文字颜色 6 3 3 3 2" xfId="13599"/>
    <cellStyle name="注释 2 7 3 2 2 2" xfId="13600"/>
    <cellStyle name="汇总 2 3 5 2 2" xfId="13601"/>
    <cellStyle name="标题 1 2 2 2 2 3 3" xfId="13602"/>
    <cellStyle name="20% - 强调文字颜色 5 4 5" xfId="13603"/>
    <cellStyle name="20% - 强调文字颜色 6 2 2 2 5" xfId="13604"/>
    <cellStyle name="警告文本 2 4 7" xfId="13605"/>
    <cellStyle name="强调文字颜色 4 2 2 2 4 3 2" xfId="13606"/>
    <cellStyle name="适中 2 3 2 4" xfId="13607"/>
    <cellStyle name="输入 2 6 4 4 2 2" xfId="13608"/>
    <cellStyle name="注释 2 4 6 2 2" xfId="13609"/>
    <cellStyle name="注释 2 2 4 2 3 2 2 2" xfId="13610"/>
    <cellStyle name="计算 2 2 4 2 3 3 3" xfId="13611"/>
    <cellStyle name="计算 2 5 2 3 6 3" xfId="13612"/>
    <cellStyle name="常规 8 4 2 2" xfId="13613"/>
    <cellStyle name="输入 2 4 4 2 3" xfId="13614"/>
    <cellStyle name="常规 2 2 2 2 2 6" xfId="13615"/>
    <cellStyle name="链接单元格 4 2 3" xfId="13616"/>
    <cellStyle name="常规 4 2 4 2 2 2" xfId="13617"/>
    <cellStyle name="20% - 强调文字颜色 4 2 2 3" xfId="13618"/>
    <cellStyle name="汇总 2 9 4 3" xfId="13619"/>
    <cellStyle name="输入 2 2 7 2 3 2 2" xfId="13620"/>
    <cellStyle name="超链接 3 2 3 4 2 2" xfId="13621"/>
    <cellStyle name="常规 13 4" xfId="13622"/>
    <cellStyle name="强调文字颜色 2 5 2 2" xfId="13623"/>
    <cellStyle name="好 2 2 2 3" xfId="13624"/>
    <cellStyle name="40% - 强调文字颜色 3 2 6 2" xfId="13625"/>
    <cellStyle name="解释性文本 2 2 4 2 2 2 2" xfId="13626"/>
    <cellStyle name="60% - 强调文字颜色 4 2 4 3" xfId="13627"/>
    <cellStyle name="汇总 4 2 3 2 2" xfId="13628"/>
    <cellStyle name="汇总 2 3 2 2 2 2 2 2 2" xfId="13629"/>
    <cellStyle name="输出 2 2 2 2 12" xfId="13630"/>
    <cellStyle name="标题 3 2 3 2 3 2 2 2" xfId="13631"/>
    <cellStyle name="汇总 5 2 4 2 2" xfId="13632"/>
    <cellStyle name="输入 2 3 3 2 2" xfId="13633"/>
    <cellStyle name="20% - 强调文字颜色 1 2 2 2 2 4 2 2 2" xfId="13634"/>
    <cellStyle name="计算 2 2 5 3 7" xfId="13635"/>
    <cellStyle name="计算 2 2 2 3 3 4" xfId="13636"/>
    <cellStyle name="标题 8 2" xfId="13637"/>
    <cellStyle name="注释 2 6 2 8" xfId="13638"/>
    <cellStyle name="标题 1 3 2 6" xfId="13639"/>
    <cellStyle name="汇总 3 2 2 6 3" xfId="13640"/>
    <cellStyle name="常规 9 4 3 4" xfId="13641"/>
    <cellStyle name="注释 2 4 2 2 2 2 4" xfId="13642"/>
    <cellStyle name="注释 2 5 2 3 2 2 2" xfId="13643"/>
    <cellStyle name="20% - 强调文字颜色 4 2 4 3 2 2" xfId="13644"/>
    <cellStyle name="输入 2 4 6 2" xfId="13645"/>
    <cellStyle name="计算 2 2 4 2 7 2" xfId="13646"/>
    <cellStyle name="计算 2 2 2 2 2 4 2" xfId="13647"/>
    <cellStyle name="汇总 2 2 5 2 2 2 4" xfId="13648"/>
    <cellStyle name="超链接 2 2 2 3 3" xfId="13649"/>
    <cellStyle name="汇总 2 4 2 2 3 3 3" xfId="13650"/>
    <cellStyle name="40% - 强调文字颜色 4 2 5 4 2 2" xfId="13651"/>
    <cellStyle name="常规 10 4 2 2" xfId="13652"/>
    <cellStyle name="标题 2 2 4 2 2" xfId="13653"/>
    <cellStyle name="适中 2 4 3 2 2 2" xfId="13654"/>
    <cellStyle name="60% - 强调文字颜色 6 2 4 2 2 2 3" xfId="13655"/>
    <cellStyle name="常规 13 4 2 2" xfId="13656"/>
    <cellStyle name="常规 13 4 2 3" xfId="13657"/>
    <cellStyle name="常规 2 2 2 2 5 2 2" xfId="13658"/>
    <cellStyle name="差 2 2 2 3 2 3" xfId="13659"/>
    <cellStyle name="常规 13 4 2 3 2 2" xfId="13660"/>
    <cellStyle name="40% - 强调文字颜色 2 2 2 4 3 2 2" xfId="13661"/>
    <cellStyle name="60% - 强调文字颜色 4 2 2 3 3 2 2" xfId="13662"/>
    <cellStyle name="计算 2 15 2" xfId="13663"/>
    <cellStyle name="汇总 2 2 7 3 8" xfId="13664"/>
    <cellStyle name="常规 13 4 2 5" xfId="13665"/>
    <cellStyle name="差 2 2 3 3 2 3" xfId="13666"/>
    <cellStyle name="常规 13 4 3 3 2 2" xfId="13667"/>
    <cellStyle name="强调文字颜色 3 4" xfId="13668"/>
    <cellStyle name="输出 2 2 2 2 3" xfId="13669"/>
    <cellStyle name="强调文字颜色 2 2 2 4 2 2 2" xfId="13670"/>
    <cellStyle name="强调文字颜色 2 2 2 4 2 4" xfId="13671"/>
    <cellStyle name="汇总 2 2 2 3 3 3" xfId="13672"/>
    <cellStyle name="常规 13 4 4" xfId="13673"/>
    <cellStyle name="好 2 2 4 3" xfId="13674"/>
    <cellStyle name="常规 13 5" xfId="13675"/>
    <cellStyle name="链接单元格 2 3 2 7" xfId="13676"/>
    <cellStyle name="常规 4 3 2 3" xfId="13677"/>
    <cellStyle name="链接单元格 2 2 4 3 3 2" xfId="13678"/>
    <cellStyle name="输入 2 2 6 2 2 4 2" xfId="13679"/>
    <cellStyle name="汇总 2 2 10 2 3" xfId="13680"/>
    <cellStyle name="计算 2 6 2 3 3 2 2" xfId="13681"/>
    <cellStyle name="常规 5 2 5 3 2" xfId="13682"/>
    <cellStyle name="链接单元格 2 2 4 3" xfId="13683"/>
    <cellStyle name="输入 2 3 4 4 2" xfId="13684"/>
    <cellStyle name="计算 2 6 2 2 2 8" xfId="13685"/>
    <cellStyle name="标题 4 2 2 2 2 3 2 2 3" xfId="13686"/>
    <cellStyle name="汇总 2 6 2 2 7 2" xfId="13687"/>
    <cellStyle name="常规 13 5 2" xfId="13688"/>
    <cellStyle name="常规 13 6 2" xfId="13689"/>
    <cellStyle name="常规 13 9" xfId="13690"/>
    <cellStyle name="60% - 强调文字颜色 1 2 2 4 5 2" xfId="13691"/>
    <cellStyle name="常规 2 3 2 3 2 2 2 2" xfId="13692"/>
    <cellStyle name="计算 2 2 2 4 2 3 3" xfId="13693"/>
    <cellStyle name="输出 2 4 4 7" xfId="13694"/>
    <cellStyle name="解释性文本 3 5" xfId="13695"/>
    <cellStyle name="汇总 2 2 2 2 2 6" xfId="13696"/>
    <cellStyle name="强调文字颜色 1 2 3 2 4 4" xfId="13697"/>
    <cellStyle name="强调文字颜色 6 2 2 3 2 2 3" xfId="13698"/>
    <cellStyle name="汇总 2 2 2 2 2 2 3 2 2" xfId="13699"/>
    <cellStyle name="超链接 2 7 2" xfId="13700"/>
    <cellStyle name="汇总 2 2 2 2 2 4 3" xfId="13701"/>
    <cellStyle name="40% - 强调文字颜色 2 2 5 3 3 2" xfId="13702"/>
    <cellStyle name="解释性文本 3 3 3" xfId="13703"/>
    <cellStyle name="警告文本 2 2 6 2" xfId="13704"/>
    <cellStyle name="60% - 强调文字颜色 6 3 6" xfId="13705"/>
    <cellStyle name="汇总 4 6 2" xfId="13706"/>
    <cellStyle name="常规 15 2 2 2 2" xfId="13707"/>
    <cellStyle name="警告文本 2 4 5 3" xfId="13708"/>
    <cellStyle name="计算 2 2 4 2 6 4 2" xfId="13709"/>
    <cellStyle name="差 2 2 2 5" xfId="13710"/>
    <cellStyle name="强调文字颜色 3 3 3 3" xfId="13711"/>
    <cellStyle name="输出 2 2 2 2 2 3 3" xfId="13712"/>
    <cellStyle name="20% - 强调文字颜色 2 4 3 2 2" xfId="13713"/>
    <cellStyle name="常规 3 7 2 3 3" xfId="13714"/>
    <cellStyle name="20% - 强调文字颜色 3 2 3 2 2 3 3" xfId="13715"/>
    <cellStyle name="20% - 强调文字颜色 3 2 2 3 4 2" xfId="13716"/>
    <cellStyle name="输出 2 4 2 3 2 5" xfId="13717"/>
    <cellStyle name="警告文本 2 3 2 4 2 2" xfId="13718"/>
    <cellStyle name="输入 2 5 2 14" xfId="13719"/>
    <cellStyle name="常规 3 2 4 3 3 3" xfId="13720"/>
    <cellStyle name="40% - 强调文字颜色 3 2 2 2 2 4 2 2" xfId="13721"/>
    <cellStyle name="强调文字颜色 4 3 2 2 3" xfId="13722"/>
    <cellStyle name="输出 2 2 8 2 2 2" xfId="13723"/>
    <cellStyle name="常规 9 7 2 2" xfId="13724"/>
    <cellStyle name="差 2 3 2 2 3" xfId="13725"/>
    <cellStyle name="汇总 2 2 4 2 4 8" xfId="13726"/>
    <cellStyle name="汇总 2 2 3 2 2 2 2 3" xfId="13727"/>
    <cellStyle name="40% - 强调文字颜色 5 2" xfId="13728"/>
    <cellStyle name="注释 2 2 7 3" xfId="13729"/>
    <cellStyle name="60% - 强调文字颜色 5 3 2 2 4 2" xfId="13730"/>
    <cellStyle name="输入 2 6 2 5 3" xfId="13731"/>
    <cellStyle name="输入 2 2 5 2 2 3" xfId="13732"/>
    <cellStyle name="常规 5 2 4 3 2 2" xfId="13733"/>
    <cellStyle name="汇总 2 2 17 2" xfId="13734"/>
    <cellStyle name="计算 2 7 2 4 2 2" xfId="13735"/>
    <cellStyle name="计算 2 2 5 2 13" xfId="13736"/>
    <cellStyle name="输出 2 2 4 2 2 6" xfId="13737"/>
    <cellStyle name="20% - 强调文字颜色 3 2 3 2 4 2" xfId="13738"/>
    <cellStyle name="输出 2 11 2 2" xfId="13739"/>
    <cellStyle name="常规 11 2 2 3 2" xfId="13740"/>
    <cellStyle name="20% - 强调文字颜色 1 4 2 2 2 2" xfId="13741"/>
    <cellStyle name="检查单元格 2 2 3 7" xfId="13742"/>
    <cellStyle name="汇总 2 3 3" xfId="13743"/>
    <cellStyle name="输入 2 2 2 2 11" xfId="13744"/>
    <cellStyle name="输出 2 3 3 7" xfId="13745"/>
    <cellStyle name="注释 2 2 6 4 5" xfId="13746"/>
    <cellStyle name="汇总 2 2 2" xfId="13747"/>
    <cellStyle name="60% - 强调文字颜色 3 2 2 6 3 2" xfId="13748"/>
    <cellStyle name="强调文字颜色 2 2 2 3 2 2 2 2" xfId="13749"/>
    <cellStyle name="检查单元格 2 2 2 6" xfId="13750"/>
    <cellStyle name="20% - 强调文字颜色 1 2 2 4 4 2 2" xfId="13751"/>
    <cellStyle name="强调文字颜色 6 2 2 2 2 7" xfId="13752"/>
    <cellStyle name="常规 12 3 4" xfId="13753"/>
    <cellStyle name="输入 2 2 5 2 2 2 6" xfId="13754"/>
    <cellStyle name="强调文字颜色 4 2 3 8" xfId="13755"/>
    <cellStyle name="60% - 强调文字颜色 2 2 2 5 3 2 2" xfId="13756"/>
    <cellStyle name="计算 3 11" xfId="13757"/>
    <cellStyle name="注释 2 8 4 3" xfId="13758"/>
    <cellStyle name="40% - 强调文字颜色 2 2 7 2 2" xfId="13759"/>
    <cellStyle name="标题 3 3 3 2 3" xfId="13760"/>
    <cellStyle name="汇总 2 5 3 5 2 2" xfId="13761"/>
    <cellStyle name="计算 2 2 7 5 2 3" xfId="13762"/>
    <cellStyle name="标题 1 2 2 2 3 3 2" xfId="13763"/>
    <cellStyle name="计算 2 2 4 2 4 7" xfId="13764"/>
    <cellStyle name="常规 7 3 4 3 2" xfId="13765"/>
    <cellStyle name="40% - 强调文字颜色 6 2 2 2 2 2 2 3" xfId="13766"/>
    <cellStyle name="计算 2 2 4 2 11 3" xfId="13767"/>
    <cellStyle name="检查单元格 2 4 5" xfId="13768"/>
    <cellStyle name="计算 2 8" xfId="13769"/>
    <cellStyle name="60% - 强调文字颜色 5 2 2 2 2 2 2" xfId="13770"/>
    <cellStyle name="60% - 强调文字颜色 4 5 2 2" xfId="13771"/>
    <cellStyle name="差 2 2 3 9" xfId="13772"/>
    <cellStyle name="输入 2 2 4 4 2 4" xfId="13773"/>
    <cellStyle name="注释 2 4 4 2 3 2" xfId="13774"/>
    <cellStyle name="汇总 2 2 6 4 2 5" xfId="13775"/>
    <cellStyle name="强调文字颜色 4 2 2 2 2 3 3 2" xfId="13776"/>
    <cellStyle name="汇总 3 2 2 3 2" xfId="13777"/>
    <cellStyle name="40% - 强调文字颜色 4 2 2 6 2 2" xfId="13778"/>
    <cellStyle name="输出 2 2 3 2 4 3 2" xfId="13779"/>
    <cellStyle name="标题 4 2 2 2 3 5" xfId="13780"/>
    <cellStyle name="好 2 2 2 2 6" xfId="13781"/>
    <cellStyle name="注释 2 10 4" xfId="13782"/>
    <cellStyle name="输出 2 2 2 2 3 3 2" xfId="13783"/>
    <cellStyle name="强调文字颜色 3 4 3 2" xfId="13784"/>
    <cellStyle name="差 2 3 2 4" xfId="13785"/>
    <cellStyle name="20% - 强调文字颜色 4 2 4 2" xfId="13786"/>
    <cellStyle name="20% - 强调文字颜色 6 2 2 2 2 2 2 2" xfId="13787"/>
    <cellStyle name="汇总 2 9 6 2" xfId="13788"/>
    <cellStyle name="汇总 2 2 4 5 2" xfId="13789"/>
    <cellStyle name="计算 2 8 7 2" xfId="13790"/>
    <cellStyle name="输入 2 2 2 2 2 3" xfId="13791"/>
    <cellStyle name="40% - 强调文字颜色 5 2 3 2 2 2 3 2" xfId="13792"/>
    <cellStyle name="标题 2 2 7 2 2 2" xfId="13793"/>
    <cellStyle name="适中 2 3 3 3" xfId="13794"/>
    <cellStyle name="标题 1 2 5" xfId="13795"/>
    <cellStyle name="输出 4 3 2 3" xfId="13796"/>
    <cellStyle name="标题 3 2 2 5 3" xfId="13797"/>
    <cellStyle name="输出 2 2 2 2 8 2" xfId="13798"/>
    <cellStyle name="60% - 强调文字颜色 3 3 2 2 4 2" xfId="13799"/>
    <cellStyle name="计算 2 2 2 2 4 2" xfId="13800"/>
    <cellStyle name="常规 2 4 5 2 2" xfId="13801"/>
    <cellStyle name="计算 2 2 4 4 5" xfId="13802"/>
    <cellStyle name="20% - 强调文字颜色 5 4 2 3 2 2 2" xfId="13803"/>
    <cellStyle name="汇总 2 2 5" xfId="13804"/>
    <cellStyle name="计算 2 6 4 2 4 2 2" xfId="13805"/>
    <cellStyle name="强调文字颜色 4 2 2 6 3 3" xfId="13806"/>
    <cellStyle name="标题 3 3 3 3 2" xfId="13807"/>
    <cellStyle name="注释 2 8 5 2" xfId="13808"/>
    <cellStyle name="计算 2 2 7 5 3 2" xfId="13809"/>
    <cellStyle name="超链接 3 4 4 2" xfId="13810"/>
    <cellStyle name="标题 2 3 2 2 3" xfId="13811"/>
    <cellStyle name="40% - 强调文字颜色 1 2 6 2 2" xfId="13812"/>
    <cellStyle name="常规 2 2 2 2 2 4 3" xfId="13813"/>
    <cellStyle name="注释 2 5 3 3" xfId="13814"/>
    <cellStyle name="20% - 强调文字颜色 4 2 2 2 2 3 2 2 2 2" xfId="13815"/>
    <cellStyle name="解释性文本 2 13" xfId="13816"/>
    <cellStyle name="常规 2 2 2 2 3" xfId="13817"/>
    <cellStyle name="输出 2 3 4 2 3" xfId="13818"/>
    <cellStyle name="链接单元格 2 2 3 4 2" xfId="13819"/>
    <cellStyle name="20% - 强调文字颜色 4 2 2 4 3 2 2 2" xfId="13820"/>
    <cellStyle name="常规 5 2 5 2 3 2" xfId="13821"/>
    <cellStyle name="输出 2 9 3 2 2" xfId="13822"/>
    <cellStyle name="计算 2 2 5 4" xfId="13823"/>
    <cellStyle name="40% - 强调文字颜色 3 2 4 4 3" xfId="13824"/>
    <cellStyle name="适中 2 4 6 3" xfId="13825"/>
    <cellStyle name="输入 2 7 4 2" xfId="13826"/>
    <cellStyle name="强调文字颜色 1 2 2 2 2 2" xfId="13827"/>
    <cellStyle name="注释 3 4 4" xfId="13828"/>
    <cellStyle name="标题 3 2 7 2 2 2" xfId="13829"/>
    <cellStyle name="输出 2 5 2 8" xfId="13830"/>
    <cellStyle name="常规 2 2 2 2 3 2 2 2 2" xfId="13831"/>
    <cellStyle name="计算 2 2 3 3" xfId="13832"/>
    <cellStyle name="强调文字颜色 3 2 3 2 2 4" xfId="13833"/>
    <cellStyle name="差 2 3 2 2 2 2 2" xfId="13834"/>
    <cellStyle name="汇总 2 4 2 9" xfId="13835"/>
    <cellStyle name="汇总 2 2 5 2 2 3 4" xfId="13836"/>
    <cellStyle name="注释 2 2 12 2" xfId="13837"/>
    <cellStyle name="输出 2 2 3 2 5 3" xfId="13838"/>
    <cellStyle name="常规 6 3 2 2 2 3" xfId="13839"/>
    <cellStyle name="输出 3 6 2 2" xfId="13840"/>
    <cellStyle name="计算 2 5 4 2 2 3" xfId="13841"/>
    <cellStyle name="40% - 强调文字颜色 3 2 2 3 4" xfId="13842"/>
    <cellStyle name="常规 2 2 2 3 2 2 2 2" xfId="13843"/>
    <cellStyle name="强调文字颜色 5 2 2 4 4 2 2" xfId="13844"/>
    <cellStyle name="注释 2 2 2 4 5" xfId="13845"/>
    <cellStyle name="常规 2 2 2 3 2 2 2 2 2" xfId="13846"/>
    <cellStyle name="40% - 强调文字颜色 3 2 2 3 4 2" xfId="13847"/>
    <cellStyle name="计算 2 4 2 2 5 2 2" xfId="13848"/>
    <cellStyle name="常规 2 2 2 3 5" xfId="13849"/>
    <cellStyle name="汇总 2 3 8 2" xfId="13850"/>
    <cellStyle name="60% - 强调文字颜色 1 2 2 2 2 4 2" xfId="13851"/>
    <cellStyle name="常规 2 2 2 5 2 2 2" xfId="13852"/>
    <cellStyle name="输出 3 2 2 3 2" xfId="13853"/>
    <cellStyle name="注释 2 2 3 3 2 2 3 2" xfId="13854"/>
    <cellStyle name="标题 5 2 5 2 3" xfId="13855"/>
    <cellStyle name="标题 2 3 3 3 2 3" xfId="13856"/>
    <cellStyle name="计算 2 2 4 2 4 3 2 2" xfId="13857"/>
    <cellStyle name="警告文本 2 2 4 3 2" xfId="13858"/>
    <cellStyle name="输出 2 4 2 3 5 3" xfId="13859"/>
    <cellStyle name="常规 7 6 2 2" xfId="13860"/>
    <cellStyle name="计算 2 3 2 2 2 5" xfId="13861"/>
    <cellStyle name="汇总 2 6 5 2 2" xfId="13862"/>
    <cellStyle name="汇总 2 2 3 9" xfId="13863"/>
    <cellStyle name="40% - 强调文字颜色 2 2 3 2 4 3 2 2" xfId="13864"/>
    <cellStyle name="常规 2 2 2 6 2" xfId="13865"/>
    <cellStyle name="常规 2 2 3 2 2 2 2" xfId="13866"/>
    <cellStyle name="检查单元格 2 2" xfId="13867"/>
    <cellStyle name="输入 3 2 8" xfId="13868"/>
    <cellStyle name="差 2 2 7 2 2" xfId="13869"/>
    <cellStyle name="常规 2 2 3 3 2 2 2" xfId="13870"/>
    <cellStyle name="差 2 2 8 2" xfId="13871"/>
    <cellStyle name="常规 2 2 3 3 3 2" xfId="13872"/>
    <cellStyle name="常规 10 2 3 2 2 2" xfId="13873"/>
    <cellStyle name="标题 1 4 5" xfId="13874"/>
    <cellStyle name="适中 2 3 5 3" xfId="13875"/>
    <cellStyle name="计算 2 9 3 3" xfId="13876"/>
    <cellStyle name="常规 4 2 2 2 5 2" xfId="13877"/>
    <cellStyle name="输入 2 6 3 2" xfId="13878"/>
    <cellStyle name="注释 2 3 4" xfId="13879"/>
    <cellStyle name="强调文字颜色 3 2 2 3 3 2 2" xfId="13880"/>
    <cellStyle name="标题 2 4 2 2 2 2 2" xfId="13881"/>
    <cellStyle name="汇总 2 2 4 11 3" xfId="13882"/>
    <cellStyle name="输入 2 7 3 7" xfId="13883"/>
    <cellStyle name="注释 3 3 9" xfId="13884"/>
    <cellStyle name="汇总 2 2 2 3 2 4 2" xfId="13885"/>
    <cellStyle name="汇总 2 2 12 3" xfId="13886"/>
    <cellStyle name="输入 2 10 3" xfId="13887"/>
    <cellStyle name="常规 2 2 3 4 2 2 2" xfId="13888"/>
    <cellStyle name="20% - 强调文字颜色 1 3 2 3 2 2" xfId="13889"/>
    <cellStyle name="汇总 2 5 2 2 2 2 4 3" xfId="13890"/>
    <cellStyle name="常规 10 2 3 3 2" xfId="13891"/>
    <cellStyle name="强调文字颜色 3 2 2 3 4 4" xfId="13892"/>
    <cellStyle name="常规 2 2 3 4 3" xfId="13893"/>
    <cellStyle name="差 2 3 8" xfId="13894"/>
    <cellStyle name="常规 2 2 3 6" xfId="13895"/>
    <cellStyle name="60% - 强调文字颜色 6 2 2 2 2 2" xfId="13896"/>
    <cellStyle name="强调文字颜色 1 3 8" xfId="13897"/>
    <cellStyle name="标题 1 3 4 2 2" xfId="13898"/>
    <cellStyle name="计算 2 9 2 2 2 2" xfId="13899"/>
    <cellStyle name="适中 2 3 4 2 2 2" xfId="13900"/>
    <cellStyle name="注释 2 2 3 2 2" xfId="13901"/>
    <cellStyle name="20% - 强调文字颜色 1 3 3 3" xfId="13902"/>
    <cellStyle name="输出 2 3 6 3" xfId="13903"/>
    <cellStyle name="强调文字颜色 2 2 2 2 3 3" xfId="13904"/>
    <cellStyle name="40% - 强调文字颜色 3 2 3 2 2 2 2 2 2 2" xfId="13905"/>
    <cellStyle name="解释性文本 2 2 2 5" xfId="13906"/>
    <cellStyle name="输入 2 6 2 4 3" xfId="13907"/>
    <cellStyle name="注释 2 2 6 3" xfId="13908"/>
    <cellStyle name="60% - 强调文字颜色 5 3 2 2 3 2" xfId="13909"/>
    <cellStyle name="常规 5 2 3 2 2 3" xfId="13910"/>
    <cellStyle name="解释性文本 2 8 2" xfId="13911"/>
    <cellStyle name="40% - 强调文字颜色 3 2 2 4 2 2 2 2" xfId="13912"/>
    <cellStyle name="汇总 2 2 4 2 5 3" xfId="13913"/>
    <cellStyle name="强调文字颜色 5 2 4 3 2 2 2" xfId="13914"/>
    <cellStyle name="标题 1 2 2 2 4 2 2" xfId="13915"/>
    <cellStyle name="计算 2 2 12 3" xfId="13916"/>
    <cellStyle name="输入 2 3 4 3" xfId="13917"/>
    <cellStyle name="汇总 2 8 4 6" xfId="13918"/>
    <cellStyle name="汇总 2 2 11 2 2 2" xfId="13919"/>
    <cellStyle name="警告文本 2 3 2 2 2" xfId="13920"/>
    <cellStyle name="60% - 强调文字颜色 6 2 5 3 2 2" xfId="13921"/>
    <cellStyle name="差 2 2 2 3 3" xfId="13922"/>
    <cellStyle name="20% - 强调文字颜色 1 2 4 2 2 2 2 2" xfId="13923"/>
    <cellStyle name="输入 2 5 2 6 2" xfId="13924"/>
    <cellStyle name="差 3 3 3 2 2 2" xfId="13925"/>
    <cellStyle name="好 2 3 5" xfId="13926"/>
    <cellStyle name="常规 6 2 2 2 3 3 2" xfId="13927"/>
    <cellStyle name="常规 6 2 2 5 2 2" xfId="13928"/>
    <cellStyle name="标题 1 2 3 2 2 2 3" xfId="13929"/>
    <cellStyle name="汇总 2 2 12 4" xfId="13930"/>
    <cellStyle name="汇总 2 2 2 3 2 4 3" xfId="13931"/>
    <cellStyle name="注释 2 2 2 5" xfId="13932"/>
    <cellStyle name="计算 2 7 3 3 3" xfId="13933"/>
    <cellStyle name="好 2 2 2 2 5" xfId="13934"/>
    <cellStyle name="注释 2 10 3" xfId="13935"/>
    <cellStyle name="20% - 强调文字颜色 5 2 2 7 2 2" xfId="13936"/>
    <cellStyle name="计算 2 5 2 2 2 2" xfId="13937"/>
    <cellStyle name="链接单元格 2 2 5" xfId="13938"/>
    <cellStyle name="标题 5 2 2 2 2" xfId="13939"/>
    <cellStyle name="标题 5 3 2" xfId="13940"/>
    <cellStyle name="60% - 强调文字颜色 4 2 2 2 2 2 2 2" xfId="13941"/>
    <cellStyle name="强调文字颜色 3 2 6 4" xfId="13942"/>
    <cellStyle name="标题 4 2 2 2 3 4" xfId="13943"/>
    <cellStyle name="常规 2 2 4 3 2 2" xfId="13944"/>
    <cellStyle name="常规 3 4 3 2" xfId="13945"/>
    <cellStyle name="常规 2 2 4 3 3" xfId="13946"/>
    <cellStyle name="60% - 强调文字颜色 3 4 4 2" xfId="13947"/>
    <cellStyle name="计算 2 5 2 2 3" xfId="13948"/>
    <cellStyle name="计算 2 5 2 5" xfId="13949"/>
    <cellStyle name="注释 2 4 2 4 3" xfId="13950"/>
    <cellStyle name="输出 2 2 2 4 2 3" xfId="13951"/>
    <cellStyle name="强调文字颜色 5 3 3" xfId="13952"/>
    <cellStyle name="汇总 2 2 5 2 4 4" xfId="13953"/>
    <cellStyle name="强调文字颜色 3 2 3 4 3" xfId="13954"/>
    <cellStyle name="超链接 3 4 2 3" xfId="13955"/>
    <cellStyle name="适中 2 3 2 3 3 2 2" xfId="13956"/>
    <cellStyle name="60% - 强调文字颜色 1 2 2 2 2 2 3" xfId="13957"/>
    <cellStyle name="计算 3 2 2 2 4 3" xfId="13958"/>
    <cellStyle name="输入 3 8 3" xfId="13959"/>
    <cellStyle name="常规 5 2 3 3 6" xfId="13960"/>
    <cellStyle name="输入 2 2 6 7" xfId="13961"/>
    <cellStyle name="常规 4 4 3 2 2 2" xfId="13962"/>
    <cellStyle name="强调文字颜色 5 2 2 2 3 3" xfId="13963"/>
    <cellStyle name="输出 2 3 2 2 2 7" xfId="13964"/>
    <cellStyle name="强调文字颜色 4 2 7 3" xfId="13965"/>
    <cellStyle name="链接单元格 2 2 4 2 2" xfId="13966"/>
    <cellStyle name="40% - 强调文字颜色 3 2 5 2 3" xfId="13967"/>
    <cellStyle name="注释 2 2 5 3 4" xfId="13968"/>
    <cellStyle name="输出 2 2 2 6" xfId="13969"/>
    <cellStyle name="输入 2 5 2 2 3 2 2 2" xfId="13970"/>
    <cellStyle name="注释 2 2 9 4" xfId="13971"/>
    <cellStyle name="输入 4 2 3 2" xfId="13972"/>
    <cellStyle name="汇总 2 2 3 3 9" xfId="13973"/>
    <cellStyle name="计算 2 3 5 3 2 2" xfId="13974"/>
    <cellStyle name="40% - 强调文字颜色 1 2 2 4 4" xfId="13975"/>
    <cellStyle name="差 2 3 3 2" xfId="13976"/>
    <cellStyle name="汇总 2 5 3 7" xfId="13977"/>
    <cellStyle name="20% - 强调文字颜色 1 2 2 2 2 2 5 2 2" xfId="13978"/>
    <cellStyle name="输出 2 6 4 3 2" xfId="13979"/>
    <cellStyle name="20% - 强调文字颜色 5 3 2 3 2 2 2" xfId="13980"/>
    <cellStyle name="输出 3 5 2" xfId="13981"/>
    <cellStyle name="适中 2 4 4 2 3" xfId="13982"/>
    <cellStyle name="标题 2 3 4 3" xfId="13983"/>
    <cellStyle name="警告文本 2 3 6 2" xfId="13984"/>
    <cellStyle name="计算 2 2 2 3 3 2 2 2" xfId="13985"/>
    <cellStyle name="强调文字颜色 1 2 2 3 3 3" xfId="13986"/>
    <cellStyle name="输入 2 8 5 3" xfId="13987"/>
    <cellStyle name="计算 2 2 5 3 5 2 2" xfId="13988"/>
    <cellStyle name="输入 2 2 4 2 2 9" xfId="13989"/>
    <cellStyle name="计算 2 2 4 4 3 3 2" xfId="13990"/>
    <cellStyle name="计算 2 2 5 2 2 2 5 2" xfId="13991"/>
    <cellStyle name="解释性文本 2 4 4" xfId="13992"/>
    <cellStyle name="输出 2 2 2 2 6" xfId="13993"/>
    <cellStyle name="60% - 强调文字颜色 3 3 2 2 2" xfId="13994"/>
    <cellStyle name="注释 2 2 2 2 3 2 3" xfId="13995"/>
    <cellStyle name="检查单元格 2 4 4 2" xfId="13996"/>
    <cellStyle name="计算 2 2 4 2 11 2 2" xfId="13997"/>
    <cellStyle name="20% - 强调文字颜色 6 2 3 2 4 2 2 2" xfId="13998"/>
    <cellStyle name="强调文字颜色 4 2 2 3 4 2 3" xfId="13999"/>
    <cellStyle name="汇总 2 3 2 2 6" xfId="14000"/>
    <cellStyle name="输入 2 2 4 2 3 2 2 2 2" xfId="14001"/>
    <cellStyle name="输出 2 6 10 2" xfId="14002"/>
    <cellStyle name="注释 2 4 2 2 2 2 3" xfId="14003"/>
    <cellStyle name="注释 2 6 2 7" xfId="14004"/>
    <cellStyle name="计算 2 2 5 2 2 3" xfId="14005"/>
    <cellStyle name="计算 2 5 4 2 6" xfId="14006"/>
    <cellStyle name="汇总 2 6 4 4 2" xfId="14007"/>
    <cellStyle name="计算 7 2 2" xfId="14008"/>
    <cellStyle name="标题 4 2 5 4" xfId="14009"/>
    <cellStyle name="汇总 2 2 7 2 2 3" xfId="14010"/>
    <cellStyle name="适中 4 9" xfId="14011"/>
    <cellStyle name="常规 2 3 2 2 2 2 2 2 2" xfId="14012"/>
    <cellStyle name="强调文字颜色 6 2 3 2 2 5" xfId="14013"/>
    <cellStyle name="标题 4 3 3 3 2 2" xfId="14014"/>
    <cellStyle name="输出 2 2 3 4 2 6" xfId="14015"/>
    <cellStyle name="标题 2 2 2 4 4" xfId="14016"/>
    <cellStyle name="输入 2 4 2 2 4 2 2" xfId="14017"/>
    <cellStyle name="检查单元格 2 2 2 3 3 2" xfId="14018"/>
    <cellStyle name="计算 2 5 2 11 2 2" xfId="14019"/>
    <cellStyle name="60% - 强调文字颜色 3 2 2 2 3 3" xfId="14020"/>
    <cellStyle name="汇总 2 9 3 2" xfId="14021"/>
    <cellStyle name="输出 2 2 4 3 2 2 3" xfId="14022"/>
    <cellStyle name="强调文字颜色 6 2 4 5 2" xfId="14023"/>
    <cellStyle name="40% - 强调文字颜色 5 2 2 3 4 3 2" xfId="14024"/>
    <cellStyle name="常规 13 4 2" xfId="14025"/>
    <cellStyle name="输出 2 2 4 2 2 2 5" xfId="14026"/>
    <cellStyle name="计算 2 5 3 6" xfId="14027"/>
    <cellStyle name="注释 2 4 2 5 4" xfId="14028"/>
    <cellStyle name="输出 2 7 5" xfId="14029"/>
    <cellStyle name="汇总 2 2 3 4 5 3" xfId="14030"/>
    <cellStyle name="输出 2 2 2 3 2 2" xfId="14031"/>
    <cellStyle name="强调文字颜色 4 3 2" xfId="14032"/>
    <cellStyle name="注释 2 6 4 2" xfId="14033"/>
    <cellStyle name="强调文字颜色 4 2 2 4 2 3" xfId="14034"/>
    <cellStyle name="输入 2 6 6 2 2" xfId="14035"/>
    <cellStyle name="汇总 2 5 4 2 5" xfId="14036"/>
    <cellStyle name="强调文字颜色 2 2 2 6 2" xfId="14037"/>
    <cellStyle name="计算 2 2 3 6 2" xfId="14038"/>
    <cellStyle name="标题 3 2 2 2 6 3" xfId="14039"/>
    <cellStyle name="标题 2 3 3 3 2" xfId="14040"/>
    <cellStyle name="计算 2 2 5 4 2 4" xfId="14041"/>
    <cellStyle name="汇总 2 2 4 5 2 4 3" xfId="14042"/>
    <cellStyle name="汇总 2 5 2 4 2 3 2 2" xfId="14043"/>
    <cellStyle name="常规 2 6 3" xfId="14044"/>
    <cellStyle name="差 2 6 2 2" xfId="14045"/>
    <cellStyle name="标题 5" xfId="14046"/>
    <cellStyle name="输入 3 3 4 2" xfId="14047"/>
    <cellStyle name="适中 2 2 3 4 3" xfId="14048"/>
    <cellStyle name="20% - 强调文字颜色 2 2 10 2" xfId="14049"/>
    <cellStyle name="输入 2 2 4 2 4 3" xfId="14050"/>
    <cellStyle name="常规 5 2 3 3 4 2" xfId="14051"/>
    <cellStyle name="40% - 强调文字颜色 4 4 2 3" xfId="14052"/>
    <cellStyle name="强调文字颜色 3 2 4 4 4" xfId="14053"/>
    <cellStyle name="常规 10 2 4 2 2 2" xfId="14054"/>
    <cellStyle name="汇总 2 2 9 2 6" xfId="14055"/>
    <cellStyle name="计算 2 2 4 4 3 3" xfId="14056"/>
    <cellStyle name="强调文字颜色 6 2 2 2 5 2 3" xfId="14057"/>
    <cellStyle name="输入 2 2 3 2 2 4" xfId="14058"/>
    <cellStyle name="常规 5 2 2 3 2 3" xfId="14059"/>
    <cellStyle name="60% - 强调文字颜色 4 2 2 2 3" xfId="14060"/>
    <cellStyle name="40% - 强调文字颜色 1 2 5 4 2 2" xfId="14061"/>
    <cellStyle name="超链接 3 3 6 2 2" xfId="14062"/>
    <cellStyle name="输入 5 2" xfId="14063"/>
    <cellStyle name="40% - 强调文字颜色 6 2 3 3 3 2 2" xfId="14064"/>
    <cellStyle name="汇总 2 2 6 8 2 2" xfId="14065"/>
    <cellStyle name="检查单元格 2 2 3 3" xfId="14066"/>
    <cellStyle name="标题 1 2 2 2 7 2" xfId="14067"/>
    <cellStyle name="输入 2 9 4" xfId="14068"/>
    <cellStyle name="强调文字颜色 1 2 2 4 2" xfId="14069"/>
    <cellStyle name="40% - 强调文字颜色 4 2 2 2 5 2 2" xfId="14070"/>
    <cellStyle name="强调文字颜色 4 3 3" xfId="14071"/>
    <cellStyle name="输出 2 2 2 3 2 3" xfId="14072"/>
    <cellStyle name="警告文本 4 3" xfId="14073"/>
    <cellStyle name="标题 3 2 3 2 2 2 2 2 3" xfId="14074"/>
    <cellStyle name="计算 2 6 2 2 10" xfId="14075"/>
    <cellStyle name="20% - 强调文字颜色 1 2 2 2 2 3 2 2 2" xfId="14076"/>
    <cellStyle name="输入 2 2 3 2 2" xfId="14077"/>
    <cellStyle name="40% - 强调文字颜色 4 2 4 4 2 2" xfId="14078"/>
    <cellStyle name="20% - 强调文字颜色 1 5 2" xfId="14079"/>
    <cellStyle name="计算 2 2 3 2 5" xfId="14080"/>
    <cellStyle name="20% - 强调文字颜色 3 4 5 2" xfId="14081"/>
    <cellStyle name="60% - 强调文字颜色 5 2 2 2 2 5" xfId="14082"/>
    <cellStyle name="60% - 强调文字颜色 1 2 2" xfId="14083"/>
    <cellStyle name="计算 2 2 3 6 3" xfId="14084"/>
    <cellStyle name="强调文字颜色 2 2 2 6 3" xfId="14085"/>
    <cellStyle name="常规 9 5 3 3 2" xfId="14086"/>
    <cellStyle name="汇总 2 5 4 2 6" xfId="14087"/>
    <cellStyle name="60% - 强调文字颜色 1 2 3 2 3 3 2 2" xfId="14088"/>
    <cellStyle name="汇总 2 5 2 2 3 4 2" xfId="14089"/>
    <cellStyle name="超链接 2 2 4 2 2" xfId="14090"/>
    <cellStyle name="解释性文本 2 2 2 2 4 3 2" xfId="14091"/>
    <cellStyle name="计算 2 9 2 4 2" xfId="14092"/>
    <cellStyle name="标题 1 3 6 2" xfId="14093"/>
    <cellStyle name="常规 5 4 2 2 3" xfId="14094"/>
    <cellStyle name="输入 3 2 2 2 2 2" xfId="14095"/>
    <cellStyle name="40% - 强调文字颜色 1 2 4" xfId="14096"/>
    <cellStyle name="40% - 强调文字颜色 3 2 2 2 4 2 2" xfId="14097"/>
    <cellStyle name="常规 2 3 3 2 2 2" xfId="14098"/>
    <cellStyle name="计算 2 4 7 3" xfId="14099"/>
    <cellStyle name="适中 3 7" xfId="14100"/>
    <cellStyle name="40% - 强调文字颜色 3 3 2 5" xfId="14101"/>
    <cellStyle name="计算 2 2 4 3 2 3 2" xfId="14102"/>
    <cellStyle name="超链接 3 5 5" xfId="14103"/>
    <cellStyle name="60% - 强调文字颜色 5 2 2 8 2" xfId="14104"/>
    <cellStyle name="40% - 强调文字颜色 1 2 7 3" xfId="14105"/>
    <cellStyle name="常规 5 3 2 2 3 5" xfId="14106"/>
    <cellStyle name="解释性文本 2 3 2 4 2" xfId="14107"/>
    <cellStyle name="解释性文本 2 3 2 7" xfId="14108"/>
    <cellStyle name="20% - 强调文字颜色 3 2 3 2 4 3 2 2" xfId="14109"/>
    <cellStyle name="常规 13 4 3" xfId="14110"/>
    <cellStyle name="输出 2 2 4 2 2 2 6" xfId="14111"/>
    <cellStyle name="常规 2 3 2 4 2 2 2" xfId="14112"/>
    <cellStyle name="汇总 2 2 2 2 2 4 2" xfId="14113"/>
    <cellStyle name="解释性文本 3 3 2" xfId="14114"/>
    <cellStyle name="输出 2 4 4 5 2" xfId="14115"/>
    <cellStyle name="计算 2 2 8 3 2 6" xfId="14116"/>
    <cellStyle name="适中 2 3 2 7" xfId="14117"/>
    <cellStyle name="计算 2 2 4 2 2 2 2 3" xfId="14118"/>
    <cellStyle name="汇总 2 2 2 4 4 3" xfId="14119"/>
    <cellStyle name="输入 2 2 5 2 2 2 2" xfId="14120"/>
    <cellStyle name="强调文字颜色 4 2 3 4" xfId="14121"/>
    <cellStyle name="输入 2 2 2 8" xfId="14122"/>
    <cellStyle name="标题 5 3 3 7" xfId="14123"/>
    <cellStyle name="常规 3 3 7 4 2" xfId="14124"/>
    <cellStyle name="解释性文本 2 4 4 2 2" xfId="14125"/>
    <cellStyle name="标题 3 2 2 9 2" xfId="14126"/>
    <cellStyle name="60% - 强调文字颜色 3 3 6" xfId="14127"/>
    <cellStyle name="标题 4 2 2 4 4 2 2" xfId="14128"/>
    <cellStyle name="60% - 强调文字颜色 2 2 4 4" xfId="14129"/>
    <cellStyle name="汇总 2 3 4 2 5 2" xfId="14130"/>
    <cellStyle name="标题 4 2 3 4 3 2 2" xfId="14131"/>
    <cellStyle name="计算 2 2 5 3 9" xfId="14132"/>
    <cellStyle name="计算 2 8 3 3 2 2" xfId="14133"/>
    <cellStyle name="适中 2 2 5 3 2 2" xfId="14134"/>
    <cellStyle name="强调文字颜色 1 2 5 3 3" xfId="14135"/>
    <cellStyle name="常规 9 5 4 3" xfId="14136"/>
    <cellStyle name="输入 2 2 3 2 2 2" xfId="14137"/>
    <cellStyle name="常规 11 3 3 3 3" xfId="14138"/>
    <cellStyle name="差 2 2 3 2 2 2 2" xfId="14139"/>
    <cellStyle name="汇总 2 2 2 2 3 2 2" xfId="14140"/>
    <cellStyle name="输出 2 4 5 3 2" xfId="14141"/>
    <cellStyle name="常规 2 3 3 3 2" xfId="14142"/>
    <cellStyle name="汇总 2 4 2 3 3" xfId="14143"/>
    <cellStyle name="差 2 4 3 3 2" xfId="14144"/>
    <cellStyle name="检查单元格 3 2 2 4" xfId="14145"/>
    <cellStyle name="标题 1 2 3 2 6 3" xfId="14146"/>
    <cellStyle name="计算 2 7 2 2 2 4" xfId="14147"/>
    <cellStyle name="适中 2 2 6 3 2" xfId="14148"/>
    <cellStyle name="计算 2 8 4 3 2" xfId="14149"/>
    <cellStyle name="汇总 2 2 6 10 2" xfId="14150"/>
    <cellStyle name="计算 2 2 4 3 2 3" xfId="14151"/>
    <cellStyle name="输出 2 8 2 2 2 2" xfId="14152"/>
    <cellStyle name="60% - 强调文字颜色 5 2 2 8" xfId="14153"/>
    <cellStyle name="解释性文本 4 4" xfId="14154"/>
    <cellStyle name="汇总 2 2 2 2 3 5" xfId="14155"/>
    <cellStyle name="输出 2 4 5 6" xfId="14156"/>
    <cellStyle name="输入 2 3 8 2" xfId="14157"/>
    <cellStyle name="标题 1 2 3 2 2 3 3" xfId="14158"/>
    <cellStyle name="计算 2 6 2 2 2" xfId="14159"/>
    <cellStyle name="常规 2 3 4 3 2" xfId="14160"/>
    <cellStyle name="输出 2 2 5 5 5" xfId="14161"/>
    <cellStyle name="汇总 2 5 4 3 4 2" xfId="14162"/>
    <cellStyle name="输入 2 5 5 8" xfId="14163"/>
    <cellStyle name="计算 2 2 5 3 4 2" xfId="14164"/>
    <cellStyle name="强调文字颜色 6 2 2 3 4 3 2" xfId="14165"/>
    <cellStyle name="警告文本 2 2 6" xfId="14166"/>
    <cellStyle name="60% - 强调文字颜色 6 2 4 7" xfId="14167"/>
    <cellStyle name="解释性文本 2 4 4 3 2" xfId="14168"/>
    <cellStyle name="常规 2 4 3" xfId="14169"/>
    <cellStyle name="强调文字颜色 2 2 2 7 3" xfId="14170"/>
    <cellStyle name="输出 2 2 2 3 3 3" xfId="14171"/>
    <cellStyle name="强调文字颜色 4 4 3" xfId="14172"/>
    <cellStyle name="40% - 强调文字颜色 5 2 6 2 2" xfId="14173"/>
    <cellStyle name="标题 6 3 2 2 3" xfId="14174"/>
    <cellStyle name="输出 2 8 6" xfId="14175"/>
    <cellStyle name="输出 2 2 6 4 5" xfId="14176"/>
    <cellStyle name="汇总 2 5 2 3 3 2 2" xfId="14177"/>
    <cellStyle name="差 2 2 5 2" xfId="14178"/>
    <cellStyle name="计算 2 2 2 5 5" xfId="14179"/>
    <cellStyle name="常规 2 4 3 3 2" xfId="14180"/>
    <cellStyle name="40% - 强调文字颜色 2 3 2 5" xfId="14181"/>
    <cellStyle name="计算 2 7 3 4" xfId="14182"/>
    <cellStyle name="40% - 强调文字颜色 2 2 3 2 4 2" xfId="14183"/>
    <cellStyle name="注释 2 4 4 5 2" xfId="14184"/>
    <cellStyle name="好 4 2 3 2 2" xfId="14185"/>
    <cellStyle name="60% - 强调文字颜色 5 2 2 2 3 6" xfId="14186"/>
    <cellStyle name="计算 2 2 5 2 2 7" xfId="14187"/>
    <cellStyle name="解释性文本 2 8 2 3" xfId="14188"/>
    <cellStyle name="常规 5 2 3 2 2 3 3" xfId="14189"/>
    <cellStyle name="标题 5 6 2" xfId="14190"/>
    <cellStyle name="60% - 强调文字颜色 1 2 2 2 5 2 2" xfId="14191"/>
    <cellStyle name="标题 5 2 2 5 2" xfId="14192"/>
    <cellStyle name="汇总 2 6 4" xfId="14193"/>
    <cellStyle name="40% - 强调文字颜色 4 4 2 3 2 2 2" xfId="14194"/>
    <cellStyle name="超链接 2 3 4 4 2" xfId="14195"/>
    <cellStyle name="汇总 2 4 3 2 5 2" xfId="14196"/>
    <cellStyle name="标题 3 2 2 3 4 2 2" xfId="14197"/>
    <cellStyle name="汇总 2 2 2 4 2 3 2" xfId="14198"/>
    <cellStyle name="汇总 2 2 6 2 5 2" xfId="14199"/>
    <cellStyle name="强调文字颜色 6 2 2 2 2 2 2 2" xfId="14200"/>
    <cellStyle name="汇总 2 5 2 3 3 2" xfId="14201"/>
    <cellStyle name="差 2 2 5" xfId="14202"/>
    <cellStyle name="汇总 4 2 5 2 2" xfId="14203"/>
    <cellStyle name="计算 2 4 2 12" xfId="14204"/>
    <cellStyle name="好 3 3 2 2 3" xfId="14205"/>
    <cellStyle name="计算 2 2 5 2 3 3" xfId="14206"/>
    <cellStyle name="强调文字颜色 6 2 2 3 3 2 3" xfId="14207"/>
    <cellStyle name="汇总 2 2 3 2 2 2 4 3" xfId="14208"/>
    <cellStyle name="汇总 2 2 6 2 2 3 3" xfId="14209"/>
    <cellStyle name="标题 2 2 3 7" xfId="14210"/>
    <cellStyle name="计算 2 5 2 3 3" xfId="14211"/>
    <cellStyle name="60% - 强调文字颜色 3 4 5 2" xfId="14212"/>
    <cellStyle name="计算 2 3 5 4" xfId="14213"/>
    <cellStyle name="60% - 强调文字颜色 2 2 5 3 2" xfId="14214"/>
    <cellStyle name="计算 2 2 6 3" xfId="14215"/>
    <cellStyle name="汇总 2 4 3 3 2 3" xfId="14216"/>
    <cellStyle name="链接单元格 2 2 2 2 3 4" xfId="14217"/>
    <cellStyle name="20% - 强调文字颜色 3 2 2 2 2 4 3 2" xfId="14218"/>
    <cellStyle name="警告文本 2 2 2 4 3 2 2" xfId="14219"/>
    <cellStyle name="强调文字颜色 4 2 3" xfId="14220"/>
    <cellStyle name="计算 2 2 5" xfId="14221"/>
    <cellStyle name="警告文本 3 2 2 4" xfId="14222"/>
    <cellStyle name="标题 3 2 3 4 3 3" xfId="14223"/>
    <cellStyle name="常规 9 5 3 2 2" xfId="14224"/>
    <cellStyle name="标题 1 4 2 4 2" xfId="14225"/>
    <cellStyle name="强调文字颜色 2 2 2 5 3" xfId="14226"/>
    <cellStyle name="输出 2 6 6" xfId="14227"/>
    <cellStyle name="60% - 强调文字颜色 5 2 2 3 2 2 2 2 2" xfId="14228"/>
    <cellStyle name="20% - 强调文字颜色 5 3 6" xfId="14229"/>
    <cellStyle name="注释 2 2 5 4 2 5" xfId="14230"/>
    <cellStyle name="计算 2 2 3 13" xfId="14231"/>
    <cellStyle name="输出 2 2 3 4 5" xfId="14232"/>
    <cellStyle name="常规 6 3 2 4 2" xfId="14233"/>
    <cellStyle name="输出 2 2 4 3" xfId="14234"/>
    <cellStyle name="60% - 强调文字颜色 1 2 2 2 2 4 2 2" xfId="14235"/>
    <cellStyle name="汇总 2 2 2 7 2 2" xfId="14236"/>
    <cellStyle name="常规 5 8" xfId="14237"/>
    <cellStyle name="强调文字颜色 6 2 7 2 2 2" xfId="14238"/>
    <cellStyle name="常规 4 2 2 2 4 2" xfId="14239"/>
    <cellStyle name="标题 1 3 5" xfId="14240"/>
    <cellStyle name="计算 2 9 2 3" xfId="14241"/>
    <cellStyle name="适中 2 3 4 3" xfId="14242"/>
    <cellStyle name="20% - 强调文字颜色 4 2 2 2 4 3 2 2" xfId="14243"/>
    <cellStyle name="标题 1 2 8 3" xfId="14244"/>
    <cellStyle name="常规 10 5 3 2" xfId="14245"/>
    <cellStyle name="强调文字颜色 5 2 2 6 2 2 2" xfId="14246"/>
    <cellStyle name="标题 3 2 2 2 3 2 3" xfId="14247"/>
    <cellStyle name="警告文本 2 3 5 2 2 2" xfId="14248"/>
    <cellStyle name="超链接 2 2 3 4 3" xfId="14249"/>
    <cellStyle name="40% - 强调文字颜色 5 2 4 4 2 2" xfId="14250"/>
    <cellStyle name="输入 2" xfId="14251"/>
    <cellStyle name="汇总 2 2 11 3" xfId="14252"/>
    <cellStyle name="注释 3 2 9" xfId="14253"/>
    <cellStyle name="输入 2 7 2 7" xfId="14254"/>
    <cellStyle name="汇总 2 2 2 3 2 3 2" xfId="14255"/>
    <cellStyle name="输出 2 5 4 4 2" xfId="14256"/>
    <cellStyle name="常规 3 2 4 3 3 2" xfId="14257"/>
    <cellStyle name="好 6" xfId="14258"/>
    <cellStyle name="输入 2 5 2 13" xfId="14259"/>
    <cellStyle name="20% - 强调文字颜色 2 6 2 2" xfId="14260"/>
    <cellStyle name="适中 2 2 4 2" xfId="14261"/>
    <cellStyle name="计算 2 8 2 2" xfId="14262"/>
    <cellStyle name="输出 4 2 3 2" xfId="14263"/>
    <cellStyle name="汇总 2 7 3 8" xfId="14264"/>
    <cellStyle name="20% - 强调文字颜色 4 2 2 2 2 3 2 2 2" xfId="14265"/>
    <cellStyle name="强调文字颜色 5 2 2 2" xfId="14266"/>
    <cellStyle name="强调文字颜色 2 2 3 5 2 2" xfId="14267"/>
    <cellStyle name="汇总 2 2 4 10 3" xfId="14268"/>
    <cellStyle name="20% - 强调文字颜色 6 2 2 9" xfId="14269"/>
    <cellStyle name="差 2 3 2 8" xfId="14270"/>
    <cellStyle name="计算 2 9 2 3 2" xfId="14271"/>
    <cellStyle name="适中 2 3 4 3 2" xfId="14272"/>
    <cellStyle name="标题 1 3 5 2" xfId="14273"/>
    <cellStyle name="输入 2 6 2 2 2" xfId="14274"/>
    <cellStyle name="注释 2 2 4 2" xfId="14275"/>
    <cellStyle name="汇总 2 2 2 3 2 3 2 2" xfId="14276"/>
    <cellStyle name="输入 2 2" xfId="14277"/>
    <cellStyle name="汇总 2 2 11 3 2" xfId="14278"/>
    <cellStyle name="检查单元格 4 3 2" xfId="14279"/>
    <cellStyle name="好 2 2 2 2 4" xfId="14280"/>
    <cellStyle name="注释 2 10 2" xfId="14281"/>
    <cellStyle name="计算 2 7 3 3 2" xfId="14282"/>
    <cellStyle name="汇总 2 2 4 2 5" xfId="14283"/>
    <cellStyle name="40% - 强调文字颜色 4 2 3 2 2 3 3" xfId="14284"/>
    <cellStyle name="计算 2 5 4 3 3 2" xfId="14285"/>
    <cellStyle name="标题 1 6 3" xfId="14286"/>
    <cellStyle name="常规 3 2 2 3 2" xfId="14287"/>
    <cellStyle name="常规 2 4 6 2" xfId="14288"/>
    <cellStyle name="计算 2 2 2 3 4" xfId="14289"/>
    <cellStyle name="强调文字颜色 1 2 4 2 2 2 2" xfId="14290"/>
    <cellStyle name="标题 1 2 2 3 3 3" xfId="14291"/>
    <cellStyle name="20% - 强调文字颜色 2 2 7 3 2 2" xfId="14292"/>
    <cellStyle name="强调文字颜色 3 2 2 6" xfId="14293"/>
    <cellStyle name="标题 3 2 2 2 2 3 2 2" xfId="14294"/>
    <cellStyle name="常规 5 6 3 2" xfId="14295"/>
    <cellStyle name="计算 2 2 10 2 6" xfId="14296"/>
    <cellStyle name="60% - 强调文字颜色 6 2 2 2 6 2 3" xfId="14297"/>
    <cellStyle name="标题 3 2 3 5" xfId="14298"/>
    <cellStyle name="汇总 2 6 3 7 2" xfId="14299"/>
    <cellStyle name="40% - 强调文字颜色 1 2 3 2 2 2 2" xfId="14300"/>
    <cellStyle name="注释 2 2 5 3 2" xfId="14301"/>
    <cellStyle name="输入 2 6 2 3 3 2" xfId="14302"/>
    <cellStyle name="输出 2 2 2 4" xfId="14303"/>
    <cellStyle name="常规 3 9" xfId="14304"/>
    <cellStyle name="强调文字颜色 3 2 3 4 3 2 2" xfId="14305"/>
    <cellStyle name="常规 3 2 2 4 3 2" xfId="14306"/>
    <cellStyle name="计算 2 2 6 5 5" xfId="14307"/>
    <cellStyle name="40% - 强调文字颜色 3 2 3 2 4 2 2" xfId="14308"/>
    <cellStyle name="常规 2 4 3 2 2 2" xfId="14309"/>
    <cellStyle name="计算 2 2 2 4 5 2" xfId="14310"/>
    <cellStyle name="40% - 强调文字颜色 3 2 2" xfId="14311"/>
    <cellStyle name="注释 2 2 4 2 8" xfId="14312"/>
    <cellStyle name="计算 2 5 2 2 2 2 3 2 2" xfId="14313"/>
    <cellStyle name="链接单元格 2 2 5 3 2 2" xfId="14314"/>
    <cellStyle name="标题 5 3 2 3 2 2" xfId="14315"/>
    <cellStyle name="强调文字颜色 2 2 2 2 2 2 2 3" xfId="14316"/>
    <cellStyle name="标题 5 2 2 2 6 2 2" xfId="14317"/>
    <cellStyle name="强调文字颜色 6 2 2 5" xfId="14318"/>
    <cellStyle name="汇总 2 7 3" xfId="14319"/>
    <cellStyle name="汇总 2 2 4 4 3 4" xfId="14320"/>
    <cellStyle name="输入 2 4 2 2 2 2" xfId="14321"/>
    <cellStyle name="输出 2 2 3 2 2 2 3 2 2" xfId="14322"/>
    <cellStyle name="强调文字颜色 2 2 2 2 4" xfId="14323"/>
    <cellStyle name="标题 1 2 2 2 3 2 2 2 2" xfId="14324"/>
    <cellStyle name="输出 2 3 7" xfId="14325"/>
    <cellStyle name="常规 3 2 2 2 2 3 2" xfId="14326"/>
    <cellStyle name="输出 2 2 2 2 2" xfId="14327"/>
    <cellStyle name="强调文字颜色 3 3" xfId="14328"/>
    <cellStyle name="注释 2 5 4" xfId="14329"/>
    <cellStyle name="输入 2 6 5 2" xfId="14330"/>
    <cellStyle name="计算 2 2 4 4 6 2" xfId="14331"/>
    <cellStyle name="计算 2 2 2 2 4 3 2" xfId="14332"/>
    <cellStyle name="解释性文本 3 2 5 2 2" xfId="14333"/>
    <cellStyle name="标题 4 2 3 2 2 2 2 2 2" xfId="14334"/>
    <cellStyle name="计算 2 2 7 2 7" xfId="14335"/>
    <cellStyle name="汇总 2 4 2 2 2 3" xfId="14336"/>
    <cellStyle name="输出 3 3 6 2 2" xfId="14337"/>
    <cellStyle name="无色 2 2" xfId="14338"/>
    <cellStyle name="强调文字颜色 2 2 3 2 3 2 2" xfId="14339"/>
    <cellStyle name="汇总 2 2 4 12" xfId="14340"/>
    <cellStyle name="汇总 2 3 11" xfId="14341"/>
    <cellStyle name="20% - 强调文字颜色 2 3 3 2 2" xfId="14342"/>
    <cellStyle name="20% - 强调文字颜色 2 2 2 2 5 2 2 2" xfId="14343"/>
    <cellStyle name="40% - 强调文字颜色 4 2 3 4 2" xfId="14344"/>
    <cellStyle name="强调文字颜色 6 2 3 2 3 3 3" xfId="14345"/>
    <cellStyle name="计算 2 3 4 2 4 3" xfId="14346"/>
    <cellStyle name="解释性文本 2 3 2 2" xfId="14347"/>
    <cellStyle name="常规 3 2 4 2 2 2" xfId="14348"/>
    <cellStyle name="强调文字颜色 6 2 2 2 3 3 2" xfId="14349"/>
    <cellStyle name="计算 2 2 4 2 4 2" xfId="14350"/>
    <cellStyle name="20% - 强调文字颜色 4 5 2 2" xfId="14351"/>
    <cellStyle name="汇总 2 7 2 3 4 2" xfId="14352"/>
    <cellStyle name="计算 2 2 2 4 2 2 2" xfId="14353"/>
    <cellStyle name="40% - 强调文字颜色 3 2 3 6 2 2 2" xfId="14354"/>
    <cellStyle name="计算 2 2 6 2 5 2" xfId="14355"/>
    <cellStyle name="汇总 2 2 3 2 9" xfId="14356"/>
    <cellStyle name="输出 2 4 6 2 2" xfId="14357"/>
    <cellStyle name="常规 3 2 2 6" xfId="14358"/>
    <cellStyle name="输出 2 4 3 6" xfId="14359"/>
    <cellStyle name="注释 2 2 7 4 4" xfId="14360"/>
    <cellStyle name="强调文字颜色 1 2 3 3 4" xfId="14361"/>
    <cellStyle name="计算 2 7 5 3 3" xfId="14362"/>
    <cellStyle name="检查单元格 2 3 2 5" xfId="14363"/>
    <cellStyle name="强调文字颜色 4 2 2 2 2 2" xfId="14364"/>
    <cellStyle name="20% - 强调文字颜色 2 2 2 4 3 2" xfId="14365"/>
    <cellStyle name="常规 3 2 9" xfId="14366"/>
    <cellStyle name="60% - 强调文字颜色 3 2 3 6 2 2" xfId="14367"/>
    <cellStyle name="汇总 2 2 5 7" xfId="14368"/>
    <cellStyle name="注释 3 2 2 3 3" xfId="14369"/>
    <cellStyle name="标题 2 2 3 6 2" xfId="14370"/>
    <cellStyle name="40% - 强调文字颜色 5 2 3 2 2 3 2 2 2" xfId="14371"/>
    <cellStyle name="常规 5 11" xfId="14372"/>
    <cellStyle name="汇总 2 2 6 2 2 3 2 2" xfId="14373"/>
    <cellStyle name="汇总 2 2 6 4 2" xfId="14374"/>
    <cellStyle name="40% - 强调文字颜色 5 2 3 2 2 4 2 2" xfId="14375"/>
    <cellStyle name="40% - 强调文字颜色 4 2 2 4 3 3 2" xfId="14376"/>
    <cellStyle name="差 2 2 2 5 2 2" xfId="14377"/>
    <cellStyle name="计算 2 10 2 3 3" xfId="14378"/>
    <cellStyle name="计算 2 3 2 2 5 3" xfId="14379"/>
    <cellStyle name="常规 3 3 2 2 3 3" xfId="14380"/>
    <cellStyle name="汇总 2 2 6 7" xfId="14381"/>
    <cellStyle name="注释 3 2 2 4 3" xfId="14382"/>
    <cellStyle name="60% - 强调文字颜色 2 2 2 2 4 3" xfId="14383"/>
    <cellStyle name="40% - 强调文字颜色 4 2 2 3 2" xfId="14384"/>
    <cellStyle name="输出 2 4 2 9 2" xfId="14385"/>
    <cellStyle name="常规 3 3 2 2 3 3 2" xfId="14386"/>
    <cellStyle name="60% - 强调文字颜色 2 3 3 3" xfId="14387"/>
    <cellStyle name="汇总 2 2 6 7 2" xfId="14388"/>
    <cellStyle name="百分比 2 2 3 2 2 2 3" xfId="14389"/>
    <cellStyle name="常规 3 3 2 2 5 2 2" xfId="14390"/>
    <cellStyle name="注释 3 2 2 6 2 2" xfId="14391"/>
    <cellStyle name="汇总 2 2 8 6 2" xfId="14392"/>
    <cellStyle name="20% - 强调文字颜色 6 4 4" xfId="14393"/>
    <cellStyle name="20% - 强调文字颜色 6 2 3 2 4" xfId="14394"/>
    <cellStyle name="常规 4 4 2 2 5" xfId="14395"/>
    <cellStyle name="警告文本 2 2 3 2 2" xfId="14396"/>
    <cellStyle name="20% - 强调文字颜色 5 2 3 2 3 2" xfId="14397"/>
    <cellStyle name="输出 2 2 4 2 2 8" xfId="14398"/>
    <cellStyle name="60% - 强调文字颜色 6 2 4 4 2 2" xfId="14399"/>
    <cellStyle name="汇总 2 2 2 4 2 3 3" xfId="14400"/>
    <cellStyle name="40% - 强调文字颜色 2 2 7 3 2 2" xfId="14401"/>
    <cellStyle name="强调文字颜色 6 2 4 4 2" xfId="14402"/>
    <cellStyle name="汇总 2 9 2 2" xfId="14403"/>
    <cellStyle name="常规 9 3 5 2" xfId="14404"/>
    <cellStyle name="标题 1 2 4 4" xfId="14405"/>
    <cellStyle name="输入 2 2 2 2 2 2 4" xfId="14406"/>
    <cellStyle name="常规 11 2 2 2 3 2 2" xfId="14407"/>
    <cellStyle name="计算 5 4 3" xfId="14408"/>
    <cellStyle name="汇总 2 6 2 6 3" xfId="14409"/>
    <cellStyle name="汇总 2 2 6 2 2 2 3 2" xfId="14410"/>
    <cellStyle name="强调文字颜色 1 2 2 3 8" xfId="14411"/>
    <cellStyle name="标题 2 2 2 7 2" xfId="14412"/>
    <cellStyle name="输入 3 2 7 2" xfId="14413"/>
    <cellStyle name="常规 6 2 2 3 2 2 2 2" xfId="14414"/>
    <cellStyle name="警告文本 2 2 4 3 2 2" xfId="14415"/>
    <cellStyle name="60% - 强调文字颜色 1 3 5 2 2" xfId="14416"/>
    <cellStyle name="60% - 强调文字颜色 4 2 4 4 3 2" xfId="14417"/>
    <cellStyle name="警告文本 2 3 2 4 3" xfId="14418"/>
    <cellStyle name="20% - 强调文字颜色 3 2 2 3 5" xfId="14419"/>
    <cellStyle name="计算 2 2 3 2 7 3" xfId="14420"/>
    <cellStyle name="计算 2 2 4 2 3 5 3" xfId="14421"/>
    <cellStyle name="汇总 2 5 3 2 4 2 2" xfId="14422"/>
    <cellStyle name="输出 2 6 3 6" xfId="14423"/>
    <cellStyle name="常规 5 12" xfId="14424"/>
    <cellStyle name="计算 2 2 6 4 5 2" xfId="14425"/>
    <cellStyle name="计算 2 2 2 4 4 2 2" xfId="14426"/>
    <cellStyle name="标题 5 2 2 6 2" xfId="14427"/>
    <cellStyle name="链接单元格 2 3 2 2 2 2" xfId="14428"/>
    <cellStyle name="40% - 强调文字颜色 3 2 3 2 2 4 2 2 2" xfId="14429"/>
    <cellStyle name="计算 2 7 16" xfId="14430"/>
    <cellStyle name="汇总 2 2 17" xfId="14431"/>
    <cellStyle name="汇总 2 2 22" xfId="14432"/>
    <cellStyle name="常规 5 2 4 3 2" xfId="14433"/>
    <cellStyle name="汇总 2 3 2 14" xfId="14434"/>
    <cellStyle name="输入 2 3 6 3" xfId="14435"/>
    <cellStyle name="60% - 强调文字颜色 4 4 2 2" xfId="14436"/>
    <cellStyle name="汇总 2 2 7 2 6 2" xfId="14437"/>
    <cellStyle name="超链接 3 6 2 3" xfId="14438"/>
    <cellStyle name="常规 11 8" xfId="14439"/>
    <cellStyle name="标题 3 2 2 5 2" xfId="14440"/>
    <cellStyle name="注释 2 2 4 3 3 3" xfId="14441"/>
    <cellStyle name="解释性文本 2 9" xfId="14442"/>
    <cellStyle name="适中 2 3 4 2 3" xfId="14443"/>
    <cellStyle name="标题 1 3 4 3" xfId="14444"/>
    <cellStyle name="计算 2 9 2 2 3" xfId="14445"/>
    <cellStyle name="计算 2 3 2 8 2" xfId="14446"/>
    <cellStyle name="汇总 5 2 2" xfId="14447"/>
    <cellStyle name="超链接 3 2 3 2" xfId="14448"/>
    <cellStyle name="输入 2 8 2 2 4" xfId="14449"/>
    <cellStyle name="输入 2 2 2 2 3 2 3" xfId="14450"/>
    <cellStyle name="Normal 2 2 2 2" xfId="14451"/>
    <cellStyle name="40% - 强调文字颜色 3 2 2 2 2 2 4 3 2" xfId="14452"/>
    <cellStyle name="注释 2 5 2 3 3" xfId="14453"/>
    <cellStyle name="20% - 强调文字颜色 4 2 4 4" xfId="14454"/>
    <cellStyle name="计算 2 12 2 2" xfId="14455"/>
    <cellStyle name="标题 2 3 2 2 4" xfId="14456"/>
    <cellStyle name="超链接 3 4 4 3" xfId="14457"/>
    <cellStyle name="汇总 2 2 4 5 5 2 2" xfId="14458"/>
    <cellStyle name="输出 2 3 4 4 3" xfId="14459"/>
    <cellStyle name="常规 2 2 2 4 3" xfId="14460"/>
    <cellStyle name="强调文字颜色 6 2 3 2" xfId="14461"/>
    <cellStyle name="解释性文本 2 2 5 2 3" xfId="14462"/>
    <cellStyle name="强调文字颜色 1 2 2 4 2 3" xfId="14463"/>
    <cellStyle name="输入 2 9 4 3" xfId="14464"/>
    <cellStyle name="常规 3 3 3 3 3 2" xfId="14465"/>
    <cellStyle name="超链接 3 5 3 3" xfId="14466"/>
    <cellStyle name="常规 12 2 2 2 5" xfId="14467"/>
    <cellStyle name="常规 2 3 2 5 2" xfId="14468"/>
    <cellStyle name="检查单元格 2 2 3 3 3" xfId="14469"/>
    <cellStyle name="超链接 3 3 2 4 2" xfId="14470"/>
    <cellStyle name="标题 3 2 3 3 2 2 2" xfId="14471"/>
    <cellStyle name="常规 3 3 3 4 2 2" xfId="14472"/>
    <cellStyle name="常规 3 3 3 4 3" xfId="14473"/>
    <cellStyle name="常规 3 3 3 4 3 2" xfId="14474"/>
    <cellStyle name="计算 2 5 2 14" xfId="14475"/>
    <cellStyle name="适中 2 2 2 2 3 3 3" xfId="14476"/>
    <cellStyle name="输入 2 6" xfId="14477"/>
    <cellStyle name="强调文字颜色 2 2 2 2 3 2 2" xfId="14478"/>
    <cellStyle name="常规 2 2 2 6" xfId="14479"/>
    <cellStyle name="输出 2 3 6 2 2" xfId="14480"/>
    <cellStyle name="计算 2 11 2" xfId="14481"/>
    <cellStyle name="标题 3 3 2 3 2 2 2" xfId="14482"/>
    <cellStyle name="汇总 2 2 10 4 2" xfId="14483"/>
    <cellStyle name="常规 4 2 3 2 4" xfId="14484"/>
    <cellStyle name="20% - 强调文字颜色 1 2 4 3 2" xfId="14485"/>
    <cellStyle name="常规 3 3 7" xfId="14486"/>
    <cellStyle name="输入 2 4 4 2 3 2" xfId="14487"/>
    <cellStyle name="60% - 强调文字颜色 5 2 2 2 2 3 2 2" xfId="14488"/>
    <cellStyle name="检查单元格 2 4 2 2 3" xfId="14489"/>
    <cellStyle name="20% - 强调文字颜色 3 2 3 3 4" xfId="14490"/>
    <cellStyle name="输出 2 12 2" xfId="14491"/>
    <cellStyle name="计算 2 2 2 2 2 2 2 3 2" xfId="14492"/>
    <cellStyle name="强调文字颜色 2 2 2 2 5 3" xfId="14493"/>
    <cellStyle name="60% - 强调文字颜色 2 2 2 2 5" xfId="14494"/>
    <cellStyle name="常规 11 4 4 2 2" xfId="14495"/>
    <cellStyle name="输出 2 3 8 3" xfId="14496"/>
    <cellStyle name="常规 3 3 7 2" xfId="14497"/>
    <cellStyle name="常规 3 3 7 2 2" xfId="14498"/>
    <cellStyle name="强调文字颜色 1 2 4 3 3" xfId="14499"/>
    <cellStyle name="计算 2 8 3 2 2 2" xfId="14500"/>
    <cellStyle name="适中 2 2 5 2 2 2" xfId="14501"/>
    <cellStyle name="常规 3 3 7 2 3" xfId="14502"/>
    <cellStyle name="计算 2 4 3 3 3 2" xfId="14503"/>
    <cellStyle name="20% - 强调文字颜色 6 2 3 2 2 3 2 2 2" xfId="14504"/>
    <cellStyle name="计算 2 2 4 5 2 4 3" xfId="14505"/>
    <cellStyle name="计算 2 2 6 7" xfId="14506"/>
    <cellStyle name="常规 3 3 7 2 3 3" xfId="14507"/>
    <cellStyle name="60% - 强调文字颜色 4 3 2" xfId="14508"/>
    <cellStyle name="注释 2 6 10 2" xfId="14509"/>
    <cellStyle name="60% - 强调文字颜色 6 2 2 2 2 2 4" xfId="14510"/>
    <cellStyle name="常规 5 2 3 3" xfId="14511"/>
    <cellStyle name="汇总 2 8 7 2" xfId="14512"/>
    <cellStyle name="汇总 2 7 12" xfId="14513"/>
    <cellStyle name="常规 3 3 7 4" xfId="14514"/>
    <cellStyle name="汇总 2 2 4 3 2 2 2" xfId="14515"/>
    <cellStyle name="20% - 强调文字颜色 2 2 2 4 4 2" xfId="14516"/>
    <cellStyle name="常规 3 3 9" xfId="14517"/>
    <cellStyle name="60% - 强调文字颜色 2 2 6 3" xfId="14518"/>
    <cellStyle name="注释 2 2 9 2 2 2" xfId="14519"/>
    <cellStyle name="输入 2 2 4 2 2 3 2 2 2" xfId="14520"/>
    <cellStyle name="输出 2 2 3 9" xfId="14521"/>
    <cellStyle name="常规 3 5 2 2 2" xfId="14522"/>
    <cellStyle name="常规 5 4 5 2" xfId="14523"/>
    <cellStyle name="计算 2 5 2 2 4" xfId="14524"/>
    <cellStyle name="20% - 强调文字颜色 4 2 3 2 2 3 3 2" xfId="14525"/>
    <cellStyle name="检查单元格 2 3 2 3 3 3" xfId="14526"/>
    <cellStyle name="标题 3 2 2 4 5" xfId="14527"/>
    <cellStyle name="适中 2 9 2 2" xfId="14528"/>
    <cellStyle name="60% - 强调文字颜色 1 2 3" xfId="14529"/>
    <cellStyle name="强调文字颜色 4 2 2 2 2 5 2" xfId="14530"/>
    <cellStyle name="40% - 强调文字颜色 2 2 3 2 3 2" xfId="14531"/>
    <cellStyle name="计算 2 7 2 4" xfId="14532"/>
    <cellStyle name="注释 2 4 4 4 2" xfId="14533"/>
    <cellStyle name="60% - 强调文字颜色 5 2 2 2 2 6" xfId="14534"/>
    <cellStyle name="计算 2 2 7 11" xfId="14535"/>
    <cellStyle name="输入 2 4 2 2 2 5" xfId="14536"/>
    <cellStyle name="常规 2 6 2 2" xfId="14537"/>
    <cellStyle name="标题 2 4 4 2 3" xfId="14538"/>
    <cellStyle name="强调文字颜色 3 2 4 3 4" xfId="14539"/>
    <cellStyle name="汇总 2 2 5 3 3 5" xfId="14540"/>
    <cellStyle name="检查单元格 3 4" xfId="14541"/>
    <cellStyle name="汇总 2 2 5 2 5" xfId="14542"/>
    <cellStyle name="60% - 强调文字颜色 1 2 2 3 3" xfId="14543"/>
    <cellStyle name="注释 2 2 3 2 4 2 2" xfId="14544"/>
    <cellStyle name="标题 5 2 11" xfId="14545"/>
    <cellStyle name="强调文字颜色 6 2" xfId="14546"/>
    <cellStyle name="20% - 强调文字颜色 2 2 3 3 2 2 2 2 2" xfId="14547"/>
    <cellStyle name="常规 3 5 2 2 2 2" xfId="14548"/>
    <cellStyle name="链接单元格 2 4 5" xfId="14549"/>
    <cellStyle name="计算 2 5 2 2 4 2" xfId="14550"/>
    <cellStyle name="40% - 强调文字颜色 4 2 3 5 2 2" xfId="14551"/>
    <cellStyle name="常规 10 2 2 2 3" xfId="14552"/>
    <cellStyle name="超链接 3 8" xfId="14553"/>
    <cellStyle name="计算 3 3 2 5 2" xfId="14554"/>
    <cellStyle name="40% - 强调文字颜色 5 2 3 4 3 2 2" xfId="14555"/>
    <cellStyle name="20% - 强调文字颜色 3 5 2 2 2" xfId="14556"/>
    <cellStyle name="计算 2 2 2 3 2 2 2 2" xfId="14557"/>
    <cellStyle name="计算 2 2 5 2 5 2 2" xfId="14558"/>
    <cellStyle name="标题 4 2 4 5 2 2" xfId="14559"/>
    <cellStyle name="计算 2 2 6 3 2 2 2" xfId="14560"/>
    <cellStyle name="标题 3 2 4 4 2 3" xfId="14561"/>
    <cellStyle name="注释 2 2 7 6 3" xfId="14562"/>
    <cellStyle name="输出 2 4 5 5" xfId="14563"/>
    <cellStyle name="解释性文本 4 3" xfId="14564"/>
    <cellStyle name="汇总 2 2 2 2 3 4" xfId="14565"/>
    <cellStyle name="汇总 2 2 2 2 3 3 2 2" xfId="14566"/>
    <cellStyle name="标题 5 4 10" xfId="14567"/>
    <cellStyle name="解释性文本 4 2 2 2" xfId="14568"/>
    <cellStyle name="链接单元格 2 8" xfId="14569"/>
    <cellStyle name="汇总 2 5 2 7 2 2" xfId="14570"/>
    <cellStyle name="输出 5 7" xfId="14571"/>
    <cellStyle name="常规 5 2 3 2 2" xfId="14572"/>
    <cellStyle name="输入 2 2 5 3" xfId="14573"/>
    <cellStyle name="20% - 强调文字颜色 1 2 3 5 2" xfId="14574"/>
    <cellStyle name="汇总 4 2 6" xfId="14575"/>
    <cellStyle name="汇总 2 3 2 2 2 2 5" xfId="14576"/>
    <cellStyle name="差 2 7 2 2" xfId="14577"/>
    <cellStyle name="常规 3 6 3" xfId="14578"/>
    <cellStyle name="注释 2 2 12 3" xfId="14579"/>
    <cellStyle name="常规 2 2 2 3 2 2 2" xfId="14580"/>
    <cellStyle name="强调文字颜色 2 2 2 2 2 7" xfId="14581"/>
    <cellStyle name="60% - 强调文字颜色 4 2 10" xfId="14582"/>
    <cellStyle name="差 2 2 7" xfId="14583"/>
    <cellStyle name="常规 2 2 3 3 2" xfId="14584"/>
    <cellStyle name="常规 10 2 2 2 3 3" xfId="14585"/>
    <cellStyle name="标题 2 2 4 4 4" xfId="14586"/>
    <cellStyle name="60% - 强调文字颜色 3 2 2 4 3 3" xfId="14587"/>
    <cellStyle name="强调文字颜色 1 2 2 3 4 3 2" xfId="14588"/>
    <cellStyle name="汇总 2 2 4 4 3 3 3" xfId="14589"/>
    <cellStyle name="输入 2 2 2 12" xfId="14590"/>
    <cellStyle name="强调文字颜色 5 2 2 5 2" xfId="14591"/>
    <cellStyle name="60% - 强调文字颜色 2 4 2" xfId="14592"/>
    <cellStyle name="标题 3 4 2 5" xfId="14593"/>
    <cellStyle name="计算 2 2 4 2 2 2 8" xfId="14594"/>
    <cellStyle name="链接单元格 2 2 2 2 3 3 2 2" xfId="14595"/>
    <cellStyle name="强调文字颜色 2 2 2 5 2 2 2" xfId="14596"/>
    <cellStyle name="标题 1 2 2 2 2 2 3 3" xfId="14597"/>
    <cellStyle name="输出 2 2 5 8 3" xfId="14598"/>
    <cellStyle name="20% - 强调文字颜色 5 2 2 9 2" xfId="14599"/>
    <cellStyle name="输出 2 6 5 2 2" xfId="14600"/>
    <cellStyle name="强调文字颜色 4 2 2 2 2" xfId="14601"/>
    <cellStyle name="标题 2 3 2 4" xfId="14602"/>
    <cellStyle name="计算 2 2 5 2 3 4 3" xfId="14603"/>
    <cellStyle name="百分比 2 2 4 3 2" xfId="14604"/>
    <cellStyle name="标题 4 2 2 2 6 2 2 2" xfId="14605"/>
    <cellStyle name="常规 3 2 2 2 3 2" xfId="14606"/>
    <cellStyle name="超链接 2 3 5 2" xfId="14607"/>
    <cellStyle name="计算 2 2 5 2 2 3 2 3" xfId="14608"/>
    <cellStyle name="汇总 2 2 2 2 2 2 5" xfId="14609"/>
    <cellStyle name="汇总 2 2 2 10 2" xfId="14610"/>
    <cellStyle name="输入 5 5" xfId="14611"/>
    <cellStyle name="20% - 强调文字颜色 3 2 2 4 2 2 2" xfId="14612"/>
    <cellStyle name="60% - 强调文字颜色 4 2 2 2 6" xfId="14613"/>
    <cellStyle name="常规 3 6 3 2" xfId="14614"/>
    <cellStyle name="差 2 7 2 2 2" xfId="14615"/>
    <cellStyle name="输出 2 2 11 3" xfId="14616"/>
    <cellStyle name="强调文字颜色 6 2 2 2 2 4 2 2 2" xfId="14617"/>
    <cellStyle name="常规 3 7" xfId="14618"/>
    <cellStyle name="标题 2 2 2 5 2 2" xfId="14619"/>
    <cellStyle name="警告文本 2 3 2 5 3" xfId="14620"/>
    <cellStyle name="20% - 强调文字颜色 3 2 2 4 5" xfId="14621"/>
    <cellStyle name="常规 3 7 2" xfId="14622"/>
    <cellStyle name="标题 2 2 2 5 2 2 2" xfId="14623"/>
    <cellStyle name="常规 7 2 3 3" xfId="14624"/>
    <cellStyle name="40% - 强调文字颜色 2 2 4 2 2 2 2" xfId="14625"/>
    <cellStyle name="超链接 3 3 3 3 3" xfId="14626"/>
    <cellStyle name="标题 2 2 2 2 2 3 2 2 3" xfId="14627"/>
    <cellStyle name="输出 2 2 4 6 2 2" xfId="14628"/>
    <cellStyle name="输出 2 4 2 3 7" xfId="14629"/>
    <cellStyle name="超链接 2 4 3" xfId="14630"/>
    <cellStyle name="检查单元格 2 2 6 3 2 2" xfId="14631"/>
    <cellStyle name="计算 2 2 5 2 2 2 3 3" xfId="14632"/>
    <cellStyle name="解释性文本 2 2 2 2 6 3" xfId="14633"/>
    <cellStyle name="解释性文本 2 2 5" xfId="14634"/>
    <cellStyle name="输出 2 7 4 2 2" xfId="14635"/>
    <cellStyle name="汇总 4 2 3 4 2" xfId="14636"/>
    <cellStyle name="20% - 强调文字颜色 2 2 5 2 2 2" xfId="14637"/>
    <cellStyle name="输出 2 2 2 2 2 2" xfId="14638"/>
    <cellStyle name="强调文字颜色 3 3 2" xfId="14639"/>
    <cellStyle name="汇总 2 2 3 3 5 3" xfId="14640"/>
    <cellStyle name="常规 7 2 3 3 2" xfId="14641"/>
    <cellStyle name="20% - 强调文字颜色 3 2 2 4 5 2 2" xfId="14642"/>
    <cellStyle name="汇总 2 3 4 2 6" xfId="14643"/>
    <cellStyle name="标题 1 2 2 5 2" xfId="14644"/>
    <cellStyle name="常规 9 3 3 3 2" xfId="14645"/>
    <cellStyle name="差 6 2 2" xfId="14646"/>
    <cellStyle name="输入 2 2 4 2 3 8" xfId="14647"/>
    <cellStyle name="标题 3 2 5" xfId="14648"/>
    <cellStyle name="适中 2 5 3 3" xfId="14649"/>
    <cellStyle name="输入 2 2 5 4 2 3" xfId="14650"/>
    <cellStyle name="常规 5 2 4 5 2 2" xfId="14651"/>
    <cellStyle name="汇总 2 9" xfId="14652"/>
    <cellStyle name="汇总 2 4 2 2 2 4 2 2" xfId="14653"/>
    <cellStyle name="40% - 强调文字颜色 2 2 7 3" xfId="14654"/>
    <cellStyle name="常规 5 7 2 2" xfId="14655"/>
    <cellStyle name="汇总 2 2 5 3 5 3" xfId="14656"/>
    <cellStyle name="输出 2 2 4 2 2 2" xfId="14657"/>
    <cellStyle name="40% - 强调文字颜色 5 2 5 5" xfId="14658"/>
    <cellStyle name="注释 2 2 2 4 2 4" xfId="14659"/>
    <cellStyle name="标题 1 2 2 2 3 3" xfId="14660"/>
    <cellStyle name="20% - 强调文字颜色 2 2 7 2 2 2" xfId="14661"/>
    <cellStyle name="20% - 强调文字颜色 4 2 3 6 2 2 2" xfId="14662"/>
    <cellStyle name="汇总 4 2 7 2" xfId="14663"/>
    <cellStyle name="常规 9 2 2 2 3 2" xfId="14664"/>
    <cellStyle name="40% - 强调文字颜色 1 3 2 2 3 2" xfId="14665"/>
    <cellStyle name="输出 2 2 2 2 5" xfId="14666"/>
    <cellStyle name="强调文字颜色 3 6" xfId="14667"/>
    <cellStyle name="20% - 强调文字颜色 1 2 2 2 2 2 3 3 2" xfId="14668"/>
    <cellStyle name="汇总 2 3 4 7" xfId="14669"/>
    <cellStyle name="注释 3 2 3 2 3" xfId="14670"/>
    <cellStyle name="计算 2 5 2 5 3 2 2" xfId="14671"/>
    <cellStyle name="汇总 2 3 2 4 2 2 2" xfId="14672"/>
    <cellStyle name="计算 2 2 4 2 3 2 4 2 2" xfId="14673"/>
    <cellStyle name="输出 2 2 3 4 2 5" xfId="14674"/>
    <cellStyle name="强调文字颜色 6 2 3 2 2 4" xfId="14675"/>
    <cellStyle name="注释 2 3 2 2 7" xfId="14676"/>
    <cellStyle name="计算 2 3 2 2 2 5 3" xfId="14677"/>
    <cellStyle name="汇总 2 2 3 9 3" xfId="14678"/>
    <cellStyle name="输出 2 6 2 4 2" xfId="14679"/>
    <cellStyle name="注释 2 2 9 3 2 2" xfId="14680"/>
    <cellStyle name="汇总 3 3 3 2" xfId="14681"/>
    <cellStyle name="常规 6 2 2 3 3" xfId="14682"/>
    <cellStyle name="输出 2 2 5 4 2 5" xfId="14683"/>
    <cellStyle name="超链接 3 5 2" xfId="14684"/>
    <cellStyle name="计算 2 2 8 8 2 2" xfId="14685"/>
    <cellStyle name="输出 2 2 3 5 3 2" xfId="14686"/>
    <cellStyle name="计算 2 10 7" xfId="14687"/>
    <cellStyle name="标题 3 4 2 3 2 2" xfId="14688"/>
    <cellStyle name="强调文字颜色 4 2 2 4 3 2" xfId="14689"/>
    <cellStyle name="汇总 2 2 3 3 2 2 3" xfId="14690"/>
    <cellStyle name="输出 2 2 7 4" xfId="14691"/>
    <cellStyle name="注释 2 2 5 8 2" xfId="14692"/>
    <cellStyle name="警告文本 5 3" xfId="14693"/>
    <cellStyle name="20% - 强调文字颜色 5 2 2 4 3 3 2" xfId="14694"/>
    <cellStyle name="计算 2 8 2 3 2 2" xfId="14695"/>
    <cellStyle name="适中 2 2 4 3 2 2" xfId="14696"/>
    <cellStyle name="警告文本 2 5 2 2" xfId="14697"/>
    <cellStyle name="40% - 强调文字颜色 6 2 3 2 2 4 3 2" xfId="14698"/>
    <cellStyle name="输入 2 3 2 8" xfId="14699"/>
    <cellStyle name="计算 2 6 8 2 2" xfId="14700"/>
    <cellStyle name="注释 2 2 5 3" xfId="14701"/>
    <cellStyle name="输入 2 6 2 3 3" xfId="14702"/>
    <cellStyle name="60% - 强调文字颜色 5 3 2 2 2 2" xfId="14703"/>
    <cellStyle name="输入 2 2 5 2 3 2 2" xfId="14704"/>
    <cellStyle name="强调文字颜色 4 3 3 4" xfId="14705"/>
    <cellStyle name="警告文本 2 2 2 2 2 5" xfId="14706"/>
    <cellStyle name="60% - 强调文字颜色 6 3 2 3 2 2" xfId="14707"/>
    <cellStyle name="输出 2 2 5 8 2 2" xfId="14708"/>
    <cellStyle name="输出 2 2 6 3 2 2" xfId="14709"/>
    <cellStyle name="40% - 强调文字颜色 3 2" xfId="14710"/>
    <cellStyle name="汇总 2 2 15 2" xfId="14711"/>
    <cellStyle name="标题 3 4 2 4" xfId="14712"/>
    <cellStyle name="输入 3 15" xfId="14713"/>
    <cellStyle name="计算 2 2 4 2 2 2 7" xfId="14714"/>
    <cellStyle name="计算 2 2 8 4 4" xfId="14715"/>
    <cellStyle name="计算 2 5 2 3 2 5 2" xfId="14716"/>
    <cellStyle name="强调文字颜色 3 2 3 2 3 3 2 2" xfId="14717"/>
    <cellStyle name="计算 2 2 4 2 2 2" xfId="14718"/>
    <cellStyle name="计算 2 4 4 2 5" xfId="14719"/>
    <cellStyle name="20% - 强调文字颜色 3 6 2" xfId="14720"/>
    <cellStyle name="汇总 2 14 2" xfId="14721"/>
    <cellStyle name="计算 2 8 4 3 2 2" xfId="14722"/>
    <cellStyle name="适中 2 2 6 3 2 2" xfId="14723"/>
    <cellStyle name="40% - 强调文字颜色 4 3 9" xfId="14724"/>
    <cellStyle name="常规 2 5" xfId="14725"/>
    <cellStyle name="常规 3 3 5 2 2" xfId="14726"/>
    <cellStyle name="强调文字颜色 4 2 2 3 8" xfId="14727"/>
    <cellStyle name="强调文字颜色 6 2 6 3 3" xfId="14728"/>
    <cellStyle name="标题 5 4 6 2 2" xfId="14729"/>
    <cellStyle name="计算 2 3 3 3 3 3" xfId="14730"/>
    <cellStyle name="输入 2 9 2 4" xfId="14731"/>
    <cellStyle name="强调文字颜色 6 2 5 3 2 2" xfId="14732"/>
    <cellStyle name="常规 8 2 2 3 3" xfId="14733"/>
    <cellStyle name="20% - 强调文字颜色 3 2 3 2 3 2 2 2 2" xfId="14734"/>
    <cellStyle name="常规 6 3 2 3 2" xfId="14735"/>
    <cellStyle name="计算 2 5 2 2 2 2 5 2" xfId="14736"/>
    <cellStyle name="标题 1 2 2 2 4 4" xfId="14737"/>
    <cellStyle name="超链接 3 3 2 3 2 3" xfId="14738"/>
    <cellStyle name="汇总 2 2 4 2 2 2 3 2" xfId="14739"/>
    <cellStyle name="输出 2 2 5 6" xfId="14740"/>
    <cellStyle name="输入 4 2 6 2" xfId="14741"/>
    <cellStyle name="计算 3" xfId="14742"/>
    <cellStyle name="输入 2 2 6 4 2" xfId="14743"/>
    <cellStyle name="注释 2 2 3 2 3 3 3" xfId="14744"/>
    <cellStyle name="60% - 强调文字颜色 4 3 2 3 2" xfId="14745"/>
    <cellStyle name="输入 2 2 4 2 3 3" xfId="14746"/>
    <cellStyle name="常规 5 2 3 3 3 2" xfId="14747"/>
    <cellStyle name="汇总 2 2 6 2 2 4 2" xfId="14748"/>
    <cellStyle name="计算 2 4 2 4 2 3" xfId="14749"/>
    <cellStyle name="60% - 强调文字颜色 5 5 2 2 2" xfId="14750"/>
    <cellStyle name="标题 2 2 4 6" xfId="14751"/>
    <cellStyle name="好 2 3 4" xfId="14752"/>
    <cellStyle name="输出 2 2 3 2 14" xfId="14753"/>
    <cellStyle name="强调文字颜色 6 2 3 3 7" xfId="14754"/>
    <cellStyle name="警告文本 4" xfId="14755"/>
    <cellStyle name="超链接 3 2 4 2 2 2 2" xfId="14756"/>
    <cellStyle name="20% - 强调文字颜色 5 3 8" xfId="14757"/>
    <cellStyle name="注释 2 4 3 4 2 2" xfId="14758"/>
    <cellStyle name="计算 2 6 2 4 2" xfId="14759"/>
    <cellStyle name="好 2 2 3 4 3" xfId="14760"/>
    <cellStyle name="强调文字颜色 5 2 2 2 2 2 2 3" xfId="14761"/>
    <cellStyle name="60% - 强调文字颜色 5 2 2 2 4" xfId="14762"/>
    <cellStyle name="超链接 2 2 2 2 3 3" xfId="14763"/>
    <cellStyle name="注释 2 2 6 2 6" xfId="14764"/>
    <cellStyle name="链接单元格 2 2 3 3 4" xfId="14765"/>
    <cellStyle name="标题 2 2 2 6 3" xfId="14766"/>
    <cellStyle name="60% - 强调文字颜色 3 2 2 2 5 2" xfId="14767"/>
    <cellStyle name="汇总 2 2 6 2 2 2 2 3" xfId="14768"/>
    <cellStyle name="输入 2 4 2 3 2 3" xfId="14769"/>
    <cellStyle name="计算 2 9 3" xfId="14770"/>
    <cellStyle name="输出 4 3 4" xfId="14771"/>
    <cellStyle name="适中 2 3 5" xfId="14772"/>
    <cellStyle name="计算 2 5 2 3 4 2 2" xfId="14773"/>
    <cellStyle name="20% - 强调文字颜色 4 2 2 2 2 4 2 2" xfId="14774"/>
    <cellStyle name="常规 4 2 2 2 2" xfId="14775"/>
    <cellStyle name="输入 3 8" xfId="14776"/>
    <cellStyle name="计算 2 6 14" xfId="14777"/>
    <cellStyle name="计算 3 2 2 2 4" xfId="14778"/>
    <cellStyle name="40% - 强调文字颜色 6 2 3 3" xfId="14779"/>
    <cellStyle name="链接单元格 2 2 2 6 2" xfId="14780"/>
    <cellStyle name="输入 3 2 9" xfId="14781"/>
    <cellStyle name="检查单元格 2 3" xfId="14782"/>
    <cellStyle name="40% - 强调文字颜色 3 2 2 2 2 2 4 2 2 2" xfId="14783"/>
    <cellStyle name="计算 3 2 2 2 5" xfId="14784"/>
    <cellStyle name="输入 3 9" xfId="14785"/>
    <cellStyle name="汇总 2 2 4 2 11" xfId="14786"/>
    <cellStyle name="链接单元格 2 3 3" xfId="14787"/>
    <cellStyle name="超链接 2 2 3 2" xfId="14788"/>
    <cellStyle name="解释性文本 2 2 2 2 3 3" xfId="14789"/>
    <cellStyle name="汇总 2 5 2 2 2 4" xfId="14790"/>
    <cellStyle name="计算 2 10 2 2 2" xfId="14791"/>
    <cellStyle name="超链接 3 2 4 3 2" xfId="14792"/>
    <cellStyle name="常规 6 3 2 2 2 3 2" xfId="14793"/>
    <cellStyle name="强调文字颜色 2 2 3 3 5" xfId="14794"/>
    <cellStyle name="输入 2 5 3 4 3" xfId="14795"/>
    <cellStyle name="好 2 3 2 5 2 2" xfId="14796"/>
    <cellStyle name="20% - 强调文字颜色 2 4 5" xfId="14797"/>
    <cellStyle name="计算 2 2 3 2 3 4" xfId="14798"/>
    <cellStyle name="计算 2 10 2 2 2 2" xfId="14799"/>
    <cellStyle name="超链接 3 2 4 3 2 2" xfId="14800"/>
    <cellStyle name="常规 4 2 2 2 3 3 2" xfId="14801"/>
    <cellStyle name="标题 1 2 2 2 6 3" xfId="14802"/>
    <cellStyle name="检查单元格 2 2 2 4" xfId="14803"/>
    <cellStyle name="计算 2 7 4 3 2" xfId="14804"/>
    <cellStyle name="输入 2 8 5" xfId="14805"/>
    <cellStyle name="强调文字颜色 1 2 2 3 3" xfId="14806"/>
    <cellStyle name="输入 2 7 3 2 2 2" xfId="14807"/>
    <cellStyle name="注释 3 3 4 2 2" xfId="14808"/>
    <cellStyle name="强调文字颜色 3 2 4 5 2" xfId="14809"/>
    <cellStyle name="标题 1 2 2 3 5 2 2" xfId="14810"/>
    <cellStyle name="强调文字颜色 1 2 3 2 2 2" xfId="14811"/>
    <cellStyle name="40% - 强调文字颜色 1 2 6 2" xfId="14812"/>
    <cellStyle name="超链接 3 4 4" xfId="14813"/>
    <cellStyle name="计算 2 3 4 9" xfId="14814"/>
    <cellStyle name="汇总 7 3" xfId="14815"/>
    <cellStyle name="标题 6 5 2 2" xfId="14816"/>
    <cellStyle name="20% - 强调文字颜色 4 2 3 2 2 4 2" xfId="14817"/>
    <cellStyle name="标题 5 2 3 4 2 2" xfId="14818"/>
    <cellStyle name="检查单元格 2 4 6 3" xfId="14819"/>
    <cellStyle name="常规 8 2 2 4 3 2" xfId="14820"/>
    <cellStyle name="输入 2 5 3 3" xfId="14821"/>
    <cellStyle name="计算 2 5 5 2 3 2" xfId="14822"/>
    <cellStyle name="40% - 强调文字颜色 5 2 2 2 2 2 3 3" xfId="14823"/>
    <cellStyle name="60% - 强调文字颜色 1 2 2 4 3 2 2 2" xfId="14824"/>
    <cellStyle name="计算 2 4 6 2" xfId="14825"/>
    <cellStyle name="汇总 2 4 3 5 2 2" xfId="14826"/>
    <cellStyle name="常规 8 2 2 5" xfId="14827"/>
    <cellStyle name="计算 2 5 5 3" xfId="14828"/>
    <cellStyle name="汇总 2 6 2 2 3" xfId="14829"/>
    <cellStyle name="差 2 6 3 2 2" xfId="14830"/>
    <cellStyle name="60% - 强调文字颜色 1 2 2 4 2" xfId="14831"/>
    <cellStyle name="20% - 强调文字颜色 4 2 3 2 2 4 3" xfId="14832"/>
    <cellStyle name="标题 5 2 3 4 2 3" xfId="14833"/>
    <cellStyle name="检查单元格 3 4 3" xfId="14834"/>
    <cellStyle name="适中 2 6 2 2 2" xfId="14835"/>
    <cellStyle name="强调文字颜色 6 2 2 4 3 4" xfId="14836"/>
    <cellStyle name="计算 2 2 2 4 2 2" xfId="14837"/>
    <cellStyle name="计算 2 2 6 2 5" xfId="14838"/>
    <cellStyle name="汇总 2 7 2 3 4" xfId="14839"/>
    <cellStyle name="标题 2 2 2 2 2 6 2" xfId="14840"/>
    <cellStyle name="强调文字颜色 5 2 5 2 2" xfId="14841"/>
    <cellStyle name="汇总 4 5 2" xfId="14842"/>
    <cellStyle name="60% - 强调文字颜色 3 2 2 5 3 2 2" xfId="14843"/>
    <cellStyle name="注释 2 5 7 2" xfId="14844"/>
    <cellStyle name="强调文字颜色 4 2 2 3 5 3" xfId="14845"/>
    <cellStyle name="标题 2 3 2 2 3 2 2 2" xfId="14846"/>
    <cellStyle name="链接单元格 2 7 2 3" xfId="14847"/>
    <cellStyle name="常规 2 2 3 2 2 2" xfId="14848"/>
    <cellStyle name="标题 3 2 10" xfId="14849"/>
    <cellStyle name="超链接 3 2 3 4 2" xfId="14850"/>
    <cellStyle name="20% - 强调文字颜色 3 2 2 2 2 3 2 2 2" xfId="14851"/>
    <cellStyle name="常规 6 5" xfId="14852"/>
    <cellStyle name="40% - 强调文字颜色 5 3 8" xfId="14853"/>
    <cellStyle name="常规 4 2 2 3" xfId="14854"/>
    <cellStyle name="20% - 强调文字颜色 4 2 2 2 2 4 3" xfId="14855"/>
    <cellStyle name="计算 3 2 2 3 4" xfId="14856"/>
    <cellStyle name="输入 4 8" xfId="14857"/>
    <cellStyle name="60% - 强调文字颜色 5 2 3 2 4 3 2" xfId="14858"/>
    <cellStyle name="常规 12 3 2 4" xfId="14859"/>
    <cellStyle name="差 2 2 3 4 2 3" xfId="14860"/>
    <cellStyle name="汇总 2 2 2 4 3 3" xfId="14861"/>
    <cellStyle name="强调文字颜色 4 2 3 5 3" xfId="14862"/>
    <cellStyle name="强调文字颜色 4 2 2 4" xfId="14863"/>
    <cellStyle name="输出 2 6 5 4" xfId="14864"/>
    <cellStyle name="好 3 2 2 3 2 3" xfId="14865"/>
    <cellStyle name="汇总 2 2 5 2 3 4 2" xfId="14866"/>
    <cellStyle name="标题 2 4 3 2 2 2" xfId="14867"/>
    <cellStyle name="常规 5 4 2 3 4" xfId="14868"/>
    <cellStyle name="强调文字颜色 3 2 3 3 3 2" xfId="14869"/>
    <cellStyle name="强调文字颜色 4 2 2 2 5 2" xfId="14870"/>
    <cellStyle name="链接单元格 2 6 2 2" xfId="14871"/>
    <cellStyle name="超链接 2 6 3 2" xfId="14872"/>
    <cellStyle name="计算 2 2 2 2" xfId="14873"/>
    <cellStyle name="标题 5 2 6" xfId="14874"/>
    <cellStyle name="强调文字颜色 4 2 2 7 2" xfId="14875"/>
    <cellStyle name="60% - 强调文字颜色 5 2 5" xfId="14876"/>
    <cellStyle name="输出 2 2 5 3 3" xfId="14877"/>
    <cellStyle name="20% - 强调文字颜色 5 2 2 4 2" xfId="14878"/>
    <cellStyle name="输出 2 6 7 2 2" xfId="14879"/>
    <cellStyle name="常规 5 3 2 6" xfId="14880"/>
    <cellStyle name="计算 2 2 13" xfId="14881"/>
    <cellStyle name="常规 9 2 3 3 2" xfId="14882"/>
    <cellStyle name="汇总 2 2 4 2 6" xfId="14883"/>
    <cellStyle name="标题 4 2 2 3 3 2 2 2" xfId="14884"/>
    <cellStyle name="20% - 强调文字颜色 5 2 4 2 2 2 2" xfId="14885"/>
    <cellStyle name="强调文字颜色 1 2 4 5 2" xfId="14886"/>
    <cellStyle name="注释 4 2 3 2" xfId="14887"/>
    <cellStyle name="标题 5 7 2 3" xfId="14888"/>
    <cellStyle name="输入 2 2 3 3 4" xfId="14889"/>
    <cellStyle name="计算 2 2 9 2 3" xfId="14890"/>
    <cellStyle name="汇总 2 7 5 3 2" xfId="14891"/>
    <cellStyle name="40% - 强调文字颜色 3 5 2" xfId="14892"/>
    <cellStyle name="常规 11 2 2 2 5" xfId="14893"/>
    <cellStyle name="汇总 2 2 8 3 4 3" xfId="14894"/>
    <cellStyle name="汇总 2 5 2 3 7" xfId="14895"/>
    <cellStyle name="标题 4 2 5 3 3" xfId="14896"/>
    <cellStyle name="注释 2 2 3 2 2 2 4 2" xfId="14897"/>
    <cellStyle name="常规 10 4 2 3 2 2" xfId="14898"/>
    <cellStyle name="注释 2 2 5 2 2 3" xfId="14899"/>
    <cellStyle name="计算 2 2 2 9" xfId="14900"/>
    <cellStyle name="常规 12 3 3 4" xfId="14901"/>
    <cellStyle name="强调文字颜色 6 2 3 2 4 2 2 2" xfId="14902"/>
    <cellStyle name="标题 3 5" xfId="14903"/>
    <cellStyle name="计算 2 11 2 2 2" xfId="14904"/>
    <cellStyle name="40% - 强调文字颜色 1 2 5 2 3 2" xfId="14905"/>
    <cellStyle name="超链接 3 3 4 3 2" xfId="14906"/>
    <cellStyle name="40% - 强调文字颜色 3 2 2 2 2 2 5 2 2" xfId="14907"/>
    <cellStyle name="注释 2 5 3 2 3" xfId="14908"/>
    <cellStyle name="常规 4 3 2 3 5" xfId="14909"/>
    <cellStyle name="计算 2 2 4 2 3 2 2 2" xfId="14910"/>
    <cellStyle name="标题 2 3 2 2 2 3" xfId="14911"/>
    <cellStyle name="汇总 2 2 4 5 2 4 2 2" xfId="14912"/>
    <cellStyle name="汇总 2 5 2 2 2 5" xfId="14913"/>
    <cellStyle name="计算 2 2 5 4 2 3 2" xfId="14914"/>
    <cellStyle name="超链接 2 2 3 3" xfId="14915"/>
    <cellStyle name="20% - 强调文字颜色 5 2 3 2 2 2 3 2" xfId="14916"/>
    <cellStyle name="解释性文本 2 2 2 2 3 4" xfId="14917"/>
    <cellStyle name="差 2 2 2 4 3 2 2" xfId="14918"/>
    <cellStyle name="输出 2 2 2 2 13" xfId="14919"/>
    <cellStyle name="60% - 强调文字颜色 4 2 4 4" xfId="14920"/>
    <cellStyle name="常规 4 2 2 3 2" xfId="14921"/>
    <cellStyle name="20% - 强调文字颜色 4 2 2 2 2 4 3 2" xfId="14922"/>
    <cellStyle name="计算 2 4 7 2 2" xfId="14923"/>
    <cellStyle name="适中 3 6 2" xfId="14924"/>
    <cellStyle name="常规 4 2 3 3 2 2 2" xfId="14925"/>
    <cellStyle name="40% - 强调文字颜色 5 2 2 2 2 5 2 2 2" xfId="14926"/>
    <cellStyle name="检查单元格 2 7 2 2" xfId="14927"/>
    <cellStyle name="60% - 强调文字颜色 5 3 2 2 3 2 2 2" xfId="14928"/>
    <cellStyle name="汇总 2 2 8 3 2 7" xfId="14929"/>
    <cellStyle name="超链接 3 3 5 2 2" xfId="14930"/>
    <cellStyle name="常规 4 2 3 4 4" xfId="14931"/>
    <cellStyle name="40% - 强调文字颜色 1 2 5 3 2 2" xfId="14932"/>
    <cellStyle name="20% - 强调文字颜色 4 4 2 4" xfId="14933"/>
    <cellStyle name="40% - 强调文字颜色 2 2 2 2 3 3 2" xfId="14934"/>
    <cellStyle name="解释性文本 2 3 2 2 2 2 2" xfId="14935"/>
    <cellStyle name="警告文本 2 6 3 2" xfId="14936"/>
    <cellStyle name="输出 2 6 3 5" xfId="14937"/>
    <cellStyle name="计算 2 13 2" xfId="14938"/>
    <cellStyle name="60% - 强调文字颜色 2 2 5 2" xfId="14939"/>
    <cellStyle name="链接单元格 2 2 4 2 2 3" xfId="14940"/>
    <cellStyle name="输出 2 4 2 2" xfId="14941"/>
    <cellStyle name="注释 2 2 5 3 4 2" xfId="14942"/>
    <cellStyle name="输出 2 2 2 6 2" xfId="14943"/>
    <cellStyle name="注释 2 2 9 4 2" xfId="14944"/>
    <cellStyle name="输出 2 6 3 4" xfId="14945"/>
    <cellStyle name="输入 4 2 3 2 2" xfId="14946"/>
    <cellStyle name="输入 2 2 4 2" xfId="14947"/>
    <cellStyle name="40% - 强调文字颜色 4 2 4 5 2" xfId="14948"/>
    <cellStyle name="常规 4 2 4 2 4 2" xfId="14949"/>
    <cellStyle name="输入 3 2 2" xfId="14950"/>
    <cellStyle name="常规 4 2 4 2 5" xfId="14951"/>
    <cellStyle name="输入 3 3" xfId="14952"/>
    <cellStyle name="常规 4 2 4 3 3" xfId="14953"/>
    <cellStyle name="常规 4 2 4 3 4" xfId="14954"/>
    <cellStyle name="输入 4 2" xfId="14955"/>
    <cellStyle name="汇总 2 2 6 2 2 4 3" xfId="14956"/>
    <cellStyle name="强调文字颜色 5 2 2 2 5 2 2 2" xfId="14957"/>
    <cellStyle name="标题 2 2 4 7" xfId="14958"/>
    <cellStyle name="汇总 2 6 2 4" xfId="14959"/>
    <cellStyle name="计算 5 2" xfId="14960"/>
    <cellStyle name="常规 4 2 4 6" xfId="14961"/>
    <cellStyle name="超链接 3 2 4" xfId="14962"/>
    <cellStyle name="40% - 强调文字颜色 1 2 4 2" xfId="14963"/>
    <cellStyle name="输入 3 2 2 2 2 2 2" xfId="14964"/>
    <cellStyle name="输入 2 2 9 3 3" xfId="14965"/>
    <cellStyle name="汇总 2 2 4 2 3 7" xfId="14966"/>
    <cellStyle name="常规 4 3 2 2 3 3" xfId="14967"/>
    <cellStyle name="汇总 5 3" xfId="14968"/>
    <cellStyle name="计算 2 3 2 9" xfId="14969"/>
    <cellStyle name="汇总 2 7 6 3 3" xfId="14970"/>
    <cellStyle name="输入 2 2 4 3 5" xfId="14971"/>
    <cellStyle name="适中 3 7 2" xfId="14972"/>
    <cellStyle name="计算 2 6 3 10" xfId="14973"/>
    <cellStyle name="40% - 强调文字颜色 4 2 2 2 2 2 3" xfId="14974"/>
    <cellStyle name="计算 2 8 3 8" xfId="14975"/>
    <cellStyle name="计算 2 4 4 3 2 2" xfId="14976"/>
    <cellStyle name="计算 2 5 2 3 5 3" xfId="14977"/>
    <cellStyle name="强调文字颜色 1 3 2" xfId="14978"/>
    <cellStyle name="注释 2 3 4 2" xfId="14979"/>
    <cellStyle name="输入 2 6 3 2 2" xfId="14980"/>
    <cellStyle name="40% - 强调文字颜色 4 2 3 2 2 4 2" xfId="14981"/>
    <cellStyle name="警告文本 2 2 6 2 2 2" xfId="14982"/>
    <cellStyle name="汇总 2 2 6 14" xfId="14983"/>
    <cellStyle name="汇总 2 5 2 3 4 2 2" xfId="14984"/>
    <cellStyle name="输出 2 2 7 4 5" xfId="14985"/>
    <cellStyle name="输出 2 2 7" xfId="14986"/>
    <cellStyle name="60% - 强调文字颜色 2 4 2 2" xfId="14987"/>
    <cellStyle name="20% - 强调文字颜色 6 2 2 2 6" xfId="14988"/>
    <cellStyle name="汇总 2 3 5 2 3" xfId="14989"/>
    <cellStyle name="标题 1 2 2 2 2 3 4" xfId="14990"/>
    <cellStyle name="差 2 3 6 2 2" xfId="14991"/>
    <cellStyle name="强调文字颜色 3 2 2 3 4 2 2 2" xfId="14992"/>
    <cellStyle name="解释性文本 2 8 4" xfId="14993"/>
    <cellStyle name="常规 5 2 3 2 2 5" xfId="14994"/>
    <cellStyle name="标题 3 3 2 2 2 3" xfId="14995"/>
    <cellStyle name="计算 2 2 5 2 3 2 2 2" xfId="14996"/>
    <cellStyle name="输入 2 2 5 3 5" xfId="14997"/>
    <cellStyle name="注释 2 2 3 2 2 2 6" xfId="14998"/>
    <cellStyle name="汇总 2 2 2 5 4" xfId="14999"/>
    <cellStyle name="计算 2 2 4 2 2 2 6" xfId="15000"/>
    <cellStyle name="差 2 2 3 5 3" xfId="15001"/>
    <cellStyle name="计算 2 4 2 9" xfId="15002"/>
    <cellStyle name="常规 4 3 2 3 3 3" xfId="15003"/>
    <cellStyle name="注释 2 6 3 2 4" xfId="15004"/>
    <cellStyle name="注释 2 4 3 2 5" xfId="15005"/>
    <cellStyle name="强调文字颜色 3 2 2 3 9" xfId="15006"/>
    <cellStyle name="常规 5 5 2 3 3 2 2" xfId="15007"/>
    <cellStyle name="输入 2 4 3 5 2 2" xfId="15008"/>
    <cellStyle name="20% - 强调文字颜色 4 3 3 3" xfId="15009"/>
    <cellStyle name="注释 2 5 3 2 2" xfId="15010"/>
    <cellStyle name="常规 4 3 2 3 4" xfId="15011"/>
    <cellStyle name="标题 2 3 2 2 2 2" xfId="15012"/>
    <cellStyle name="常规 4 3 2 4 2" xfId="15013"/>
    <cellStyle name="常规 4 3 2 5 2" xfId="15014"/>
    <cellStyle name="常规 4 3 2 5 3" xfId="15015"/>
    <cellStyle name="差 4 3 2 3" xfId="15016"/>
    <cellStyle name="常规 4 3 3 2 4 2" xfId="15017"/>
    <cellStyle name="汇总 2 2 7 7 3" xfId="15018"/>
    <cellStyle name="常规 4 3 3 4" xfId="15019"/>
    <cellStyle name="常规 4 3 3 4 2" xfId="15020"/>
    <cellStyle name="输入 2 5 2 7 2" xfId="15021"/>
    <cellStyle name="20% - 强调文字颜色 2 2 2 2 2 4 3 2 2" xfId="15022"/>
    <cellStyle name="标题 5 2 2 2 6 2" xfId="15023"/>
    <cellStyle name="标题 5 3 6 2" xfId="15024"/>
    <cellStyle name="强调文字颜色 3 2 3 2 2 3 2" xfId="15025"/>
    <cellStyle name="计算 2 2 3 2 2" xfId="15026"/>
    <cellStyle name="标题 5 7 2 2 2" xfId="15027"/>
    <cellStyle name="链接单元格 2 3 2 2 2 2 2 2" xfId="15028"/>
    <cellStyle name="标题 5 2 2 6 2 2 2" xfId="15029"/>
    <cellStyle name="强调文字颜色 6 3 2 2 2 2" xfId="15030"/>
    <cellStyle name="20% - 强调文字颜色 4 2 2 2 3 3" xfId="15031"/>
    <cellStyle name="常规 11 2 2 2 4 2" xfId="15032"/>
    <cellStyle name="汇总 2 2 8 3 4 2 2" xfId="15033"/>
    <cellStyle name="汇总 2 2 4 5 7" xfId="15034"/>
    <cellStyle name="计算 2 4 4 6" xfId="15035"/>
    <cellStyle name="计算 2 2 4 5 4 2 2" xfId="15036"/>
    <cellStyle name="60% - 强调文字颜色 2 2 3 2 3 3" xfId="15037"/>
    <cellStyle name="注释 2 2 3 2 2 4 3" xfId="15038"/>
    <cellStyle name="输入 2 2 5 5 2" xfId="15039"/>
    <cellStyle name="好 3 4 2" xfId="15040"/>
    <cellStyle name="输出 2 2 3 6 2 2" xfId="15041"/>
    <cellStyle name="标题 2 2 2 2 2 2 2 2 3" xfId="15042"/>
    <cellStyle name="注释 2 2 3 4 6" xfId="15043"/>
    <cellStyle name="计算 2 2 2 8 2" xfId="15044"/>
    <cellStyle name="常规 12 3 3 3 2" xfId="15045"/>
    <cellStyle name="注释 2 2 5 2 2 2 2" xfId="15046"/>
    <cellStyle name="40% - 强调文字颜色 5 2 3 2 2 4 3" xfId="15047"/>
    <cellStyle name="强调文字颜色 3 2 6 2 2" xfId="15048"/>
    <cellStyle name="汇总 2 2 5 5 2 3" xfId="15049"/>
    <cellStyle name="常规 4 3 3 5" xfId="15050"/>
    <cellStyle name="常规 4 3 3 6" xfId="15051"/>
    <cellStyle name="常规 5 3 3 3 3 2" xfId="15052"/>
    <cellStyle name="计算 2 2 2 3 2 8" xfId="15053"/>
    <cellStyle name="40% - 强调文字颜色 1 2 2 2 2 4 3 2 2" xfId="15054"/>
    <cellStyle name="计算 2 5 3 2 7" xfId="15055"/>
    <cellStyle name="注释 2 11" xfId="15056"/>
    <cellStyle name="好 2 2 2 3 3 2" xfId="15057"/>
    <cellStyle name="40% - 强调文字颜色 2 2 3 2 2 5 2 2" xfId="15058"/>
    <cellStyle name="输出 2 3 4 4 2 2" xfId="15059"/>
    <cellStyle name="检查单元格 4 4" xfId="15060"/>
    <cellStyle name="输出 2 5 2 2 2 6" xfId="15061"/>
    <cellStyle name="解释性文本 2 4 3 3 2" xfId="15062"/>
    <cellStyle name="注释 2 11 2" xfId="15063"/>
    <cellStyle name="好 2 2 2 3 4" xfId="15064"/>
    <cellStyle name="输出 4 2" xfId="15065"/>
    <cellStyle name="常规 4 4 2 2 2 2" xfId="15066"/>
    <cellStyle name="强调文字颜色 3 2 7 3" xfId="15067"/>
    <cellStyle name="常规 4 4 2 3 2" xfId="15068"/>
    <cellStyle name="常规 4 4 2 4" xfId="15069"/>
    <cellStyle name="汇总 2 5 7" xfId="15070"/>
    <cellStyle name="常规 4 5 2 4" xfId="15071"/>
    <cellStyle name="汇总 3 2 2 7" xfId="15072"/>
    <cellStyle name="好 3 2 2 3 2 2" xfId="15073"/>
    <cellStyle name="汇总 2 6 7" xfId="15074"/>
    <cellStyle name="常规 4 5 3 4" xfId="15075"/>
    <cellStyle name="常规 4 5 3 5" xfId="15076"/>
    <cellStyle name="汇总 2 6 8" xfId="15077"/>
    <cellStyle name="常规 10 2 3 6" xfId="15078"/>
    <cellStyle name="计算 2 9 3 4 2" xfId="15079"/>
    <cellStyle name="计算 3 3 3 2 2 2" xfId="15080"/>
    <cellStyle name="汇总 2 2 7 3 3" xfId="15081"/>
    <cellStyle name="输入 2 4 3 2" xfId="15082"/>
    <cellStyle name="常规 4 6 2 3" xfId="15083"/>
    <cellStyle name="解释性文本 2 2 2 4 3 2" xfId="15084"/>
    <cellStyle name="计算 2 2 4 2 5 5" xfId="15085"/>
    <cellStyle name="计算 2 2 2 2 2 2 5" xfId="15086"/>
    <cellStyle name="20% - 强调文字颜色 6 4 2 2" xfId="15087"/>
    <cellStyle name="20% - 强调文字颜色 6 2 3 2 2 2" xfId="15088"/>
    <cellStyle name="汇总 2 5 2 4 2 3" xfId="15089"/>
    <cellStyle name="汇总 2 4 2 4 3 3" xfId="15090"/>
    <cellStyle name="强调文字颜色 5 2 2 2 3" xfId="15091"/>
    <cellStyle name="汇总 2 2 4 2 2 2 2 2 2 2" xfId="15092"/>
    <cellStyle name="标题 4 2 2 3 2 2 2 2" xfId="15093"/>
    <cellStyle name="标题 2 2 11" xfId="15094"/>
    <cellStyle name="注释 3 2 3 2" xfId="15095"/>
    <cellStyle name="汇总 2 2 5 4 5 2 2" xfId="15096"/>
    <cellStyle name="标题 3 2 2 2 4" xfId="15097"/>
    <cellStyle name="40% - 强调文字颜色 4 3 5" xfId="15098"/>
    <cellStyle name="40% - 强调文字颜色 5 2 2 3 3 2" xfId="15099"/>
    <cellStyle name="常规 4 6 2 4" xfId="15100"/>
    <cellStyle name="输入 2 3 3 5 3" xfId="15101"/>
    <cellStyle name="输出 2 4 2 3 2 3 2" xfId="15102"/>
    <cellStyle name="输入 2 4 2 2 3 2" xfId="15103"/>
    <cellStyle name="检查单元格 2 2 2 2 3" xfId="15104"/>
    <cellStyle name="输入 2 2 5 4 2 2 3" xfId="15105"/>
    <cellStyle name="汇总 2 8 3" xfId="15106"/>
    <cellStyle name="强调文字颜色 6 2 3 5" xfId="15107"/>
    <cellStyle name="标题 4 3 3 2 2" xfId="15108"/>
    <cellStyle name="汇总 6 2 2" xfId="15109"/>
    <cellStyle name="60% - 强调文字颜色 3 2 2 3 5" xfId="15110"/>
    <cellStyle name="40% - 强调文字颜色 4 2 3 2 3 2 2" xfId="15111"/>
    <cellStyle name="强调文字颜色 5 2 2 3 3 2 2 2" xfId="15112"/>
    <cellStyle name="60% - 强调文字颜色 6 3 2 2 3" xfId="15113"/>
    <cellStyle name="20% - 强调文字颜色 3 4 4 2 2 2" xfId="15114"/>
    <cellStyle name="注释 2 4 2 2 2 4 2" xfId="15115"/>
    <cellStyle name="链接单元格 2 4 3 3" xfId="15116"/>
    <cellStyle name="常规 4 6 3 3 2" xfId="15117"/>
    <cellStyle name="汇总 2 5 2 2 3 4 3" xfId="15118"/>
    <cellStyle name="汇总 2 2 3 4 3 2 2" xfId="15119"/>
    <cellStyle name="20% - 强调文字颜色 1 3 2 2 3 2 2" xfId="15120"/>
    <cellStyle name="强调文字颜色 5 2 2 3 2" xfId="15121"/>
    <cellStyle name="检查单元格 2 2 2 3 2 2 2" xfId="15122"/>
    <cellStyle name="60% - 强调文字颜色 4 5" xfId="15123"/>
    <cellStyle name="常规 3 3 7 4 3" xfId="15124"/>
    <cellStyle name="输出 2 2 3 2 2 2 2" xfId="15125"/>
    <cellStyle name="40% - 强调文字颜色 5 2 6 3 2 2" xfId="15126"/>
    <cellStyle name="注释 2 4 2 7" xfId="15127"/>
    <cellStyle name="汇总 2 5 2 3 2 3 3" xfId="15128"/>
    <cellStyle name="常规 4 7 2 2 2" xfId="15129"/>
    <cellStyle name="标题 2 3 2 2 3 2 3" xfId="15130"/>
    <cellStyle name="20% - 强调文字颜色 6 2 3 3 2 2 2 2 2" xfId="15131"/>
    <cellStyle name="输出 2 5 2 2 2 4" xfId="15132"/>
    <cellStyle name="输出 2 2 3 3 3 3" xfId="15133"/>
    <cellStyle name="常规 4 8 3 3" xfId="15134"/>
    <cellStyle name="60% - 强调文字颜色 4 2 2 5 3 2 2" xfId="15135"/>
    <cellStyle name="常规 11 2 7" xfId="15136"/>
    <cellStyle name="计算 2 10 3 5" xfId="15137"/>
    <cellStyle name="40% - 强调文字颜色 2 2 2 3 4 3" xfId="15138"/>
    <cellStyle name="60% - 强调文字颜色 6 2 2 2 2 3 3" xfId="15139"/>
    <cellStyle name="常规 5 2 4 2" xfId="15140"/>
    <cellStyle name="汇总 2 2 11 2 3" xfId="15141"/>
    <cellStyle name="链接单元格 3 2 5" xfId="15142"/>
    <cellStyle name="计算 2 5 2 3 2 2" xfId="15143"/>
    <cellStyle name="警告文本 2 7 2" xfId="15144"/>
    <cellStyle name="注释 2 2 5 2 5" xfId="15145"/>
    <cellStyle name="计算 2 7 4" xfId="15146"/>
    <cellStyle name="检查单元格 5" xfId="15147"/>
    <cellStyle name="40% - 强调文字颜色 2 3 3" xfId="15148"/>
    <cellStyle name="常规 4 4 3 2 2 2 2" xfId="15149"/>
    <cellStyle name="汇总 2 2 8 2 2 4" xfId="15150"/>
    <cellStyle name="汇总 2 5 4 3 3 3" xfId="15151"/>
    <cellStyle name="输出 2 2 5 4 6" xfId="15152"/>
    <cellStyle name="汇总 2 5 2 3 2 2 3" xfId="15153"/>
    <cellStyle name="标题 6 2 3" xfId="15154"/>
    <cellStyle name="常规 6 2 4 3 2" xfId="15155"/>
    <cellStyle name="输出 2 5 3 2 2 2 2" xfId="15156"/>
    <cellStyle name="40% - 强调文字颜色 4 2 5 2 2" xfId="15157"/>
    <cellStyle name="常规 10 2 2" xfId="15158"/>
    <cellStyle name="常规 5 2" xfId="15159"/>
    <cellStyle name="常规 5 2 11" xfId="15160"/>
    <cellStyle name="60% - 强调文字颜色 1 2 3 5 2 2" xfId="15161"/>
    <cellStyle name="常规 5 2 2 2 2 3 3 2" xfId="15162"/>
    <cellStyle name="强调文字颜色 6 2 2 3 8" xfId="15163"/>
    <cellStyle name="常规 5 2 2 2 2 3 4" xfId="15164"/>
    <cellStyle name="60% - 强调文字颜色 5 4 2 3 2 2 2" xfId="15165"/>
    <cellStyle name="差 4 4 2 3" xfId="15166"/>
    <cellStyle name="40% - 强调文字颜色 2 2 2 8 2" xfId="15167"/>
    <cellStyle name="计算 2 7 6 3" xfId="15168"/>
    <cellStyle name="好 2 3 4 2 2" xfId="15169"/>
    <cellStyle name="链接单元格 2 3 2 4 2 2 2" xfId="15170"/>
    <cellStyle name="解释性文本 2 2 2 8" xfId="15171"/>
    <cellStyle name="20% - 强调文字颜色 6 3 2 2 2" xfId="15172"/>
    <cellStyle name="计算 2 2 3 2 2 3 3" xfId="15173"/>
    <cellStyle name="60% - 强调文字颜色 2 2 2 8" xfId="15174"/>
    <cellStyle name="20% - 强调文字颜色 1 2 2 2 2 2 3 3 2 2" xfId="15175"/>
    <cellStyle name="输出 2 2 3 5 3 3" xfId="15176"/>
    <cellStyle name="计算 2 10 8" xfId="15177"/>
    <cellStyle name="强调文字颜色 2 2 3 2 4 3" xfId="15178"/>
    <cellStyle name="解释性文本 2 5" xfId="15179"/>
    <cellStyle name="常规 4 2 2 2 3 3" xfId="15180"/>
    <cellStyle name="40% - 强调文字颜色 2 2 2 2 3 2 2 2 2" xfId="15181"/>
    <cellStyle name="输出 2 5 4 3 3" xfId="15182"/>
    <cellStyle name="注释 2 7 5 2 2" xfId="15183"/>
    <cellStyle name="汇总 2 2 10 4" xfId="15184"/>
    <cellStyle name="标题 3 3 2 3 2 2" xfId="15185"/>
    <cellStyle name="汇总 2 2 2 3 2 2 3" xfId="15186"/>
    <cellStyle name="强调文字颜色 4 4 2" xfId="15187"/>
    <cellStyle name="输出 2 2 2 3 3 2" xfId="15188"/>
    <cellStyle name="警告文本 5 2" xfId="15189"/>
    <cellStyle name="超链接 2 3 2" xfId="15190"/>
    <cellStyle name="计算 2 2 5 2 2 2 2 2" xfId="15191"/>
    <cellStyle name="解释性文本 2 2 2 2 5 2" xfId="15192"/>
    <cellStyle name="注释 2 6 4 2 3" xfId="15193"/>
    <cellStyle name="解释性文本 2 2 2 2 4 3" xfId="15194"/>
    <cellStyle name="超链接 2 2 4 2" xfId="15195"/>
    <cellStyle name="60% - 强调文字颜色 2 2 4 2 2 2 2" xfId="15196"/>
    <cellStyle name="输入 2 6 4 6" xfId="15197"/>
    <cellStyle name="注释 2 4 8" xfId="15198"/>
    <cellStyle name="强调文字颜色 4 2 2 4 4" xfId="15199"/>
    <cellStyle name="标题 3 4 2 3 3" xfId="15200"/>
    <cellStyle name="输出 2 2 4 2 6 2" xfId="15201"/>
    <cellStyle name="60% - 强调文字颜色 3 3 4 2 2 2" xfId="15202"/>
    <cellStyle name="汇总 5 2 4 3" xfId="15203"/>
    <cellStyle name="标题 3 2 3 2 3 2 3" xfId="15204"/>
    <cellStyle name="强调文字颜色 2 2 2 4 2 3" xfId="15205"/>
    <cellStyle name="标题 3 2 3 4 2 2 3" xfId="15206"/>
    <cellStyle name="汇总 2 5 2 2 4 3" xfId="15207"/>
    <cellStyle name="链接单元格 2 5 2" xfId="15208"/>
    <cellStyle name="20% - 强调文字颜色 4 2 3 7" xfId="15209"/>
    <cellStyle name="百分比 2 2 3 2 2" xfId="15210"/>
    <cellStyle name="40% - 强调文字颜色 6 3 2 2 4 2" xfId="15211"/>
    <cellStyle name="汇总 2 2 2 2 7 3" xfId="15212"/>
    <cellStyle name="常规 5 2 2 2 3 2" xfId="15213"/>
    <cellStyle name="60% - 强调文字颜色 5 4 3 2 2" xfId="15214"/>
    <cellStyle name="常规 5 3 4 4 2 2" xfId="15215"/>
    <cellStyle name="常规 6 2 4" xfId="15216"/>
    <cellStyle name="强调文字颜色 5 2 2 4 3 2 3" xfId="15217"/>
    <cellStyle name="输出 2 6 2 6 2" xfId="15218"/>
    <cellStyle name="检查单元格 2 4 4 4" xfId="15219"/>
    <cellStyle name="注释 4 2 3 3" xfId="15220"/>
    <cellStyle name="计算 2 8 3 2 4 2" xfId="15221"/>
    <cellStyle name="强调文字颜色 1 2 4 5 3" xfId="15222"/>
    <cellStyle name="强调文字颜色 3 2 3 2 7" xfId="15223"/>
    <cellStyle name="汇总 2 2 5 2 2 8" xfId="15224"/>
    <cellStyle name="好 2 2 2 2 4 2" xfId="15225"/>
    <cellStyle name="注释 2 10 2 2" xfId="15226"/>
    <cellStyle name="强调文字颜色 5 2 5 4" xfId="15227"/>
    <cellStyle name="计算 2 7 3 3 2 2" xfId="15228"/>
    <cellStyle name="40% - 强调文字颜色 3 2 2 2 3 3 2 2" xfId="15229"/>
    <cellStyle name="标题 4 3 4 2 2" xfId="15230"/>
    <cellStyle name="汇总 3 8 3" xfId="15231"/>
    <cellStyle name="适中 2 2 2 3 6" xfId="15232"/>
    <cellStyle name="计算 2 5 9 2" xfId="15233"/>
    <cellStyle name="汇总 2 2 6 9 2 2" xfId="15234"/>
    <cellStyle name="60% - 强调文字颜色 1 2 3 2" xfId="15235"/>
    <cellStyle name="60% - 强调文字颜色 4 2 3 2 3" xfId="15236"/>
    <cellStyle name="输入 2 2 3 3 2 4" xfId="15237"/>
    <cellStyle name="常规 5 2 2 4 2 3" xfId="15238"/>
    <cellStyle name="强调文字颜色 4 2 2 2 2 2 2 2 2" xfId="15239"/>
    <cellStyle name="常规 5 2 2 2 6 3" xfId="15240"/>
    <cellStyle name="60% - 强调文字颜色 2 2 2 9 2" xfId="15241"/>
    <cellStyle name="计算 2 2 3 2 2 3 4 2" xfId="15242"/>
    <cellStyle name="标题 4 2 2 3 6" xfId="15243"/>
    <cellStyle name="汇总 2 2 4 2 3 2 8" xfId="15244"/>
    <cellStyle name="警告文本 2 4 2 2 2 2 2" xfId="15245"/>
    <cellStyle name="输出 2 2 3 2" xfId="15246"/>
    <cellStyle name="标题 2 2 2 5 3 2" xfId="15247"/>
    <cellStyle name="常规 4 7" xfId="15248"/>
    <cellStyle name="差 2 3 2 3 3 2 2" xfId="15249"/>
    <cellStyle name="输出 2 13" xfId="15250"/>
    <cellStyle name="计算 2 2 2 2 2 2 2 4" xfId="15251"/>
    <cellStyle name="警告文本 2 3 3 5" xfId="15252"/>
    <cellStyle name="汇总 2 3 4 4 2" xfId="15253"/>
    <cellStyle name="常规 9 5 3 4" xfId="15254"/>
    <cellStyle name="40% - 强调文字颜色 5 2 3 2 3 2 2 2" xfId="15255"/>
    <cellStyle name="输入 2 2 6 2 4 2 2" xfId="15256"/>
    <cellStyle name="40% - 强调文字颜色 6 4 2 2 2" xfId="15257"/>
    <cellStyle name="计算 2 4 2 2 3 3 3" xfId="15258"/>
    <cellStyle name="输入 3 2 2 5 2" xfId="15259"/>
    <cellStyle name="计算 2 2 5 2 2 10" xfId="15260"/>
    <cellStyle name="20% - 强调文字颜色 5 2 2 2 2 3 2 2 2" xfId="15261"/>
    <cellStyle name="汇总 2 12 2" xfId="15262"/>
    <cellStyle name="20% - 强调文字颜色 3 4 2" xfId="15263"/>
    <cellStyle name="60% - 强调文字颜色 1 2 2 5 3" xfId="15264"/>
    <cellStyle name="60% - 强调文字颜色 5 2 2 2 2 2 2 2" xfId="15265"/>
    <cellStyle name="汇总 5 2 2 2 2" xfId="15266"/>
    <cellStyle name="超链接 3 2 3 2 2 2" xfId="15267"/>
    <cellStyle name="60% - 强调文字颜色 3 4 2 2 2 2" xfId="15268"/>
    <cellStyle name="输出 2 3 2 2 6 2" xfId="15269"/>
    <cellStyle name="60% - 强调文字颜色 6 2 7" xfId="15270"/>
    <cellStyle name="常规 5 2 2 3 2 3 2 2" xfId="15271"/>
    <cellStyle name="输入 2 2 3 2 2 4 2 2" xfId="15272"/>
    <cellStyle name="差 2 4 4 2 2 2" xfId="15273"/>
    <cellStyle name="注释 2 2 3 4 2 5" xfId="15274"/>
    <cellStyle name="输入 5 2 2 2" xfId="15275"/>
    <cellStyle name="汇总 2 2 16 2" xfId="15276"/>
    <cellStyle name="40% - 强调文字颜色 5 2 3 2 5 2 2 2" xfId="15277"/>
    <cellStyle name="汇总 2 5 4 4 2" xfId="15278"/>
    <cellStyle name="汇总 2 2 4 2 4 2 5" xfId="15279"/>
    <cellStyle name="标题 4 2 3 3 3" xfId="15280"/>
    <cellStyle name="标题 2 2 2 2 2 2 2 2 2 2" xfId="15281"/>
    <cellStyle name="60% - 强调文字颜色 3 4 2 3 2 2" xfId="15282"/>
    <cellStyle name="汇总 2 10 3 5" xfId="15283"/>
    <cellStyle name="60% - 强调文字颜色 4 2 3 8" xfId="15284"/>
    <cellStyle name="计算 2 2 3 4 2 4 3" xfId="15285"/>
    <cellStyle name="40% - 强调文字颜色 3 2 3 2 3 2 2" xfId="15286"/>
    <cellStyle name="计算 2 2 2 3 5 2" xfId="15287"/>
    <cellStyle name="注释 2 6 4 6" xfId="15288"/>
    <cellStyle name="超链接 2 2 2 4 3" xfId="15289"/>
    <cellStyle name="常规 10 4 3 2" xfId="15290"/>
    <cellStyle name="标题 3 2 2 2 2 2 3" xfId="15291"/>
    <cellStyle name="常规 10 3 6 3" xfId="15292"/>
    <cellStyle name="20% - 强调文字颜色 4 2 2 2 4 2 2 2" xfId="15293"/>
    <cellStyle name="计算 2 2 6 4 2 3 2 2" xfId="15294"/>
    <cellStyle name="计算 2 2 3 2 2 7" xfId="15295"/>
    <cellStyle name="汇总 2 2 4 2 2 3" xfId="15296"/>
    <cellStyle name="汇总 2 6 2 2 2 5 2" xfId="15297"/>
    <cellStyle name="检查单元格 2 3 2 6 2" xfId="15298"/>
    <cellStyle name="注释 2 4 4 2 2" xfId="15299"/>
    <cellStyle name="输入 2 6 4 2 2 2" xfId="15300"/>
    <cellStyle name="强调文字颜色 4 2 2 2 2 3 2" xfId="15301"/>
    <cellStyle name="汇总 3 2 2 2" xfId="15302"/>
    <cellStyle name="常规 13 2 2 2 2 5" xfId="15303"/>
    <cellStyle name="输入 2 2 3 6 2" xfId="15304"/>
    <cellStyle name="链接单元格 2 3 6 2" xfId="15305"/>
    <cellStyle name="计算 2 5 2 2 3 3 2" xfId="15306"/>
    <cellStyle name="警告文本 2 2 3 6 2" xfId="15307"/>
    <cellStyle name="警告文本 2 6" xfId="15308"/>
    <cellStyle name="输入 2 2 4 3 2 2 3" xfId="15309"/>
    <cellStyle name="20% - 强调文字颜色 2 2 2 2 2 2 2 2" xfId="15310"/>
    <cellStyle name="汇总 2 4 2 2 2 8" xfId="15311"/>
    <cellStyle name="标题 5 2 2 3 3 2" xfId="15312"/>
    <cellStyle name="标题 5 4 3 2" xfId="15313"/>
    <cellStyle name="汇总 2 2 2 2 2 2 4 2 2" xfId="15314"/>
    <cellStyle name="超链接 3 7 2" xfId="15315"/>
    <cellStyle name="差 2 5 2 3" xfId="15316"/>
    <cellStyle name="汇总 2 5 2 3 9" xfId="15317"/>
    <cellStyle name="输入 2 3 2 3 3 2" xfId="15318"/>
    <cellStyle name="汇总 2 2 8 4 2 2 2" xfId="15319"/>
    <cellStyle name="汇总 2 7 2 2 5 2" xfId="15320"/>
    <cellStyle name="输出 2 2 3 2 2 3 2 3" xfId="15321"/>
    <cellStyle name="标题 2 2 3 2 6 2" xfId="15322"/>
    <cellStyle name="输出 2 5 2 6 2 2" xfId="15323"/>
    <cellStyle name="60% - 强调文字颜色 6 3 2 3 3" xfId="15324"/>
    <cellStyle name="常规 7 2 5 2" xfId="15325"/>
    <cellStyle name="常规 5 2 2 3 3 3 2" xfId="15326"/>
    <cellStyle name="60% - 强调文字颜色 4 2 2 3 3 2" xfId="15327"/>
    <cellStyle name="输入 6 2 2" xfId="15328"/>
    <cellStyle name="输入 3 2 2 4 2" xfId="15329"/>
    <cellStyle name="计算 2 4 2 2 3 2 3" xfId="15330"/>
    <cellStyle name="40% - 强调文字颜色 3 3 3 2" xfId="15331"/>
    <cellStyle name="汇总 2 2 8 3 2 4 2" xfId="15332"/>
    <cellStyle name="60% - 强调文字颜色 5 2 3 2 4 3" xfId="15333"/>
    <cellStyle name="输入 2 2 8" xfId="15334"/>
    <cellStyle name="汇总 2 4 3 2 8" xfId="15335"/>
    <cellStyle name="输入 2 2 8 2" xfId="15336"/>
    <cellStyle name="常规 7 2 5 2 2" xfId="15337"/>
    <cellStyle name="常规 5 2 2 3 3 3 2 2" xfId="15338"/>
    <cellStyle name="计算 2 2 4 2 2 3 3" xfId="15339"/>
    <cellStyle name="常规 5 2 2 3 2 2" xfId="15340"/>
    <cellStyle name="输入 2 2 3 2 2 3" xfId="15341"/>
    <cellStyle name="强调文字颜色 4 2 2 4 2 2" xfId="15342"/>
    <cellStyle name="注释 2 2 3 2" xfId="15343"/>
    <cellStyle name="标题 1 3 4 2" xfId="15344"/>
    <cellStyle name="计算 2 9 2 2 2" xfId="15345"/>
    <cellStyle name="适中 2 3 4 2 2" xfId="15346"/>
    <cellStyle name="解释性文本 2 8" xfId="15347"/>
    <cellStyle name="汇总 2 2 21" xfId="15348"/>
    <cellStyle name="汇总 2 2 16" xfId="15349"/>
    <cellStyle name="40% - 强调文字颜色 2 3 2 2 3 2 2" xfId="15350"/>
    <cellStyle name="计算 2 10 3 4" xfId="15351"/>
    <cellStyle name="常规 2 2 2 2 2 2 2 2 2" xfId="15352"/>
    <cellStyle name="40% - 强调文字颜色 2 2 2 3 4 2" xfId="15353"/>
    <cellStyle name="汇总 2 7 8 3" xfId="15354"/>
    <cellStyle name="40% - 强调文字颜色 6 5" xfId="15355"/>
    <cellStyle name="40% - 强调文字颜色 3 2 3 3 3" xfId="15356"/>
    <cellStyle name="标题 4 2 3 6" xfId="15357"/>
    <cellStyle name="链接单元格 2 2 2 3 2" xfId="15358"/>
    <cellStyle name="注释 4 2 4 3" xfId="15359"/>
    <cellStyle name="输入 2 8 2 2 3" xfId="15360"/>
    <cellStyle name="输入 2 2 2 2 3 2 2" xfId="15361"/>
    <cellStyle name="计算 2 3 14" xfId="15362"/>
    <cellStyle name="40% - 强调文字颜色 2 2 2 3 4 2 2 2" xfId="15363"/>
    <cellStyle name="输入 2 2 5 3 2" xfId="15364"/>
    <cellStyle name="注释 2 2 3 2 2 2 3" xfId="15365"/>
    <cellStyle name="常规 5 2 3 2 2 2" xfId="15366"/>
    <cellStyle name="强调文字颜色 4 2 2 2 4 3 3" xfId="15367"/>
    <cellStyle name="适中 2 3 2 5" xfId="15368"/>
    <cellStyle name="常规 4 2 2 2 2 4" xfId="15369"/>
    <cellStyle name="20% - 强调文字颜色 1 3 2 3 2 2 2" xfId="15370"/>
    <cellStyle name="强调文字颜色 4 2 2 6 3" xfId="15371"/>
    <cellStyle name="计算 2 2 5 4 2 4 2" xfId="15372"/>
    <cellStyle name="标题 4 2 2 3" xfId="15373"/>
    <cellStyle name="检查单元格 4 2 4" xfId="15374"/>
    <cellStyle name="强调文字颜色 3 4 2 2" xfId="15375"/>
    <cellStyle name="输出 2 2 2 2 3 2 2" xfId="15376"/>
    <cellStyle name="计算 2 7 3 2 4" xfId="15377"/>
    <cellStyle name="输出 2 4 3 2 2 3" xfId="15378"/>
    <cellStyle name="输入 2 7 13" xfId="15379"/>
    <cellStyle name="常规 3 3 2 4 2 2 2" xfId="15380"/>
    <cellStyle name="60% - 强调文字颜色 4 2 2 3" xfId="15381"/>
    <cellStyle name="40% - 强调文字颜色 4 2 2 2 2" xfId="15382"/>
    <cellStyle name="输入 2 3 2 2 4 2 2" xfId="15383"/>
    <cellStyle name="输出 5 5 3" xfId="15384"/>
    <cellStyle name="60% - 强调文字颜色 2 2 2 2 3 3" xfId="15385"/>
    <cellStyle name="40% - 强调文字颜色 6 2 2 2 2 4 3" xfId="15386"/>
    <cellStyle name="计算 2 2 2 2 3 4 2 2" xfId="15387"/>
    <cellStyle name="60% - 强调文字颜色 6 2 4 4 3" xfId="15388"/>
    <cellStyle name="20% - 强调文字颜色 5 2 3 2 4" xfId="15389"/>
    <cellStyle name="输入 2 5 6 2 2" xfId="15390"/>
    <cellStyle name="计算 2 2 4 2 4 2 2" xfId="15391"/>
    <cellStyle name="警告文本 2 2 3 3" xfId="15392"/>
    <cellStyle name="60% - 强调文字颜色 4 3 6" xfId="15393"/>
    <cellStyle name="常规 5 2 3 7" xfId="15394"/>
    <cellStyle name="输入 2 5 5 3" xfId="15395"/>
    <cellStyle name="计算 2 5 5 2 5 2" xfId="15396"/>
    <cellStyle name="解释性文本 2 3 2 2 5" xfId="15397"/>
    <cellStyle name="计算 2 2 5 3 2 2 2" xfId="15398"/>
    <cellStyle name="60% - 强调文字颜色 6 2 2 7 2" xfId="15399"/>
    <cellStyle name="常规 10 4 3 4" xfId="15400"/>
    <cellStyle name="标题 3 2 2 2 2 2 5" xfId="15401"/>
    <cellStyle name="注释 2 2 3 3 2 3" xfId="15402"/>
    <cellStyle name="汇总 2 2 6 3 5 2" xfId="15403"/>
    <cellStyle name="计算 2 7 5 3 2 2" xfId="15404"/>
    <cellStyle name="常规 2 4 5" xfId="15405"/>
    <cellStyle name="强调文字颜色 6 2 2 2 2 3 2 2" xfId="15406"/>
    <cellStyle name="标题 2 5 2 2 3" xfId="15407"/>
    <cellStyle name="注释 2 2 6 5" xfId="15408"/>
    <cellStyle name="输入 3 14" xfId="15409"/>
    <cellStyle name="常规 2 3 4 2" xfId="15410"/>
    <cellStyle name="计算 2 8 9 2" xfId="15411"/>
    <cellStyle name="输入 2 2 2 2 4 3" xfId="15412"/>
    <cellStyle name="40% - 强调文字颜色 2 4 2 3" xfId="15413"/>
    <cellStyle name="汇总 2 7 4 2 2 3" xfId="15414"/>
    <cellStyle name="差 4 3" xfId="15415"/>
    <cellStyle name="输入 2 2 6 3 3 2 2" xfId="15416"/>
    <cellStyle name="输入 2 2 4 2 2 4 2 2" xfId="15417"/>
    <cellStyle name="常规 5 2 3 3 2 3 2 2" xfId="15418"/>
    <cellStyle name="常规 4 2 3 3 2 2 2 2" xfId="15419"/>
    <cellStyle name="汇总 2 2 4 2 12 2" xfId="15420"/>
    <cellStyle name="链接单元格 2 3 4 2" xfId="15421"/>
    <cellStyle name="60% - 强调文字颜色 6 2 2 2 5" xfId="15422"/>
    <cellStyle name="汇总 2 2 4 2 2 2 4" xfId="15423"/>
    <cellStyle name="计算 2 2 5 4 2 3 2 2" xfId="15424"/>
    <cellStyle name="输入 2 5 4 2 6" xfId="15425"/>
    <cellStyle name="汇总 2 5 2 2 2 5 2" xfId="15426"/>
    <cellStyle name="超链接 3 2 2 2 2" xfId="15427"/>
    <cellStyle name="60% - 强调文字颜色 5 2 3 2 2 2 2 2" xfId="15428"/>
    <cellStyle name="60% - 强调文字颜色 4 4 2 3 2 2" xfId="15429"/>
    <cellStyle name="标题 2 2 2 2 3 2 2 2 2 2" xfId="15430"/>
    <cellStyle name="链接单元格 2 2 2 2 6" xfId="15431"/>
    <cellStyle name="60% - 强调文字颜色 2 2 2 5" xfId="15432"/>
    <cellStyle name="常规 2 2 2 2 5 2 2 2" xfId="15433"/>
    <cellStyle name="标题 4 2 8 2" xfId="15434"/>
    <cellStyle name="标题 3 2 2 5 3 2 2" xfId="15435"/>
    <cellStyle name="输入 2 2 5 2 3 3 2" xfId="15436"/>
    <cellStyle name="常规 5 2 4 3 3 2 2" xfId="15437"/>
    <cellStyle name="常规 5 2 4 2 3" xfId="15438"/>
    <cellStyle name="20% - 强调文字颜色 4 2 2 4 2 2 2" xfId="15439"/>
    <cellStyle name="强调文字颜色 2 5 2" xfId="15440"/>
    <cellStyle name="汇总 2 2 3 2 7 3" xfId="15441"/>
    <cellStyle name="差 2 2 6 2" xfId="15442"/>
    <cellStyle name="汇总 2 2 4 2 3 2 6" xfId="15443"/>
    <cellStyle name="标题 4 2 2 3 4" xfId="15444"/>
    <cellStyle name="强调文字颜色 1 2 4 3 2 2 2" xfId="15445"/>
    <cellStyle name="40% - 强调文字颜色 5 2 2 4 4" xfId="15446"/>
    <cellStyle name="强调文字颜色 1 2 3 3 3 2" xfId="15447"/>
    <cellStyle name="常规 2 2 6 2 2" xfId="15448"/>
    <cellStyle name="输出 2 2 4 2 3" xfId="15449"/>
    <cellStyle name="常规 5 7 3" xfId="15450"/>
    <cellStyle name="20% - 强调文字颜色 4 2 2 4 2 2 2 2" xfId="15451"/>
    <cellStyle name="常规 5 2 4 2 3 2" xfId="15452"/>
    <cellStyle name="注释 2 2 3 3 2 3 3" xfId="15453"/>
    <cellStyle name="计算 2 7 5 2 2 2" xfId="15454"/>
    <cellStyle name="强调文字颜色 1 2 3 2 3 2" xfId="15455"/>
    <cellStyle name="40% - 强调文字颜色 3 2 2 2 5 2 2 2" xfId="15456"/>
    <cellStyle name="汇总 2 2 5 3 6 3" xfId="15457"/>
    <cellStyle name="输出 2 2 4 2 3 2" xfId="15458"/>
    <cellStyle name="常规 5 2 4 2 3 3" xfId="15459"/>
    <cellStyle name="输出 2 2 4 2 4" xfId="15460"/>
    <cellStyle name="20% - 强调文字颜色 5 2 2 3 3" xfId="15461"/>
    <cellStyle name="输出 2 2 5 2 4" xfId="15462"/>
    <cellStyle name="20% - 强调文字颜色 2 2 3 2 3 2 2 2" xfId="15463"/>
    <cellStyle name="标题 1 4" xfId="15464"/>
    <cellStyle name="强调文字颜色 2 2 3 2 4 4" xfId="15465"/>
    <cellStyle name="解释性文本 2 6" xfId="15466"/>
    <cellStyle name="60% - 强调文字颜色 4 4 3" xfId="15467"/>
    <cellStyle name="常规 5 2 4 4" xfId="15468"/>
    <cellStyle name="40% - 强调文字颜色 1 2 2 4 2 3 2" xfId="15469"/>
    <cellStyle name="40% - 强调文字颜色 4 2 2 2 3 2" xfId="15470"/>
    <cellStyle name="计算 2 2 3 2 2 3 4" xfId="15471"/>
    <cellStyle name="60% - 强调文字颜色 2 2 2 9" xfId="15472"/>
    <cellStyle name="常规 9 5 2 3 2" xfId="15473"/>
    <cellStyle name="汇总 2 5 3 2 6" xfId="15474"/>
    <cellStyle name="60% - 强调文字颜色 1 2 3 2 3 2 2 2" xfId="15475"/>
    <cellStyle name="常规 4 2 2 2 2 3 2 2" xfId="15476"/>
    <cellStyle name="20% - 强调文字颜色 5 2 3 2 4 3 2" xfId="15477"/>
    <cellStyle name="适中 2 3 2 4 2 2" xfId="15478"/>
    <cellStyle name="常规 5 2 4 3 3 3" xfId="15479"/>
    <cellStyle name="输入 2 2 5 2 3 4" xfId="15480"/>
    <cellStyle name="60% - 强调文字颜色 4 2 5" xfId="15481"/>
    <cellStyle name="60% - 强调文字颜色 1 2 2 6 3" xfId="15482"/>
    <cellStyle name="输入 2 2 2 13" xfId="15483"/>
    <cellStyle name="强调文字颜色 5 2 2 5 3" xfId="15484"/>
    <cellStyle name="标题 4 4 2 4 2" xfId="15485"/>
    <cellStyle name="汇总 3 2 2" xfId="15486"/>
    <cellStyle name="检查单元格 2 3 2 6" xfId="15487"/>
    <cellStyle name="标题 4 5 2" xfId="15488"/>
    <cellStyle name="强调文字颜色 1 2 3 3 5" xfId="15489"/>
    <cellStyle name="注释 2 4 4 2" xfId="15490"/>
    <cellStyle name="输入 2 6 4 2 2" xfId="15491"/>
    <cellStyle name="强调文字颜色 4 2 2 2 2 3" xfId="15492"/>
    <cellStyle name="60% - 强调文字颜色 3 4 2 2 2" xfId="15493"/>
    <cellStyle name="输出 2 3 2 2 6" xfId="15494"/>
    <cellStyle name="超链接 3 2 3 2 2" xfId="15495"/>
    <cellStyle name="汇总 3 2 6 3" xfId="15496"/>
    <cellStyle name="计算 2 2 8 3 4 2 2" xfId="15497"/>
    <cellStyle name="常规 2 2 4 6" xfId="15498"/>
    <cellStyle name="40% - 强调文字颜色 4 3 2 4 2" xfId="15499"/>
    <cellStyle name="汇总 2 3 3 4" xfId="15500"/>
    <cellStyle name="常规 9 4 2 2 2 2" xfId="15501"/>
    <cellStyle name="标题 3 2 2 3 3 3 2" xfId="15502"/>
    <cellStyle name="汇总 2 2 2 14" xfId="15503"/>
    <cellStyle name="计算 2 2 5 4 5 2 2" xfId="15504"/>
    <cellStyle name="输出 2 2 4 6 2" xfId="15505"/>
    <cellStyle name="汇总 2 2 4 2 2 2 2 2 2" xfId="15506"/>
    <cellStyle name="输入 4 2 5 2 2" xfId="15507"/>
    <cellStyle name="常规 4 2 4 2" xfId="15508"/>
    <cellStyle name="常规 5 2 5 3 5" xfId="15509"/>
    <cellStyle name="计算 2 2 4 3 2 5 2 2" xfId="15510"/>
    <cellStyle name="链接单元格 2 2 4 6" xfId="15511"/>
    <cellStyle name="20% - 强调文字颜色 6 2 2 2 5 2 2" xfId="15512"/>
    <cellStyle name="差 4 4 3" xfId="15513"/>
    <cellStyle name="输入 2 2 3 2 5 2" xfId="15514"/>
    <cellStyle name="40% - 强调文字颜色 3 4 3 2" xfId="15515"/>
    <cellStyle name="标题 4 2 2 3 3 3 3" xfId="15516"/>
    <cellStyle name="常规 2 5 3 2 2 2 2" xfId="15517"/>
    <cellStyle name="输入 2 8 3 2" xfId="15518"/>
    <cellStyle name="注释 4 3 4" xfId="15519"/>
    <cellStyle name="汇总 2 6 4 7" xfId="15520"/>
    <cellStyle name="40% - 强调文字颜色 1 2 3 2 4 2" xfId="15521"/>
    <cellStyle name="20% - 强调文字颜色 3 2 2 2 2 2 3 2 2" xfId="15522"/>
    <cellStyle name="计算 2 2 5 2 2 3 3 2 2" xfId="15523"/>
    <cellStyle name="解释性文本 3 2 4 2" xfId="15524"/>
    <cellStyle name="常规 3 2 4 3 4" xfId="15525"/>
    <cellStyle name="汇总 2 2 2 2 2 3 4 2" xfId="15526"/>
    <cellStyle name="计算 2 2 2 2 3 3" xfId="15527"/>
    <cellStyle name="计算 2 2 4 3 6" xfId="15528"/>
    <cellStyle name="汇总 2 6 2 4 2 2" xfId="15529"/>
    <cellStyle name="计算 5 2 2 2" xfId="15530"/>
    <cellStyle name="计算 2 5 2 2 6 2" xfId="15531"/>
    <cellStyle name="计算 2 5 2 4 2 2 3" xfId="15532"/>
    <cellStyle name="输出 2 10 2 2 2" xfId="15533"/>
    <cellStyle name="输入 4 5" xfId="15534"/>
    <cellStyle name="60% - 强调文字颜色 2 2 3 4 3" xfId="15535"/>
    <cellStyle name="20% - 强调文字颜色 1 2 2 2 4" xfId="15536"/>
    <cellStyle name="强调文字颜色 6 2 3 3 3" xfId="15537"/>
    <cellStyle name="标题 5 4 3 2 2" xfId="15538"/>
    <cellStyle name="汇总 2 2 4 2 2 2 6" xfId="15539"/>
    <cellStyle name="常规 5 3 2 2 4 2" xfId="15540"/>
    <cellStyle name="强调文字颜色 3 2 2 3 2 2 2" xfId="15541"/>
    <cellStyle name="超链接 3 2 3 2 2 2 2" xfId="15542"/>
    <cellStyle name="常规 5 2 3" xfId="15543"/>
    <cellStyle name="常规 10 2 2 4 2" xfId="15544"/>
    <cellStyle name="计算 2 2 4 3 2 9" xfId="15545"/>
    <cellStyle name="20% - 强调文字颜色 1 3 2 2 3 2" xfId="15546"/>
    <cellStyle name="常规 5 2 6 4" xfId="15547"/>
    <cellStyle name="常规 5 3" xfId="15548"/>
    <cellStyle name="常规 5 3 2 2 2 3 2" xfId="15549"/>
    <cellStyle name="强调文字颜色 5 2 2 3 4 2" xfId="15550"/>
    <cellStyle name="警告文本 2 2 2 4 3 3" xfId="15551"/>
    <cellStyle name="标题 2 2 2 3 5 2 2" xfId="15552"/>
    <cellStyle name="常规 10 2 3 3 3 2 2" xfId="15553"/>
    <cellStyle name="常规 5 2 2 2 2 2 2 2" xfId="15554"/>
    <cellStyle name="60% - 强调文字颜色 3 2 2 3 3 2 2" xfId="15555"/>
    <cellStyle name="计算 2 5 3 2 2 5" xfId="15556"/>
    <cellStyle name="20% - 强调文字颜色 4 2 2 2 6" xfId="15557"/>
    <cellStyle name="计算 3 2 4 4" xfId="15558"/>
    <cellStyle name="强调文字颜色 5 2 3 2 6" xfId="15559"/>
    <cellStyle name="检查单元格 2 4 2 3" xfId="15560"/>
    <cellStyle name="输入 2 7 4 6" xfId="15561"/>
    <cellStyle name="强调文字颜色 1 2 2 2 2 6" xfId="15562"/>
    <cellStyle name="汇总 2 2 13 2" xfId="15563"/>
    <cellStyle name="注释 2 4 3" xfId="15564"/>
    <cellStyle name="计算 2 9 4 2" xfId="15565"/>
    <cellStyle name="适中 2 3 6 2" xfId="15566"/>
    <cellStyle name="常规 5 4 4 4 2" xfId="15567"/>
    <cellStyle name="强调文字颜色 2 2 2 2 3 7" xfId="15568"/>
    <cellStyle name="输出 2 2 9 3 2 2" xfId="15569"/>
    <cellStyle name="汇总 2 2 4 2 2 3 4 3" xfId="15570"/>
    <cellStyle name="计算 2 4 2 2 6 3" xfId="15571"/>
    <cellStyle name="20% - 强调文字颜色 2 2 3" xfId="15572"/>
    <cellStyle name="检查单元格 2 4 3 2 2 2" xfId="15573"/>
    <cellStyle name="常规 4 3 6 2" xfId="15574"/>
    <cellStyle name="强调文字颜色 3 2 5 2 3" xfId="15575"/>
    <cellStyle name="常规 11 2 2 5 2" xfId="15576"/>
    <cellStyle name="输出 2 4 4 2 6" xfId="15577"/>
    <cellStyle name="计算 2 5 2 4 4" xfId="15578"/>
    <cellStyle name="注释 2 4 2 4 2 4" xfId="15579"/>
    <cellStyle name="计算 2 4 4 2 3 2" xfId="15580"/>
    <cellStyle name="计算 2 7 4 8" xfId="15581"/>
    <cellStyle name="输入 2 2 4 2 8 2" xfId="15582"/>
    <cellStyle name="60% - 强调文字颜色 1 3 2 2 3 2" xfId="15583"/>
    <cellStyle name="警告文本 2 3 2 3 3 2 2" xfId="15584"/>
    <cellStyle name="输入 2 2 4 7 3" xfId="15585"/>
    <cellStyle name="输入 2 14" xfId="15586"/>
    <cellStyle name="汇总 2 4 5 5" xfId="15587"/>
    <cellStyle name="注释 3 8 2" xfId="15588"/>
    <cellStyle name="20% - 强调文字颜色 3 2 3 3 2 2 2" xfId="15589"/>
    <cellStyle name="常规 5 3 2 2 3 2" xfId="15590"/>
    <cellStyle name="40% - 强调文字颜色 1 2 2 2 2 3 2 2 2" xfId="15591"/>
    <cellStyle name="百分比 2 2 2 2 2 2 2 3" xfId="15592"/>
    <cellStyle name="60% - 强调文字颜色 6 4 3 2 2" xfId="15593"/>
    <cellStyle name="40% - 强调文字颜色 1 2 3 2 2 3" xfId="15594"/>
    <cellStyle name="20% - 强调文字颜色 3 3 4 2 2 2" xfId="15595"/>
    <cellStyle name="计算 2 2 4 4 10" xfId="15596"/>
    <cellStyle name="输出 2 2 3 4 4 2 2" xfId="15597"/>
    <cellStyle name="标题 7 4" xfId="15598"/>
    <cellStyle name="注释 2 4 6 3" xfId="15599"/>
    <cellStyle name="强调文字颜色 4 2 2 2 4 4" xfId="15600"/>
    <cellStyle name="输入 2 6 4 4 3" xfId="15601"/>
    <cellStyle name="40% - 强调文字颜色 2 2 3 4 2" xfId="15602"/>
    <cellStyle name="标题 5 2 4 3" xfId="15603"/>
    <cellStyle name="40% - 强调文字颜色 4 3 2 4 2 2" xfId="15604"/>
    <cellStyle name="汇总 2 3 3 4 2" xfId="15605"/>
    <cellStyle name="计算 2 2 4 2 4 2 4" xfId="15606"/>
    <cellStyle name="警告文本 2 2 3 5" xfId="15607"/>
    <cellStyle name="强调文字颜色 3 2 2 2 4 3 2 2" xfId="15608"/>
    <cellStyle name="好 2 2 2 2 4 3 2" xfId="15609"/>
    <cellStyle name="注释 2 2 3 2 3 5" xfId="15610"/>
    <cellStyle name="超链接 2 3 4 2 2 2 2" xfId="15611"/>
    <cellStyle name="常规 5 5 2 2 3 2 2" xfId="15612"/>
    <cellStyle name="汇总 2 6 3 3 2 2 2" xfId="15613"/>
    <cellStyle name="汇总 2 2 2 2 2 2 2 5" xfId="15614"/>
    <cellStyle name="百分比 2 2 2 3 3 2 2" xfId="15615"/>
    <cellStyle name="常规 5 3 2 2 5 2 2" xfId="15616"/>
    <cellStyle name="链接单元格 2 2 2 4" xfId="15617"/>
    <cellStyle name="40% - 强调文字颜色 1 2 2 2 3 3 2 2" xfId="15618"/>
    <cellStyle name="常规 5 3 2 2 6" xfId="15619"/>
    <cellStyle name="常规 5 3 3 2 3" xfId="15620"/>
    <cellStyle name="常规 5 4 2 2 2 2" xfId="15621"/>
    <cellStyle name="超链接 2 2 4 2 2 3" xfId="15622"/>
    <cellStyle name="常规 5 4 2 2 3 3" xfId="15623"/>
    <cellStyle name="20% - 强调文字颜色 1 2 2 6 2 2 2" xfId="15624"/>
    <cellStyle name="强调文字颜色 6 2 5 3" xfId="15625"/>
    <cellStyle name="好 2 4 2 2 2 2 2" xfId="15626"/>
    <cellStyle name="汇总 2 2 4 4 6 2" xfId="15627"/>
    <cellStyle name="常规 3 3 7 4 2 2" xfId="15628"/>
    <cellStyle name="汇总 2 3 3 2 6" xfId="15629"/>
    <cellStyle name="常规 9 3 2 3 2" xfId="15630"/>
    <cellStyle name="计算 2 8 2 3 3" xfId="15631"/>
    <cellStyle name="适中 2 2 4 3 3" xfId="15632"/>
    <cellStyle name="超链接 2 2 4 2 3" xfId="15633"/>
    <cellStyle name="20% - 强调文字颜色 3 2 5 2 2 2" xfId="15634"/>
    <cellStyle name="超链接 2 2 2 2 4 2" xfId="15635"/>
    <cellStyle name="输出 2 3 2 7" xfId="15636"/>
    <cellStyle name="注释 2 2 6 3 5" xfId="15637"/>
    <cellStyle name="计算 2 2 4 3 2 2 4 2 2" xfId="15638"/>
    <cellStyle name="差 3 2 4 2 2 2" xfId="15639"/>
    <cellStyle name="汇总 2 5 2 8" xfId="15640"/>
    <cellStyle name="常规 5 4 2 2 5" xfId="15641"/>
    <cellStyle name="计算 2 3 3 2" xfId="15642"/>
    <cellStyle name="强调文字颜色 3 2 3 3 2 3" xfId="15643"/>
    <cellStyle name="常规 3 7 5" xfId="15644"/>
    <cellStyle name="计算 2 2 7 3 4 2 2" xfId="15645"/>
    <cellStyle name="标题 7 2 3 2" xfId="15646"/>
    <cellStyle name="60% - 强调文字颜色 1 3 2 2" xfId="15647"/>
    <cellStyle name="计算 2 2 4 2 7" xfId="15648"/>
    <cellStyle name="计算 2 2 2 2 2 4" xfId="15649"/>
    <cellStyle name="强调文字颜色 6 2 2 2 3 6" xfId="15650"/>
    <cellStyle name="注释 3 3 6 3" xfId="15651"/>
    <cellStyle name="40% - 强调文字颜色 2 3 2 4 2" xfId="15652"/>
    <cellStyle name="输入 2 2 7 8" xfId="15653"/>
    <cellStyle name="计算 2 4 2 2 2 4 2 2" xfId="15654"/>
    <cellStyle name="注释 2 4 2 3 2" xfId="15655"/>
    <cellStyle name="60% - 强调文字颜色 4 2 4 6" xfId="15656"/>
    <cellStyle name="汇总 2 10 4 3" xfId="15657"/>
    <cellStyle name="20% - 强调文字颜色 3 2 4 3" xfId="15658"/>
    <cellStyle name="20% - 强调文字颜色 2 2 2 2 2 4 3" xfId="15659"/>
    <cellStyle name="标题 6 2 2" xfId="15660"/>
    <cellStyle name="计算 6 3" xfId="15661"/>
    <cellStyle name="汇总 2 6 3 5" xfId="15662"/>
    <cellStyle name="汇总 2 4 4 2 5 2" xfId="15663"/>
    <cellStyle name="标题 3 2 2 4 4 2 2" xfId="15664"/>
    <cellStyle name="20% - 强调文字颜色 1 6 2 2" xfId="15665"/>
    <cellStyle name="常规 8 3 4 3 2" xfId="15666"/>
    <cellStyle name="20% - 强调文字颜色 5 2 3 2 3 2 2 2 2" xfId="15667"/>
    <cellStyle name="汇总 2 5 2 6" xfId="15668"/>
    <cellStyle name="常规 5 5 2 2" xfId="15669"/>
    <cellStyle name="常规 5 5 2 2 2" xfId="15670"/>
    <cellStyle name="60% - 强调文字颜色 4 2 4 2 2 2 2 2" xfId="15671"/>
    <cellStyle name="强调文字颜色 3 2 4 3 2 2" xfId="15672"/>
    <cellStyle name="常规 5 5 2 2 4" xfId="15673"/>
    <cellStyle name="常规 3 2 2 4 5" xfId="15674"/>
    <cellStyle name="20% - 强调文字颜色 3 2 6 2 2 2" xfId="15675"/>
    <cellStyle name="超链接 2 3 4 2 3" xfId="15676"/>
    <cellStyle name="标题 5 2 2 2 7" xfId="15677"/>
    <cellStyle name="标题 5 3 7" xfId="15678"/>
    <cellStyle name="常规 7 2 2 4 3 2 2" xfId="15679"/>
    <cellStyle name="常规 4 5" xfId="15680"/>
    <cellStyle name="汇总 2 2 5 3 3 3 2" xfId="15681"/>
    <cellStyle name="强调文字颜色 4 2 3 2 4 2" xfId="15682"/>
    <cellStyle name="输出 2 3 3 9" xfId="15683"/>
    <cellStyle name="计算 2 2 7 2 4 2 2" xfId="15684"/>
    <cellStyle name="百分比 2 2 3 2 2 2 2" xfId="15685"/>
    <cellStyle name="差 6" xfId="15686"/>
    <cellStyle name="常规 3 3 2 2 4 3" xfId="15687"/>
    <cellStyle name="计算 5 2 2 2 2" xfId="15688"/>
    <cellStyle name="注释 3 2 2 5 3" xfId="15689"/>
    <cellStyle name="汇总 2 2 7 7" xfId="15690"/>
    <cellStyle name="40% - 强调文字颜色 5 2 2 2 2 3 2 2" xfId="15691"/>
    <cellStyle name="60% - 强调文字颜色 1 2 2 3 8" xfId="15692"/>
    <cellStyle name="输出 2 7 2" xfId="15693"/>
    <cellStyle name="常规 2 2 4 4 2 2" xfId="15694"/>
    <cellStyle name="计算 3 2 3 6" xfId="15695"/>
    <cellStyle name="20% - 强调文字颜色 3 2 3 5 2 2" xfId="15696"/>
    <cellStyle name="常规 9 6 3 2" xfId="15697"/>
    <cellStyle name="注释 2 4 2 2 4 2 2" xfId="15698"/>
    <cellStyle name="常规 5 5 2 3" xfId="15699"/>
    <cellStyle name="汇总 2 2 4 2 2 2 2 3" xfId="15700"/>
    <cellStyle name="常规 5 4 3 2 2" xfId="15701"/>
    <cellStyle name="强调文字颜色 5 2 4 4 4" xfId="15702"/>
    <cellStyle name="60% - 强调文字颜色 1 2 2 2 5 2" xfId="15703"/>
    <cellStyle name="输入 4 2 5 3" xfId="15704"/>
    <cellStyle name="60% - 强调文字颜色 5 2 2 6 2 2" xfId="15705"/>
    <cellStyle name="40% - 强调文字颜色 1 2 5 3 2" xfId="15706"/>
    <cellStyle name="汇总 2 2 10 6" xfId="15707"/>
    <cellStyle name="超链接 3 3 5 2" xfId="15708"/>
    <cellStyle name="链接单元格 2 2 2 3 6" xfId="15709"/>
    <cellStyle name="汇总 6 4 2" xfId="15710"/>
    <cellStyle name="20% - 强调文字颜色 4 2 3 2 2 2" xfId="15711"/>
    <cellStyle name="输入 2 5 3 2 3 3" xfId="15712"/>
    <cellStyle name="常规 5 5 2 3 3 2" xfId="15713"/>
    <cellStyle name="超链接 2 3 4 3 2 2" xfId="15714"/>
    <cellStyle name="输出 2 2 4 2 3 2 3" xfId="15715"/>
    <cellStyle name="60% - 强调文字颜色 6 2 2 4 2 4" xfId="15716"/>
    <cellStyle name="20% - 强调文字颜色 4 2 2 2 2 2 5 2" xfId="15717"/>
    <cellStyle name="20% - 强调文字颜色 2 2 2 5" xfId="15718"/>
    <cellStyle name="计算 2 5 2 2 10" xfId="15719"/>
    <cellStyle name="20% - 强调文字颜色 4 2 4 3 3 2" xfId="15720"/>
    <cellStyle name="标题 5 2 3 2 2 2 3" xfId="15721"/>
    <cellStyle name="20% - 强调文字颜色 1 2 3 2 2 4 2 2" xfId="15722"/>
    <cellStyle name="注释 2 7 3 3 2" xfId="15723"/>
    <cellStyle name="输入 2 5 2 8" xfId="15724"/>
    <cellStyle name="计算 2 2 7 8" xfId="15725"/>
    <cellStyle name="20% - 强调文字颜色 3 2 2 2 2 4" xfId="15726"/>
    <cellStyle name="检查单元格 2 2 2 2 2 2 2 2" xfId="15727"/>
    <cellStyle name="汇总 2 8 2 2 2 2" xfId="15728"/>
    <cellStyle name="强调文字颜色 6 2 3 4 2 2 2" xfId="15729"/>
    <cellStyle name="强调文字颜色 2 2 6 3" xfId="15730"/>
    <cellStyle name="常规 6 2" xfId="15731"/>
    <cellStyle name="汇总 2 5 2 2 2 2 5" xfId="15732"/>
    <cellStyle name="汇总 2 3 6 3" xfId="15733"/>
    <cellStyle name="40% - 强调文字颜色 6 2 3 2 4 2 2" xfId="15734"/>
    <cellStyle name="汇总 2 2 5 9 2 2" xfId="15735"/>
    <cellStyle name="强调文字颜色 6 2 6 2" xfId="15736"/>
    <cellStyle name="20% - 强调文字颜色 6 2 6 3 2" xfId="15737"/>
    <cellStyle name="输出 3 13" xfId="15738"/>
    <cellStyle name="差 2 2 2 5 3" xfId="15739"/>
    <cellStyle name="输出 2 6 2 2 3 2 2" xfId="15740"/>
    <cellStyle name="超链接 2 3 4 2 4" xfId="15741"/>
    <cellStyle name="常规 2 2 6 3" xfId="15742"/>
    <cellStyle name="输出 2 2 5 2 2 4 2" xfId="15743"/>
    <cellStyle name="汇总 2 2 5 2 2 2 4 2 2" xfId="15744"/>
    <cellStyle name="输入 2 2 6 13" xfId="15745"/>
    <cellStyle name="强调文字颜色 2 2 2 2 4 4" xfId="15746"/>
    <cellStyle name="计算 2 10 3 2 3" xfId="15747"/>
    <cellStyle name="计算 2 3 2 4 3 3" xfId="15748"/>
    <cellStyle name="汇总 2 2 5 2 2 5 2" xfId="15749"/>
    <cellStyle name="40% - 强调文字颜色 2 2 2 3 3 2 2 2" xfId="15750"/>
    <cellStyle name="20% - 强调文字颜色 1 2 2 2 2 2 4 3 2" xfId="15751"/>
    <cellStyle name="输入 2 7 2 2 2 3" xfId="15752"/>
    <cellStyle name="汇总 2 4 4 7" xfId="15753"/>
    <cellStyle name="强调文字颜色 3 2 3 2 4 2" xfId="15754"/>
    <cellStyle name="常规 5 6 2 3" xfId="15755"/>
    <cellStyle name="注释 2 3 4 2 3" xfId="15756"/>
    <cellStyle name="常规 5 6 2 3 2 2" xfId="15757"/>
    <cellStyle name="40% - 强调文字颜色 2 2 2 2 4 2 2 2" xfId="15758"/>
    <cellStyle name="输入 2 6 3 2 2 3" xfId="15759"/>
    <cellStyle name="标题 1 2 3 2 6" xfId="15760"/>
    <cellStyle name="强调文字颜色 1 3 2 3" xfId="15761"/>
    <cellStyle name="汇总 2 2 5 2 2 6 2 2" xfId="15762"/>
    <cellStyle name="标题 2 2 3 3 2 3" xfId="15763"/>
    <cellStyle name="强调文字颜色 3 2 3 2 5 2 2" xfId="15764"/>
    <cellStyle name="20% - 强调文字颜色 6 2 2 2 2 5" xfId="15765"/>
    <cellStyle name="警告文本 2 2 7 3" xfId="15766"/>
    <cellStyle name="好 2 3 2 3 3 3" xfId="15767"/>
    <cellStyle name="计算 2 2 2 2 9" xfId="15768"/>
    <cellStyle name="20% - 强调文字颜色 6 2 2 4 2 3" xfId="15769"/>
    <cellStyle name="输入 2 5 2 2 2" xfId="15770"/>
    <cellStyle name="常规 12 3 2 2" xfId="15771"/>
    <cellStyle name="40% - 强调文字颜色 4 2 7 3 2 2" xfId="15772"/>
    <cellStyle name="常规 5 6 3" xfId="15773"/>
    <cellStyle name="输出 2 2 4 2 2" xfId="15774"/>
    <cellStyle name="常规 5 7 2" xfId="15775"/>
    <cellStyle name="常规 5 8 2" xfId="15776"/>
    <cellStyle name="输出 2 2 4 3 2" xfId="15777"/>
    <cellStyle name="常规 4 2 3 2 4 3" xfId="15778"/>
    <cellStyle name="输入 2 2 7 3 6" xfId="15779"/>
    <cellStyle name="20% - 强调文字颜色 4" xfId="15780" builtinId="42"/>
    <cellStyle name="常规 13 2 2 2 2 3 3" xfId="15781"/>
    <cellStyle name="20% - 强调文字颜色 3 2 2 5 3 2 2" xfId="15782"/>
    <cellStyle name="汇总 2 2 4 2 3 6 2 2" xfId="15783"/>
    <cellStyle name="常规 6" xfId="15784"/>
    <cellStyle name="40% - 强调文字颜色 6 2 3 2 2 3 3 2 2" xfId="15785"/>
    <cellStyle name="常规 6 3 2 2 5" xfId="15786"/>
    <cellStyle name="输出 2 2 3 2 8" xfId="15787"/>
    <cellStyle name="常规 6 2 2 2 2 2" xfId="15788"/>
    <cellStyle name="差 2" xfId="15789"/>
    <cellStyle name="汇总 2 4 4 2 4 2" xfId="15790"/>
    <cellStyle name="计算 3 2 7 3" xfId="15791"/>
    <cellStyle name="解释性文本 2 2" xfId="15792"/>
    <cellStyle name="强调文字颜色 6 2 2 2 2 6" xfId="15793"/>
    <cellStyle name="注释 3 3 5 3" xfId="15794"/>
    <cellStyle name="60% - 强调文字颜色 5 3 3 3 2 2" xfId="15795"/>
    <cellStyle name="输入 2 7 3 3 3" xfId="15796"/>
    <cellStyle name="计算 2 7 9 2 2" xfId="15797"/>
    <cellStyle name="40% - 强调文字颜色 2 3 2 3 2" xfId="15798"/>
    <cellStyle name="强调文字颜色 1 2 7 2 3" xfId="15799"/>
    <cellStyle name="超链接 3 3 2 3 3" xfId="15800"/>
    <cellStyle name="差 2 2 2 2" xfId="15801"/>
    <cellStyle name="常规 6 2 2 2 2 2 2 2 2" xfId="15802"/>
    <cellStyle name="标题 1 2 2 7 2 2" xfId="15803"/>
    <cellStyle name="百分比 2 4 3 2" xfId="15804"/>
    <cellStyle name="强调文字颜色 1 2 2 3 4 2 2 2" xfId="15805"/>
    <cellStyle name="汇总 2 2 9 3 4" xfId="15806"/>
    <cellStyle name="计算 2 2 2 2 6" xfId="15807"/>
    <cellStyle name="计算 3 3 3 2 3" xfId="15808"/>
    <cellStyle name="计算 2 9 3 5" xfId="15809"/>
    <cellStyle name="40% - 强调文字颜色 6 2 2 3 3" xfId="15810"/>
    <cellStyle name="链接单元格 2 2 2 5 2 3" xfId="15811"/>
    <cellStyle name="强调文字颜色 4 2 2 2 3 3 2" xfId="15812"/>
    <cellStyle name="输入 2 6 4 3 2 2" xfId="15813"/>
    <cellStyle name="注释 2 4 5 2 2" xfId="15814"/>
    <cellStyle name="适中 2 2 2 4" xfId="15815"/>
    <cellStyle name="汇总 5 2 3 2 2" xfId="15816"/>
    <cellStyle name="输入 2 2 3 2 2 5 2 2" xfId="15817"/>
    <cellStyle name="计算 2 5 2 7 2 2" xfId="15818"/>
    <cellStyle name="输入 2 5 6" xfId="15819"/>
    <cellStyle name="超链接 3 2 3 3 2 2" xfId="15820"/>
    <cellStyle name="解释性文本 2 3 2 4 3 2" xfId="15821"/>
    <cellStyle name="汇总 2 6 2 4 2 3" xfId="15822"/>
    <cellStyle name="计算 5 2 2 3" xfId="15823"/>
    <cellStyle name="计算 2 2 3 2 2 2 5" xfId="15824"/>
    <cellStyle name="40% - 强调文字颜色 4 2 2 2 2 3" xfId="15825"/>
    <cellStyle name="20% - 强调文字颜色 6 3 3 2 2 2" xfId="15826"/>
    <cellStyle name="20% - 强调文字颜色 1 2 2 6 3 2 2" xfId="15827"/>
    <cellStyle name="60% - 强调文字颜色 3 2 2 2 3 2 2 2 2 2" xfId="15828"/>
    <cellStyle name="注释 3 2 3 3 2" xfId="15829"/>
    <cellStyle name="强调文字颜色 2 2 2 8" xfId="15830"/>
    <cellStyle name="标题 4 2 4 2 2 2" xfId="15831"/>
    <cellStyle name="输出 2 2 2 3 4" xfId="15832"/>
    <cellStyle name="强调文字颜色 4 5" xfId="15833"/>
    <cellStyle name="输入 2 2 4 2 2 6" xfId="15834"/>
    <cellStyle name="常规 5 2 3 3 2 5" xfId="15835"/>
    <cellStyle name="标题 3 3 2 3 2 3" xfId="15836"/>
    <cellStyle name="计算 2 2 5 2 3 3 2 2" xfId="15837"/>
    <cellStyle name="汇总 2 2 10 5" xfId="15838"/>
    <cellStyle name="适中 2 8 2" xfId="15839"/>
    <cellStyle name="汇总 2 5 3 2 2 4 2 2" xfId="15840"/>
    <cellStyle name="好 2 3 2 3 2 3" xfId="15841"/>
    <cellStyle name="输入 2 5 5 6" xfId="15842"/>
    <cellStyle name="输入 2 2 2 2 3 2 2 2" xfId="15843"/>
    <cellStyle name="常规 3 7 2 5" xfId="15844"/>
    <cellStyle name="强调文字颜色 3 3 5" xfId="15845"/>
    <cellStyle name="输出 2 2 2 2 2 5" xfId="15846"/>
    <cellStyle name="好 2 3 5 2" xfId="15847"/>
    <cellStyle name="常规 6 2 2 2 3 3 2 2" xfId="15848"/>
    <cellStyle name="计算 2 2 5 7 2" xfId="15849"/>
    <cellStyle name="60% - 强调文字颜色 3 2 3 2 3" xfId="15850"/>
    <cellStyle name="超链接 2 2 2 4 2" xfId="15851"/>
    <cellStyle name="标题 3 2 2 2 2 2 2" xfId="15852"/>
    <cellStyle name="汇总 2 2 15 2 2" xfId="15853"/>
    <cellStyle name="60% - 强调文字颜色 4 2 2 2 4 3 2 2" xfId="15854"/>
    <cellStyle name="常规 6 2 2 2 4 2" xfId="15855"/>
    <cellStyle name="汇总 3 3 2 3 2" xfId="15856"/>
    <cellStyle name="常规 4 13" xfId="15857"/>
    <cellStyle name="常规 6 2 2 2 4 3" xfId="15858"/>
    <cellStyle name="汇总 3 3 2 3 3" xfId="15859"/>
    <cellStyle name="常规 4 14" xfId="15860"/>
    <cellStyle name="60% - 强调文字颜色 5 2 2 3 8" xfId="15861"/>
    <cellStyle name="40% - 强调文字颜色 1 2 2 9" xfId="15862"/>
    <cellStyle name="标题 1 2 3 6 3" xfId="15863"/>
    <cellStyle name="汇总 3 3 4 2 2" xfId="15864"/>
    <cellStyle name="常规 6 2 2 4 3 2" xfId="15865"/>
    <cellStyle name="计算 2 5 2 6 3 2 2" xfId="15866"/>
    <cellStyle name="解释性文本 2 2 3 3 4" xfId="15867"/>
    <cellStyle name="20% - 强调文字颜色 1 2 5 2 2 2 2" xfId="15868"/>
    <cellStyle name="汇总 2 2 4 2 5 2" xfId="15869"/>
    <cellStyle name="计算 2 2 12 2" xfId="15870"/>
    <cellStyle name="强调文字颜色 5 2 3 2 5 3" xfId="15871"/>
    <cellStyle name="强调文字颜色 5 2 2 2 2 3 2 3" xfId="15872"/>
    <cellStyle name="计算 2 7 2 2 8" xfId="15873"/>
    <cellStyle name="好 2 2 4 4 3" xfId="15874"/>
    <cellStyle name="60% - 强调文字颜色 5 2 3 2 4" xfId="15875"/>
    <cellStyle name="计算 2 6 3 4 2" xfId="15876"/>
    <cellStyle name="计算 2 7 4 2 2 2 2" xfId="15877"/>
    <cellStyle name="60% - 强调文字颜色 6 2 2 4 4" xfId="15878"/>
    <cellStyle name="输入 2 5 4 2 3" xfId="15879"/>
    <cellStyle name="计算 2 2 3 2 8 2" xfId="15880"/>
    <cellStyle name="20% - 强调文字颜色 2 2 2 3 2" xfId="15881"/>
    <cellStyle name="计算 2 6 2 12" xfId="15882"/>
    <cellStyle name="汇总 2 9 9" xfId="15883"/>
    <cellStyle name="20% - 强调文字颜色 4 2 7" xfId="15884"/>
    <cellStyle name="20% - 强调文字颜色 6 2 2 2 2 2 5" xfId="15885"/>
    <cellStyle name="适中 2 4 4 2 2 2" xfId="15886"/>
    <cellStyle name="标题 2 3 4 2 2" xfId="15887"/>
    <cellStyle name="输出 2 2 3 2 3 6 2" xfId="15888"/>
    <cellStyle name="20% - 强调文字颜色 5 2 2 2 2 2 3" xfId="15889"/>
    <cellStyle name="输入 3 7 2 2" xfId="15890"/>
    <cellStyle name="40% - 强调文字颜色 4 2 3 4 3 2 2" xfId="15891"/>
    <cellStyle name="计算 3 2 2 2 3 2 2" xfId="15892"/>
    <cellStyle name="标题 3 2 2 6 4" xfId="15893"/>
    <cellStyle name="60% - 强调文字颜色 1 2 2 2 3 6" xfId="15894"/>
    <cellStyle name="常规 9 4 4 2 2" xfId="15895"/>
    <cellStyle name="标题 3 2 2 5 3 3" xfId="15896"/>
    <cellStyle name="输入 2 10 6" xfId="15897"/>
    <cellStyle name="标题 1 3 3 4 2" xfId="15898"/>
    <cellStyle name="好 2 3 2 2" xfId="15899"/>
    <cellStyle name="输入 2 7 8 3" xfId="15900"/>
    <cellStyle name="标题 3 4 3 3" xfId="15901"/>
    <cellStyle name="40% - 强调文字颜色 6 2 4 2 2 2 2 2" xfId="15902"/>
    <cellStyle name="超链接 3 3 7 3" xfId="15903"/>
    <cellStyle name="常规 4 6 3 3 2 2" xfId="15904"/>
    <cellStyle name="标题 4 3 2 3 2 3" xfId="15905"/>
    <cellStyle name="强调文字颜色 5 3 7" xfId="15906"/>
    <cellStyle name="汇总 2 2 6 10 2 2" xfId="15907"/>
    <cellStyle name="20% - 强调文字颜色 3 2 2 2 2 2 3 2 2 2" xfId="15908"/>
    <cellStyle name="链接单元格 5" xfId="15909"/>
    <cellStyle name="标题 4 3 3 4 2" xfId="15910"/>
    <cellStyle name="20% - 强调文字颜色 1 2 2 2 6 2 2 2" xfId="15911"/>
    <cellStyle name="强调文字颜色 5 2 2 5 2 3" xfId="15912"/>
    <cellStyle name="计算 2 5 3 2 2 4 3" xfId="15913"/>
    <cellStyle name="60% - 强调文字颜色 5 2 3 2 2 2 2 2 2" xfId="15914"/>
    <cellStyle name="输出 2 5 7 2 2" xfId="15915"/>
    <cellStyle name="常规 4 3 2 6" xfId="15916"/>
    <cellStyle name="汇总 2 2 5 13" xfId="15917"/>
    <cellStyle name="60% - 强调文字颜色 2 3 2 4 2 2 2" xfId="15918"/>
    <cellStyle name="标题 1 2 2 2 4 3 3" xfId="15919"/>
    <cellStyle name="汇总 2 3 7 2 2" xfId="15920"/>
    <cellStyle name="汇总 2 2 4 2 6 4" xfId="15921"/>
    <cellStyle name="标题 3 2 5 2" xfId="15922"/>
    <cellStyle name="无色 2 2 2 2" xfId="15923"/>
    <cellStyle name="计算 2 4 3 3 3 2 2" xfId="15924"/>
    <cellStyle name="计算 2 2 6 7 2" xfId="15925"/>
    <cellStyle name="汇总 3 6 2 2" xfId="15926"/>
    <cellStyle name="40% - 强调文字颜色 3 2 5 4 2" xfId="15927"/>
    <cellStyle name="输出 2 2 4 5" xfId="15928"/>
    <cellStyle name="注释 2 2 5 5 3" xfId="15929"/>
    <cellStyle name="计算 4 2 5 2 2" xfId="15930"/>
    <cellStyle name="40% - 强调文字颜色 1 2 3 2 2 4 3" xfId="15931"/>
    <cellStyle name="输出 2 4 2 3 8" xfId="15932"/>
    <cellStyle name="40% - 强调文字颜色 3 2 3 2 3 2" xfId="15933"/>
    <cellStyle name="输入 2 2 5 3 4" xfId="15934"/>
    <cellStyle name="40% - 强调文字颜色 5 5 2" xfId="15935"/>
    <cellStyle name="检查单元格 2 6 3 2 2" xfId="15936"/>
    <cellStyle name="常规 9 2 3 2 2 2" xfId="15937"/>
    <cellStyle name="输出 2 8 3 3" xfId="15938"/>
    <cellStyle name="汇总 2 2 3 3 2 4 3" xfId="15939"/>
    <cellStyle name="强调文字颜色 4 2 2 4 5 2" xfId="15940"/>
    <cellStyle name="已访问的超链接" xfId="15941" builtinId="9"/>
    <cellStyle name="常规 6 2 3 4 2 2" xfId="15942"/>
    <cellStyle name="适中 2 2 2 3 7" xfId="15943"/>
    <cellStyle name="输出 2 4 2 5 2 2" xfId="15944"/>
    <cellStyle name="计算 2 5 9 3" xfId="15945"/>
    <cellStyle name="好 2 3 2 5 2" xfId="15946"/>
    <cellStyle name="20% - 强调文字颜色 1 2 2 2 2 4" xfId="15947"/>
    <cellStyle name="输入 2 2 6 2 2 6" xfId="15948"/>
    <cellStyle name="计算 2 2 4 3 2 2 2 2 2" xfId="15949"/>
    <cellStyle name="常规 5 2 2 3 5 2" xfId="15950"/>
    <cellStyle name="输入 2 2 3 2 5 3" xfId="15951"/>
    <cellStyle name="常规 6 2 3 4" xfId="15952"/>
    <cellStyle name="常规 6 2 3 4 2" xfId="15953"/>
    <cellStyle name="差 2 2 7 2" xfId="15954"/>
    <cellStyle name="常规 2 2 3 3 2 2" xfId="15955"/>
    <cellStyle name="注释 2 5 11" xfId="15956"/>
    <cellStyle name="20% - 强调文字颜色 3 2 7" xfId="15957"/>
    <cellStyle name="注释 2 2 4 8 2" xfId="15958"/>
    <cellStyle name="20% - 强调文字颜色 6 2 2 3 5 2" xfId="15959"/>
    <cellStyle name="60% - 强调文字颜色 4 3 5 2 2 2" xfId="15960"/>
    <cellStyle name="输入 2 2 9 3 2 2" xfId="15961"/>
    <cellStyle name="常规 5 2 2 2 6 2" xfId="15962"/>
    <cellStyle name="40% - 强调文字颜色 3 2 2 2 2 2 4 2" xfId="15963"/>
    <cellStyle name="强调文字颜色 1 2 2 3 3 3 2" xfId="15964"/>
    <cellStyle name="检查单元格 2 2 2 4 3 2" xfId="15965"/>
    <cellStyle name="标题 2 2 3 4 4" xfId="15966"/>
    <cellStyle name="输入 2 4 2 2 5 2 2" xfId="15967"/>
    <cellStyle name="60% - 强调文字颜色 3 2 2 3 3 3" xfId="15968"/>
    <cellStyle name="计算 3 3 6 3" xfId="15969"/>
    <cellStyle name="20% - 强调文字颜色 1 2 2 7" xfId="15970"/>
    <cellStyle name="计算 2 2 3 2 2 3 3 2" xfId="15971"/>
    <cellStyle name="60% - 强调文字颜色 2 2 2 8 2" xfId="15972"/>
    <cellStyle name="汇总 2 4 2 3 3 3" xfId="15973"/>
    <cellStyle name="解释性文本 2 5 2" xfId="15974"/>
    <cellStyle name="强调文字颜色 2 2 3 2 4 3 2" xfId="15975"/>
    <cellStyle name="标题 4 2 3 5 2 3" xfId="15976"/>
    <cellStyle name="常规 6 2 5 2 2 2" xfId="15977"/>
    <cellStyle name="链接单元格 2 2 5 2 3" xfId="15978"/>
    <cellStyle name="计算 2 5 2 2 2 2 2 3" xfId="15979"/>
    <cellStyle name="汇总 2 2 5 3 7 2" xfId="15980"/>
    <cellStyle name="输入 2 2 4 5 5" xfId="15981"/>
    <cellStyle name="常规 2 2 2 8 2" xfId="15982"/>
    <cellStyle name="40% - 强调文字颜色 3 2 2 3 3 3" xfId="15983"/>
    <cellStyle name="标题 2 3 2 4 3" xfId="15984"/>
    <cellStyle name="计算 2 2 5 7 2 2" xfId="15985"/>
    <cellStyle name="60% - 强调文字颜色 3 2 3 2 3 2" xfId="15986"/>
    <cellStyle name="差 2 2 3 7" xfId="15987"/>
    <cellStyle name="输入 2 2 4 4 2 2" xfId="15988"/>
    <cellStyle name="汇总 2 4 3 2 3 2" xfId="15989"/>
    <cellStyle name="20% - 强调文字颜色 1 2 2 4 2" xfId="15990"/>
    <cellStyle name="适中 4 8" xfId="15991"/>
    <cellStyle name="汇总 2 2 7 2 2 2" xfId="15992"/>
    <cellStyle name="40% - 强调文字颜色 2 3 5 2 2 2" xfId="15993"/>
    <cellStyle name="60% - 强调文字颜色 3 2 2 5 3" xfId="15994"/>
    <cellStyle name="输入 3 4 2 3" xfId="15995"/>
    <cellStyle name="常规 3 3 2 3 3 2" xfId="15996"/>
    <cellStyle name="链接单元格 2 4 2 2 3" xfId="15997"/>
    <cellStyle name="计算 2 3 2 3 5 2" xfId="15998"/>
    <cellStyle name="强调文字颜色 2 2 6 2 2" xfId="15999"/>
    <cellStyle name="40% - 强调文字颜色 5 2 2 2 2 4 3" xfId="16000"/>
    <cellStyle name="输入 2 2 4 2 2 2 2 4" xfId="16001"/>
    <cellStyle name="计算 2 6 4 3" xfId="16002"/>
    <cellStyle name="适中 2 5 3 2" xfId="16003"/>
    <cellStyle name="输出 4 5 2 2" xfId="16004"/>
    <cellStyle name="标题 3 2 4" xfId="16005"/>
    <cellStyle name="输入 2 5 9" xfId="16006"/>
    <cellStyle name="60% - 强调文字颜色 1 3 2 2 2 2 2" xfId="16007"/>
    <cellStyle name="汇总 2 2 8 2 5 3" xfId="16008"/>
    <cellStyle name="注释 4 2 6 2 2" xfId="16009"/>
    <cellStyle name="计算 2 2 4 5 2 4 2" xfId="16010"/>
    <cellStyle name="计算 2 2 6 6" xfId="16011"/>
    <cellStyle name="强调文字颜色 6 2 3 2 5 3" xfId="16012"/>
    <cellStyle name="60% - 强调文字颜色 2 2 2 2 2 3 3 2" xfId="16013"/>
    <cellStyle name="强调文字颜色 5 2 3 2 4 2 2 2" xfId="16014"/>
    <cellStyle name="汇总 2 2 6 12 2" xfId="16015"/>
    <cellStyle name="输入 2 2 5 4 2 2" xfId="16016"/>
    <cellStyle name="汇总 2 8" xfId="16017"/>
    <cellStyle name="40% - 强调文字颜色 2 2 7 2" xfId="16018"/>
    <cellStyle name="好 2 3 3 2 2 2 2 2" xfId="16019"/>
    <cellStyle name="60% - 强调文字颜色 1 2 3 8" xfId="16020"/>
    <cellStyle name="超链接 3 3 7 2 2" xfId="16021"/>
    <cellStyle name="40% - 强调文字颜色 1 2 5 5 2 2" xfId="16022"/>
    <cellStyle name="20% - 强调文字颜色 6 2 2 4 2 2 2 2" xfId="16023"/>
    <cellStyle name="解释性文本 2 3 3 2 3" xfId="16024"/>
    <cellStyle name="注释 2 5 3" xfId="16025"/>
    <cellStyle name="常规 5 3 2 2 2 2" xfId="16026"/>
    <cellStyle name="输入 2 4 3 2 5" xfId="16027"/>
    <cellStyle name="汇总 2 4 9 2" xfId="16028"/>
    <cellStyle name="强调文字颜色 1 2 3" xfId="16029"/>
    <cellStyle name="输出 2 5 4" xfId="16030"/>
    <cellStyle name="输入 2 3 2 2 3 3" xfId="16031"/>
    <cellStyle name="40% - 强调文字颜色 1 2 2 2 2 2 3 2 2" xfId="16032"/>
    <cellStyle name="60% - 强调文字颜色 6 3 4 2 2" xfId="16033"/>
    <cellStyle name="输入 2 7 6 2 2" xfId="16034"/>
    <cellStyle name="强调文字颜色 1 2 2 2 4 2 2" xfId="16035"/>
    <cellStyle name="强调文字颜色 4 2 3 4 2 3" xfId="16036"/>
    <cellStyle name="标题 4 2 2 7 3" xfId="16037"/>
    <cellStyle name="链接单元格 2 2 2 2 3 3" xfId="16038"/>
    <cellStyle name="40% - 强调文字颜色 3 2 3 2 4 3" xfId="16039"/>
    <cellStyle name="输入 2 5 4 7" xfId="16040"/>
    <cellStyle name="输出 2 4 2 2 2 6" xfId="16041"/>
    <cellStyle name="强调文字颜色 5 3 2 2 3 2" xfId="16042"/>
    <cellStyle name="警告文本 2 3 2 3 2 3" xfId="16043"/>
    <cellStyle name="计算 2 2 9 7" xfId="16044"/>
    <cellStyle name="20% - 强调文字颜色 3 2 2 2 4 3" xfId="16045"/>
    <cellStyle name="汇总 2 2 2 3 3 2" xfId="16046"/>
    <cellStyle name="20% - 强调文字颜色 6 2 2 2 2 2 2 3 2" xfId="16047"/>
    <cellStyle name="输出 2 5 5 3" xfId="16048"/>
    <cellStyle name="常规 2 4 3 3" xfId="16049"/>
    <cellStyle name="常规 7 9" xfId="16050"/>
    <cellStyle name="60% - 强调文字颜色 3 2 2 2 3" xfId="16051"/>
    <cellStyle name="解释性文本 2 2 3 10" xfId="16052"/>
    <cellStyle name="输出 3 3 4 3" xfId="16053"/>
    <cellStyle name="Normal 4 2 2 2 2" xfId="16054"/>
    <cellStyle name="40% - 强调文字颜色 4 2 3 2 4 3 2 2" xfId="16055"/>
    <cellStyle name="解释性文本 2 2 3 6 3" xfId="16056"/>
    <cellStyle name="链接单元格 2 3 2 6 2 2" xfId="16057"/>
    <cellStyle name="汇总 2 2 4 2 2 6" xfId="16058"/>
    <cellStyle name="常规 4 3 2 2 2 2" xfId="16059"/>
    <cellStyle name="40% - 强调文字颜色 3 3 3 2 2" xfId="16060"/>
    <cellStyle name="强调文字颜色 1 2 3 2 2 2 3" xfId="16061"/>
    <cellStyle name="常规 5 2 3 2 3 2 2" xfId="16062"/>
    <cellStyle name="汇总 2 2 2 4" xfId="16063"/>
    <cellStyle name="20% - 强调文字颜色 5 2 3 2 2 4 2" xfId="16064"/>
    <cellStyle name="适中 2 3 2 2 3 2" xfId="16065"/>
    <cellStyle name="计算 2 2 4 5 2 6" xfId="16066"/>
    <cellStyle name="60% - 强调文字颜色 6 2 2 3 4 3" xfId="16067"/>
    <cellStyle name="输出 2 2 4 2 2 4 2" xfId="16068"/>
    <cellStyle name="输出 2 2 3 2 5 2" xfId="16069"/>
    <cellStyle name="差 5 3" xfId="16070"/>
    <cellStyle name="计算 2 5 2 2 2 2 4 2 2" xfId="16071"/>
    <cellStyle name="常规 6 3 2 2 2 2" xfId="16072"/>
    <cellStyle name="标题 4 2 2 2 2 3 3 2" xfId="16073"/>
    <cellStyle name="输入 2 7 4 2 3" xfId="16074"/>
    <cellStyle name="40% - 强调文字颜色 2 3 3 2 2" xfId="16075"/>
    <cellStyle name="强调文字颜色 1 2 2 2 2 2 3" xfId="16076"/>
    <cellStyle name="强调文字颜色 4 2 3 2 2 4" xfId="16077"/>
    <cellStyle name="标题 3 2 4 6" xfId="16078"/>
    <cellStyle name="60% - 强调文字颜色 5 6 2 2 2" xfId="16079"/>
    <cellStyle name="强调文字颜色 3 2 3 2 4 2 2" xfId="16080"/>
    <cellStyle name="标题 2 2 3 2 2 3" xfId="16081"/>
    <cellStyle name="注释 3 3 2 2 2" xfId="16082"/>
    <cellStyle name="40% - 强调文字颜色 4 2 3 2 3 2 2 2 2" xfId="16083"/>
    <cellStyle name="输入 2 2 13" xfId="16084"/>
    <cellStyle name="汇总 2 2 7 3 2 2 3" xfId="16085"/>
    <cellStyle name="常规 6 2 3 4 2 2 2" xfId="16086"/>
    <cellStyle name="输入 2 6 3 2 6" xfId="16087"/>
    <cellStyle name="40% - 强调文字颜色 2 2 2 2 5" xfId="16088"/>
    <cellStyle name="注释 2 3 4 6" xfId="16089"/>
    <cellStyle name="计算 2 2 6 9 3" xfId="16090"/>
    <cellStyle name="20% - 强调文字颜色 2 2 3 2 5" xfId="16091"/>
    <cellStyle name="强调文字颜色 6 2 3 3 2 2" xfId="16092"/>
    <cellStyle name="输出 2 2 3 5 2 3" xfId="16093"/>
    <cellStyle name="计算 2 2 4 3 2 3 2 2" xfId="16094"/>
    <cellStyle name="常规 5 2 3 3 5" xfId="16095"/>
    <cellStyle name="汇总 2 11 2 2" xfId="16096"/>
    <cellStyle name="60% - 强调文字颜色 4 3 2 5" xfId="16097"/>
    <cellStyle name="输入 2 2 6 6" xfId="16098"/>
    <cellStyle name="常规 13 4 5 3" xfId="16099"/>
    <cellStyle name="标题 3 2 2 2 4 4" xfId="16100"/>
    <cellStyle name="汇总 2 4 2 2 7" xfId="16101"/>
    <cellStyle name="计算 2 3 2 3 4 3" xfId="16102"/>
    <cellStyle name="输入 2 3 2 11" xfId="16103"/>
    <cellStyle name="输出 2 2 3 3 5 2 2" xfId="16104"/>
    <cellStyle name="常规 6 3 2 3 2 2 2" xfId="16105"/>
    <cellStyle name="计算 2 5 2 2 2 2 6" xfId="16106"/>
    <cellStyle name="常规 6 3 2 4" xfId="16107"/>
    <cellStyle name="标题 1 2 2 2 2 2 2 2" xfId="16108"/>
    <cellStyle name="输入 2 4 2 2 5 2" xfId="16109"/>
    <cellStyle name="检查单元格 2 2 2 4 3" xfId="16110"/>
    <cellStyle name="常规 2 2 8" xfId="16111"/>
    <cellStyle name="汇总 2 3 9 2 2" xfId="16112"/>
    <cellStyle name="标题 5 2 3 5" xfId="16113"/>
    <cellStyle name="强调文字颜色 4 2 2 2 3 6" xfId="16114"/>
    <cellStyle name="注释 2 4 5 5" xfId="16115"/>
    <cellStyle name="常规 2 2 2 2 2 3 2 2" xfId="16116"/>
    <cellStyle name="40% - 强调文字颜色 2 2 3 3 4" xfId="16117"/>
    <cellStyle name="60% - 强调文字颜色 3 2 2 3 5 2" xfId="16118"/>
    <cellStyle name="汇总 6 2 2 2" xfId="16119"/>
    <cellStyle name="标题 6 6" xfId="16120"/>
    <cellStyle name="强调文字颜色 3 2 3 2 3 2 3" xfId="16121"/>
    <cellStyle name="强调文字颜色 6 2 2 2 2 2" xfId="16122"/>
    <cellStyle name="注释 2 2 2 3 5" xfId="16123"/>
    <cellStyle name="20% - 强调文字颜色 1 2 4 6" xfId="16124"/>
    <cellStyle name="汇总 2 2 17 2 2" xfId="16125"/>
    <cellStyle name="强调文字颜色 4 2 4 4" xfId="16126"/>
    <cellStyle name="输入 2 2 5 2 2 3 2" xfId="16127"/>
    <cellStyle name="标题 3 2 2 2 3 2 2 2" xfId="16128"/>
    <cellStyle name="超链接 2 2 3 4 2 2" xfId="16129"/>
    <cellStyle name="输入 2 2 5 2 5 2 2" xfId="16130"/>
    <cellStyle name="40% - 强调文字颜色 5 4 3 2 2" xfId="16131"/>
    <cellStyle name="输入 2 2 3 5 2" xfId="16132"/>
    <cellStyle name="常规 6 3 2 4 2 2" xfId="16133"/>
    <cellStyle name="强调文字颜色 2 2 3 2 2 4" xfId="16134"/>
    <cellStyle name="输出 2 2 3 4 5 2" xfId="16135"/>
    <cellStyle name="常规 2 7 2" xfId="16136"/>
    <cellStyle name="计算 2 4 2 2 2 7" xfId="16137"/>
    <cellStyle name="输出 2 2 3 4 5 2 2" xfId="16138"/>
    <cellStyle name="常规 6 3 2 4 2 2 2" xfId="16139"/>
    <cellStyle name="汇总 2 2 6 6" xfId="16140"/>
    <cellStyle name="注释 3 2 2 4 2" xfId="16141"/>
    <cellStyle name="60% - 强调文字颜色 5 2 2 3 3" xfId="16142"/>
    <cellStyle name="40% - 强调文字颜色 1 2 2 4" xfId="16143"/>
    <cellStyle name="强调文字颜色 5 2 2 2 2 2 3 2" xfId="16144"/>
    <cellStyle name="好 2 2 3 5 2" xfId="16145"/>
    <cellStyle name="强调文字颜色 2 2 5 2 2" xfId="16146"/>
    <cellStyle name="计算 2 2 6 2 2 9" xfId="16147"/>
    <cellStyle name="20% - 强调文字颜色 4 3 2" xfId="16148"/>
    <cellStyle name="输入 2 2 3 2 2 5 3" xfId="16149"/>
    <cellStyle name="输出 3 2 2 6 2 2" xfId="16150"/>
    <cellStyle name="计算 2 2 2 4 7" xfId="16151"/>
    <cellStyle name="常规 6 3 2 5 2" xfId="16152"/>
    <cellStyle name="输出 2 2 3 5 5" xfId="16153"/>
    <cellStyle name="汇总 4 4 3 2" xfId="16154"/>
    <cellStyle name="汇总 2 3 2 2 2 4 2 2" xfId="16155"/>
    <cellStyle name="警告文本 2 2" xfId="16156"/>
    <cellStyle name="计算 2 9 2 7" xfId="16157"/>
    <cellStyle name="标题 1 3 9" xfId="16158"/>
    <cellStyle name="警告文本 2 3 4 2" xfId="16159"/>
    <cellStyle name="输出 2 2 7 2 4" xfId="16160"/>
    <cellStyle name="20% - 强调文字颜色 5 2 4 3 3" xfId="16161"/>
    <cellStyle name="计算 2 2 3 3 3 3 2" xfId="16162"/>
    <cellStyle name="20% - 强调文字颜色 3 2 2 6 3" xfId="16163"/>
    <cellStyle name="计算 2 2 3 2 3 2 2 2" xfId="16164"/>
    <cellStyle name="标题 1 3 2 2 2 3" xfId="16165"/>
    <cellStyle name="20% - 强调文字颜色 3 4 4 2" xfId="16166"/>
    <cellStyle name="汇总 2 12 4 2" xfId="16167"/>
    <cellStyle name="60% - 强调文字颜色 3 2 3 6 2" xfId="16168"/>
    <cellStyle name="20% - 强调文字颜色 2 2 2 4 3" xfId="16169"/>
    <cellStyle name="常规 11 2 2 4" xfId="16170"/>
    <cellStyle name="常规 6 3 3 3" xfId="16171"/>
    <cellStyle name="输入 2 2 7 7" xfId="16172"/>
    <cellStyle name="常规 5 2 3 4 6" xfId="16173"/>
    <cellStyle name="20% - 强调文字颜色 3 3 3 4" xfId="16174"/>
    <cellStyle name="注释 2 4 3 2 3" xfId="16175"/>
    <cellStyle name="强调文字颜色 4 2 4 2 3" xfId="16176"/>
    <cellStyle name="常规 5 4 2 2 3 2 2" xfId="16177"/>
    <cellStyle name="超链接 2 2 4 2 2 2 2" xfId="16178"/>
    <cellStyle name="好 2 3 2 3 2 2 2" xfId="16179"/>
    <cellStyle name="常规 6 3 3 3 2" xfId="16180"/>
    <cellStyle name="汇总 2 5 4 2 2 2" xfId="16181"/>
    <cellStyle name="输出 2 2 4 3 5" xfId="16182"/>
    <cellStyle name="常规 9 7 4" xfId="16183"/>
    <cellStyle name="汇总 2 5 4 2 2 2 2" xfId="16184"/>
    <cellStyle name="输出 2 2 4 3 5 2" xfId="16185"/>
    <cellStyle name="注释 2 4 3 4" xfId="16186"/>
    <cellStyle name="注释 2 8 2 3 2" xfId="16187"/>
    <cellStyle name="20% - 强调文字颜色 5 2 2 2 2 2 2 2 2 2" xfId="16188"/>
    <cellStyle name="计算 2 6 5" xfId="16189"/>
    <cellStyle name="60% - 强调文字颜色 2 2 2 4 5 2" xfId="16190"/>
    <cellStyle name="计算 2 2 8 2 2 3 2" xfId="16191"/>
    <cellStyle name="注释 2 2 3 2 9" xfId="16192"/>
    <cellStyle name="60% - 强调文字颜色 5 3 5 2 2 2" xfId="16193"/>
    <cellStyle name="40% - 强调文字颜色 5 2 3 2 4" xfId="16194"/>
    <cellStyle name="检查单元格 2 3 3 2 2" xfId="16195"/>
    <cellStyle name="常规 6 4 2 3" xfId="16196"/>
    <cellStyle name="输出 2 2 5 4 2 3" xfId="16197"/>
    <cellStyle name="输入 2 3 2 2 2 3 2 2" xfId="16198"/>
    <cellStyle name="差 3 2 2 2 3" xfId="16199"/>
    <cellStyle name="常规 7 2 2 5 2 2 2" xfId="16200"/>
    <cellStyle name="60% - 强调文字颜色 6 2 2 2 2 4 2" xfId="16201"/>
    <cellStyle name="常规 4 2 2 2 2 3" xfId="16202"/>
    <cellStyle name="常规 6 4 3" xfId="16203"/>
    <cellStyle name="常规 4 2 2 2 3" xfId="16204"/>
    <cellStyle name="标题 3 2 2 3 3 2 2 2" xfId="16205"/>
    <cellStyle name="输出 2 2 13" xfId="16206"/>
    <cellStyle name="常规 19" xfId="16207"/>
    <cellStyle name="常规 24" xfId="16208"/>
    <cellStyle name="汇总 2 6 9 3" xfId="16209"/>
    <cellStyle name="链接单元格 2 7 2 2 2" xfId="16210"/>
    <cellStyle name="强调文字颜色 4 2 2 3 5 2 2" xfId="16211"/>
    <cellStyle name="常规 6 4 3 2" xfId="16212"/>
    <cellStyle name="60% - 强调文字颜色 6 2 2 3 4 2 3" xfId="16213"/>
    <cellStyle name="超链接 2 2 3 3 2 2" xfId="16214"/>
    <cellStyle name="标题 1 2 7 2 2" xfId="16215"/>
    <cellStyle name="20% - 强调文字颜色 1 4 3 2 2" xfId="16216"/>
    <cellStyle name="标题 5 3 2 3 3 3" xfId="16217"/>
    <cellStyle name="常规 11 3 2 3" xfId="16218"/>
    <cellStyle name="汇总 2 5 2 2 2 2 2 2" xfId="16219"/>
    <cellStyle name="警告文本 2 2 4 3 4" xfId="16220"/>
    <cellStyle name="适中 2 2 2 2 2" xfId="16221"/>
    <cellStyle name="标题 2 5 2 3" xfId="16222"/>
    <cellStyle name="计算 2 2 6 2 2 3 2 2" xfId="16223"/>
    <cellStyle name="汇总 4 2 5" xfId="16224"/>
    <cellStyle name="汇总 2 3 2 2 2 2 4" xfId="16225"/>
    <cellStyle name="汇总 2 2 4 3 2 2 4 3" xfId="16226"/>
    <cellStyle name="汇总 2 5 4" xfId="16227"/>
    <cellStyle name="注释 2 2 3 5 4" xfId="16228"/>
    <cellStyle name="计算 4 2 3 2 3" xfId="16229"/>
    <cellStyle name="输入 2 2 5 2" xfId="16230"/>
    <cellStyle name="计算 2 6 2 2 3 2" xfId="16231"/>
    <cellStyle name="汇总 2 2 3 8 3" xfId="16232"/>
    <cellStyle name="60% - 强调文字颜色 4 4 4 2 2" xfId="16233"/>
    <cellStyle name="强调文字颜色 1 2 2 2 2 3 2 2 2" xfId="16234"/>
    <cellStyle name="输入 2 7 2 2 3 2 2" xfId="16235"/>
    <cellStyle name="输入 2 15 2" xfId="16236"/>
    <cellStyle name="输出 2 4 2 3 9" xfId="16237"/>
    <cellStyle name="计算 2 5 2 4 5 2" xfId="16238"/>
    <cellStyle name="标题 5 2 8" xfId="16239"/>
    <cellStyle name="计算 2 2 2 4" xfId="16240"/>
    <cellStyle name="输入 2 2 7 11" xfId="16241"/>
    <cellStyle name="标题 3 2 2 6 3 2" xfId="16242"/>
    <cellStyle name="常规 5 2 2 3 3 5" xfId="16243"/>
    <cellStyle name="输入 2 2 3 2 3 6" xfId="16244"/>
    <cellStyle name="常规 6 4 4 3" xfId="16245"/>
    <cellStyle name="常规 7 2 2 3 2 2 2 2" xfId="16246"/>
    <cellStyle name="40% - 强调文字颜色 2 2 2 7 2" xfId="16247"/>
    <cellStyle name="标题 3 2 3 3 2 2 2 3" xfId="16248"/>
    <cellStyle name="20% - 强调文字颜色 5 2 2 3 2 2" xfId="16249"/>
    <cellStyle name="输出 2 2 5 2 3 2" xfId="16250"/>
    <cellStyle name="常规 6 7 3 2" xfId="16251"/>
    <cellStyle name="计算 2 6 2 2 6 2 2" xfId="16252"/>
    <cellStyle name="注释 2 2 3 2 2 2 7" xfId="16253"/>
    <cellStyle name="输入 2 2 5 3 6" xfId="16254"/>
    <cellStyle name="计算 2 2 2 9 2 2" xfId="16255"/>
    <cellStyle name="输入 2 2 3 3 5 2 2" xfId="16256"/>
    <cellStyle name="注释 2 3 2 10" xfId="16257"/>
    <cellStyle name="汇总 2 2 6 2 9" xfId="16258"/>
    <cellStyle name="标题 3 2 2 3 3" xfId="16259"/>
    <cellStyle name="强调文字颜色 6 2 2 2 5 2 2" xfId="16260"/>
    <cellStyle name="计算 2 2 4 4 3 2" xfId="16261"/>
    <cellStyle name="强调文字颜色 3 3 2 3" xfId="16262"/>
    <cellStyle name="输出 2 2 2 2 2 2 3" xfId="16263"/>
    <cellStyle name="检查单元格 3 2 5" xfId="16264"/>
    <cellStyle name="计算 2 7 2 2 5" xfId="16265"/>
    <cellStyle name="强调文字颜色 1 2 2 3 2 2 2" xfId="16266"/>
    <cellStyle name="输入 2 8 4 2 2" xfId="16267"/>
    <cellStyle name="强调文字颜色 4 2 4 2 2 3" xfId="16268"/>
    <cellStyle name="汇总 2 2 9 2 5" xfId="16269"/>
    <cellStyle name="汇总 2 2 4 2 2 3 3 3" xfId="16270"/>
    <cellStyle name="常规 5 4 4 3 2" xfId="16271"/>
    <cellStyle name="60% - 强调文字颜色 6 4 2 2" xfId="16272"/>
    <cellStyle name="标题 5 6 2 2" xfId="16273"/>
    <cellStyle name="标题 5 2 2 5 2 2" xfId="16274"/>
    <cellStyle name="计算 2 2 5 6 3" xfId="16275"/>
    <cellStyle name="汇总 2 2 4 2 3 2" xfId="16276"/>
    <cellStyle name="好 2 2 2 6 2 3" xfId="16277"/>
    <cellStyle name="差 2 2 5 2 2 2" xfId="16278"/>
    <cellStyle name="好 2 2 3 9" xfId="16279"/>
    <cellStyle name="强调文字颜色 2 2 4 3 2 3" xfId="16280"/>
    <cellStyle name="计算 2 2 10 2" xfId="16281"/>
    <cellStyle name="注释 2 2 5 6 2" xfId="16282"/>
    <cellStyle name="计算 2 2 6 6 2 2 2" xfId="16283"/>
    <cellStyle name="输出 2 2 5 4" xfId="16284"/>
    <cellStyle name="40% - 强调文字颜色 1 2 3 2 2 5 2" xfId="16285"/>
    <cellStyle name="40% - 强调文字颜色 3 2 2 4 3 3 2" xfId="16286"/>
    <cellStyle name="常规 7" xfId="16287"/>
    <cellStyle name="常规 7 2 2" xfId="16288"/>
    <cellStyle name="常规 5 3 4 4 3" xfId="16289"/>
    <cellStyle name="常规 7 2 2 2" xfId="16290"/>
    <cellStyle name="汇总 2 4 3 6 2" xfId="16291"/>
    <cellStyle name="计算 2 5 6" xfId="16292"/>
    <cellStyle name="常规 7 2 2 2 2" xfId="16293"/>
    <cellStyle name="常规 7 2 2 2 3 3 2 2" xfId="16294"/>
    <cellStyle name="常规 7 3" xfId="16295"/>
    <cellStyle name="60% - 强调文字颜色 1 2 2 6 2 2" xfId="16296"/>
    <cellStyle name="警告文本 2 2 6 3 3" xfId="16297"/>
    <cellStyle name="警告文本 3 5 2" xfId="16298"/>
    <cellStyle name="输入 2 2 4 3 2 3 2 2" xfId="16299"/>
    <cellStyle name="常规 7 2 5 2 2 2" xfId="16300"/>
    <cellStyle name="常规 4 2 3 4 5" xfId="16301"/>
    <cellStyle name="计算 2 2 4 2 2 3 3 2" xfId="16302"/>
    <cellStyle name="标题 4 2 3 2 3 2 2 3" xfId="16303"/>
    <cellStyle name="60% - 强调文字颜色 6 2 2 2 2 4 2 3" xfId="16304"/>
    <cellStyle name="常规 7 3 2" xfId="16305"/>
    <cellStyle name="强调文字颜色 5 3 2 4" xfId="16306"/>
    <cellStyle name="无色 2 4 2" xfId="16307"/>
    <cellStyle name="汇总 2 2 3 5 3 3" xfId="16308"/>
    <cellStyle name="差 2 2 2 2 6 2 2" xfId="16309"/>
    <cellStyle name="常规 7 3 2 2" xfId="16310"/>
    <cellStyle name="常规 7 3 2 2 2 2" xfId="16311"/>
    <cellStyle name="标题 2 2 3 3 2 2 2 2" xfId="16312"/>
    <cellStyle name="计算 3 2 2 5" xfId="16313"/>
    <cellStyle name="检查单元格 2 3 2 2 2 2 2" xfId="16314"/>
    <cellStyle name="常规 2 2 2 3 2" xfId="16315"/>
    <cellStyle name="标题 2 2 4 3 3 3" xfId="16316"/>
    <cellStyle name="60% - 强调文字颜色 6 2 3 4 3 2 2" xfId="16317"/>
    <cellStyle name="20% - 强调文字颜色 5 2 2 2 4 2 2" xfId="16318"/>
    <cellStyle name="常规 3 3 2 3" xfId="16319"/>
    <cellStyle name="注释 7 3" xfId="16320"/>
    <cellStyle name="检查单元格 2 2 3 4" xfId="16321"/>
    <cellStyle name="计算 2 7 4 4 2" xfId="16322"/>
    <cellStyle name="输入 2 9 5" xfId="16323"/>
    <cellStyle name="强调文字颜色 1 2 2 4 3" xfId="16324"/>
    <cellStyle name="60% - 强调文字颜色 6 2 2 4 3 2 3" xfId="16325"/>
    <cellStyle name="常规 7 3 3 2" xfId="16326"/>
    <cellStyle name="汇总 2 7 2 2 2 4 2" xfId="16327"/>
    <cellStyle name="汇总 2 5 15" xfId="16328"/>
    <cellStyle name="常规 7 3 3 2 2 2" xfId="16329"/>
    <cellStyle name="超链接 3 3 3 2 4" xfId="16330"/>
    <cellStyle name="输出 2 4 2 2 8" xfId="16331"/>
    <cellStyle name="超链接 3 2 3 3" xfId="16332"/>
    <cellStyle name="40% - 强调文字颜色 1 2 2 4 5 2" xfId="16333"/>
    <cellStyle name="输出 2 2 3 5" xfId="16334"/>
    <cellStyle name="40% - 强调文字颜色 1 2 3 2 2 3 3" xfId="16335"/>
    <cellStyle name="注释 2 2 5 4 3" xfId="16336"/>
    <cellStyle name="常规 11 2 8" xfId="16337"/>
    <cellStyle name="汇总 6 5" xfId="16338"/>
    <cellStyle name="60% - 强调文字颜色 5 2 2 6 3" xfId="16339"/>
    <cellStyle name="40% - 强调文字颜色 1 2 5 4" xfId="16340"/>
    <cellStyle name="强调文字颜色 2 2 4 3 2 2 2" xfId="16341"/>
    <cellStyle name="超链接 3 3 6" xfId="16342"/>
    <cellStyle name="汇总 2 2 2 2 7 2 2" xfId="16343"/>
    <cellStyle name="超链接 2 2 2 2 3 2 2 2" xfId="16344"/>
    <cellStyle name="解释性文本 2 3 2 2 3" xfId="16345"/>
    <cellStyle name="60% - 强调文字颜色 3 3 9" xfId="16346"/>
    <cellStyle name="好 2 2 2 6 2 2 2" xfId="16347"/>
    <cellStyle name="60% - 强调文字颜色 4 2 2 2 2 5" xfId="16348"/>
    <cellStyle name="20% - 强调文字颜色 3 4 2 2 2" xfId="16349"/>
    <cellStyle name="汇总 2 12 2 2 2" xfId="16350"/>
    <cellStyle name="60% - 强调文字颜色 6 2 2 7 3" xfId="16351"/>
    <cellStyle name="输入 2 5 4 5 2" xfId="16352"/>
    <cellStyle name="常规 5 2 3 8" xfId="16353"/>
    <cellStyle name="60% - 强调文字颜色 1 2 2 5 3 2 2" xfId="16354"/>
    <cellStyle name="标题 2 6 3" xfId="16355"/>
    <cellStyle name="汇总 2 6 3" xfId="16356"/>
    <cellStyle name="汇总 2 5 2 2 3 5" xfId="16357"/>
    <cellStyle name="常规 7 3 4 2 2 2" xfId="16358"/>
    <cellStyle name="汇总 2 2 4 2 2 2 2 4 2" xfId="16359"/>
    <cellStyle name="计算 2 4 2 3 2 2 2" xfId="16360"/>
    <cellStyle name="输出 2 2 4 8 2" xfId="16361"/>
    <cellStyle name="计算 2 3 2 2 2 8" xfId="16362"/>
    <cellStyle name="常规 5 4 3 2 3 2" xfId="16363"/>
    <cellStyle name="链接单元格 2 4 4" xfId="16364"/>
    <cellStyle name="链接单元格 4 2 3 2" xfId="16365"/>
    <cellStyle name="强调文字颜色 6 4 2 3 2" xfId="16366"/>
    <cellStyle name="汇总 2 2 4 6 3 2 2" xfId="16367"/>
    <cellStyle name="标题 1 3 7" xfId="16368"/>
    <cellStyle name="计算 2 9 2 5" xfId="16369"/>
    <cellStyle name="汇总 2 2 4 3 10" xfId="16370"/>
    <cellStyle name="强调文字颜色 4 2 2 4 5" xfId="16371"/>
    <cellStyle name="60% - 强调文字颜色 2 2 2 2 3 2" xfId="16372"/>
    <cellStyle name="计算 2 2 4 3 2 3 3" xfId="16373"/>
    <cellStyle name="常规 7 3 5 2 2" xfId="16374"/>
    <cellStyle name="常规 2 2 4 2 3 2" xfId="16375"/>
    <cellStyle name="输出 5 5 2" xfId="16376"/>
    <cellStyle name="计算 2 10 2 3 2" xfId="16377"/>
    <cellStyle name="检查单元格 2 2 7 2" xfId="16378"/>
    <cellStyle name="强调文字颜色 5 3 2 3 2" xfId="16379"/>
    <cellStyle name="汇总 2 2 3 5 3 2 2" xfId="16380"/>
    <cellStyle name="注释 2 5 3 5" xfId="16381"/>
    <cellStyle name="常规 7 4 3 2 2" xfId="16382"/>
    <cellStyle name="20% - 强调文字颜色 3 2 10" xfId="16383"/>
    <cellStyle name="计算 2 3 2 13" xfId="16384"/>
    <cellStyle name="计算 2 2 5 10 2" xfId="16385"/>
    <cellStyle name="40% - 强调文字颜色 1 2 3 2 2 4 3 2" xfId="16386"/>
    <cellStyle name="输出 2 2 8 3" xfId="16387"/>
    <cellStyle name="常规 12 3 2 3 2" xfId="16388"/>
    <cellStyle name="百分比 2 2 2 5 2" xfId="16389"/>
    <cellStyle name="超链接 3 3 3 2 2 3" xfId="16390"/>
    <cellStyle name="常规 7 5 3 2" xfId="16391"/>
    <cellStyle name="60% - 强调文字颜色 2 2 3 2 3 3 2" xfId="16392"/>
    <cellStyle name="好 3 2 5" xfId="16393"/>
    <cellStyle name="计算 2 8 11" xfId="16394"/>
    <cellStyle name="常规 6 2 2 2 4 2 2" xfId="16395"/>
    <cellStyle name="输入 2 5 3 9" xfId="16396"/>
    <cellStyle name="汇总 3 3 2 3 2 2" xfId="16397"/>
    <cellStyle name="计算 2 5 3 2 4 2 2" xfId="16398"/>
    <cellStyle name="40% - 强调文字颜色 5 2 2 4 3 2 2" xfId="16399"/>
    <cellStyle name="强调文字颜色 6 2 3 4 4" xfId="16400"/>
    <cellStyle name="汇总 2 8 2 4" xfId="16401"/>
    <cellStyle name="标题 5 4 3 3 3" xfId="16402"/>
    <cellStyle name="汇总 2 2 10 3" xfId="16403"/>
    <cellStyle name="汇总 2 2 2 3 2 2 2" xfId="16404"/>
    <cellStyle name="输出 2 5 4 3 2" xfId="16405"/>
    <cellStyle name="汇总 2 2 8 3 2 2 3" xfId="16406"/>
    <cellStyle name="60% - 强调文字颜色 5 2 3 2 2 4" xfId="16407"/>
    <cellStyle name="汇总 2 5 2 2 2 2 2 2 2" xfId="16408"/>
    <cellStyle name="百分比 2 4" xfId="16409"/>
    <cellStyle name="常规 7 6 3 2" xfId="16410"/>
    <cellStyle name="汇总 2 6 5 3 2" xfId="16411"/>
    <cellStyle name="汇总 2 2 4 9" xfId="16412"/>
    <cellStyle name="差 2 4 4" xfId="16413"/>
    <cellStyle name="20% - 强调文字颜色 4 6 2 2" xfId="16414"/>
    <cellStyle name="计算 2 2 16" xfId="16415"/>
    <cellStyle name="计算 2 2 21" xfId="16416"/>
    <cellStyle name="计算 2 2 2 4 3 2 2" xfId="16417"/>
    <cellStyle name="计算 2 2 6 3 5 2" xfId="16418"/>
    <cellStyle name="常规 5 2 3 3 2" xfId="16419"/>
    <cellStyle name="输入 2 2 6 3" xfId="16420"/>
    <cellStyle name="60% - 强调文字颜色 4 3 2 2" xfId="16421"/>
    <cellStyle name="计算 2 2 4 8 2" xfId="16422"/>
    <cellStyle name="注释 2 2 5 2 4 2 2" xfId="16423"/>
    <cellStyle name="60% - 强调文字颜色 3 2 2 3 3" xfId="16424"/>
    <cellStyle name="输出 2 5 3 2 2 2" xfId="16425"/>
    <cellStyle name="输出 2 2 3 5 2 4" xfId="16426"/>
    <cellStyle name="计算 2 5 2 8 2" xfId="16427"/>
    <cellStyle name="汇总 2 6 14" xfId="16428"/>
    <cellStyle name="输出 2 5 3 6" xfId="16429"/>
    <cellStyle name="汇总 2 6 5 3 2 2" xfId="16430"/>
    <cellStyle name="汇总 2 2 4 9 2" xfId="16431"/>
    <cellStyle name="常规 3 7 4 2" xfId="16432"/>
    <cellStyle name="强调文字颜色 6 2 3 3 2 3" xfId="16433"/>
    <cellStyle name="常规 7 6 3 2 2" xfId="16434"/>
    <cellStyle name="强调文字颜色 2 2 3 2 4" xfId="16435"/>
    <cellStyle name="输出 2 2 3 2 2 2 4 2 2" xfId="16436"/>
    <cellStyle name="60% - 强调文字颜色 4 4 2 2 2" xfId="16437"/>
    <cellStyle name="输出 3 3 7" xfId="16438"/>
    <cellStyle name="计算 2 5 4 3 2 3" xfId="16439"/>
    <cellStyle name="20% - 强调文字颜色 2 3 4" xfId="16440"/>
    <cellStyle name="注释 2 2 3 2 3 2 5" xfId="16441"/>
    <cellStyle name="差 2 2 2 3 2 2 2" xfId="16442"/>
    <cellStyle name="常规 10 4 3 3 3" xfId="16443"/>
    <cellStyle name="注释 2 2 3 3 2 2 3" xfId="16444"/>
    <cellStyle name="20% - 强调文字颜色 4 2 3 3 2 2 2 2 2" xfId="16445"/>
    <cellStyle name="常规 6 2 5 2 2" xfId="16446"/>
    <cellStyle name="计算 2 2 3 2 2 3" xfId="16447"/>
    <cellStyle name="计算 2 3 4 2 6" xfId="16448"/>
    <cellStyle name="计算 2 5 2 2 2 5 3" xfId="16449"/>
    <cellStyle name="输出 2 2 3 3" xfId="16450"/>
    <cellStyle name="标题 2 2 2 5 3 3" xfId="16451"/>
    <cellStyle name="常规 4 8" xfId="16452"/>
    <cellStyle name="输入 2 2 3 2 2 8" xfId="16453"/>
    <cellStyle name="标题 3 2 3 2 3 4" xfId="16454"/>
    <cellStyle name="常规 5 6 3 2 2" xfId="16455"/>
    <cellStyle name="汇总 2 2 4 2 4 2 2 3" xfId="16456"/>
    <cellStyle name="20% - 强调文字颜色 4 2 2 5 2 2 2" xfId="16457"/>
    <cellStyle name="常规 5 3 4 2 3" xfId="16458"/>
    <cellStyle name="汇总 2 2 3 2 2 5 3" xfId="16459"/>
    <cellStyle name="汇总 2 6 4 2 3" xfId="16460"/>
    <cellStyle name="计算 2 2 6 3 3 3" xfId="16461"/>
    <cellStyle name="输入 2 2 4 14" xfId="16462"/>
    <cellStyle name="常规 13 2 2 2 2 3 2 2" xfId="16463"/>
    <cellStyle name="20% - 强调文字颜色 3 2" xfId="16464"/>
    <cellStyle name="计算 2 4 2 3 6" xfId="16465"/>
    <cellStyle name="计算 2 4 2 2" xfId="16466"/>
    <cellStyle name="强调文字颜色 2 2 3 3 2 3" xfId="16467"/>
    <cellStyle name="差 2 2 4 2 2 2" xfId="16468"/>
    <cellStyle name="汇总 2 2 3 2 3 2" xfId="16469"/>
    <cellStyle name="警告文本 3 2 3 2" xfId="16470"/>
    <cellStyle name="计算 2 3 3" xfId="16471"/>
    <cellStyle name="常规 8 2 2" xfId="16472"/>
    <cellStyle name="标题 5 3 6 2 2" xfId="16473"/>
    <cellStyle name="输出 2 3 2 2 4 3" xfId="16474"/>
    <cellStyle name="输入 2 2 17" xfId="16475"/>
    <cellStyle name="输出 3 3 6" xfId="16476"/>
    <cellStyle name="无色" xfId="16477"/>
    <cellStyle name="强调文字颜色 2 2 3 2 3" xfId="16478"/>
    <cellStyle name="输出 2 4 5 2 2 2" xfId="16479"/>
    <cellStyle name="40% - 强调文字颜色 3 2 2 3 2 2 2 2" xfId="16480"/>
    <cellStyle name="汇总 2 5 5 5 2" xfId="16481"/>
    <cellStyle name="常规 12 3 5 2 2" xfId="16482"/>
    <cellStyle name="计算 2 2 4 7 2" xfId="16483"/>
    <cellStyle name="60% - 强调文字颜色 6 3 2 2 2 2" xfId="16484"/>
    <cellStyle name="20% - 强调文字颜色 4 2 2 2 2 2 3 3" xfId="16485"/>
    <cellStyle name="输出 2 2 5 7 2 2" xfId="16486"/>
    <cellStyle name="60% - 强调文字颜色 1 2 2 2 2 3 3 2 2" xfId="16487"/>
    <cellStyle name="汇总 2 5 6 3 3" xfId="16488"/>
    <cellStyle name="20% - 强调文字颜色 3 2 2 2 2 2 4 2 2 2" xfId="16489"/>
    <cellStyle name="输出 2 6 2 2 2 3" xfId="16490"/>
    <cellStyle name="汇总 2 2 5 2 2 2 2 2 2" xfId="16491"/>
    <cellStyle name="计算 2 2 7 3 2 4 2" xfId="16492"/>
    <cellStyle name="60% - 强调文字颜色 4 2 2 2 5 2" xfId="16493"/>
    <cellStyle name="差 2 2 4 2 2 3" xfId="16494"/>
    <cellStyle name="汇总 2 2 3 2 3 3" xfId="16495"/>
    <cellStyle name="差 2 2 2 2 3 2 2" xfId="16496"/>
    <cellStyle name="汇总 2 5 2 4 2" xfId="16497"/>
    <cellStyle name="标题 3 2 2 10" xfId="16498"/>
    <cellStyle name="汇总 2 3 3 3 3 2" xfId="16499"/>
    <cellStyle name="警告文本 2 2 2 6 2" xfId="16500"/>
    <cellStyle name="汇总 2 5 2 10 2" xfId="16501"/>
    <cellStyle name="好 2 2 3 10" xfId="16502"/>
    <cellStyle name="强调文字颜色 4 2 2 2 5 2 2 2" xfId="16503"/>
    <cellStyle name="警告文本 2 3 2 2 2 2" xfId="16504"/>
    <cellStyle name="超链接 3 2 2 5 3" xfId="16505"/>
    <cellStyle name="差 2 2 2 3 3 2" xfId="16506"/>
    <cellStyle name="20% - 强调文字颜色 1 2 2 2 2 4 3 2 2" xfId="16507"/>
    <cellStyle name="输入 2 3 4 2 2" xfId="16508"/>
    <cellStyle name="常规 10 5 2 2" xfId="16509"/>
    <cellStyle name="40% - 强调文字颜色 4 2 5 5 2 2" xfId="16510"/>
    <cellStyle name="注释 2 2 7 2 6" xfId="16511"/>
    <cellStyle name="汇总 2 2 7 4 7" xfId="16512"/>
    <cellStyle name="计算 2 2 2 2 14" xfId="16513"/>
    <cellStyle name="标题 1 2 7 3" xfId="16514"/>
    <cellStyle name="超链接 2 2 3 3 3" xfId="16515"/>
    <cellStyle name="标题" xfId="16516" builtinId="15"/>
    <cellStyle name="强调文字颜色 3 3 5 2" xfId="16517"/>
    <cellStyle name="20% - 强调文字颜色 2 2 3 2 2 4 2 2 2" xfId="16518"/>
    <cellStyle name="输出 2 2 2 2 2 5 2" xfId="16519"/>
    <cellStyle name="40% - 强调文字颜色 5 2 6 2" xfId="16520"/>
    <cellStyle name="输入 2 2 14" xfId="16521"/>
    <cellStyle name="输入 2 2 2 9" xfId="16522"/>
    <cellStyle name="标题 5 3 2 2 5" xfId="16523"/>
    <cellStyle name="常规 11 2 4" xfId="16524"/>
    <cellStyle name="输入 2 2 5 2 2 3 3" xfId="16525"/>
    <cellStyle name="强调文字颜色 4 2 4 5" xfId="16526"/>
    <cellStyle name="强调文字颜色 1 3 3 2 2" xfId="16527"/>
    <cellStyle name="适中 2 3 2 8" xfId="16528"/>
    <cellStyle name="计算 2 2 4 2 2 2 2 4" xfId="16529"/>
    <cellStyle name="20% - 强调文字颜色 5 2 2 2 2 2 5 2" xfId="16530"/>
    <cellStyle name="汇总 4 7" xfId="16531"/>
    <cellStyle name="计算 2 2 5 3 5 2" xfId="16532"/>
    <cellStyle name="计算 2 2 2 3 3 2 2" xfId="16533"/>
    <cellStyle name="20% - 强调文字颜色 2 2 2 5 3" xfId="16534"/>
    <cellStyle name="计算 2 2 3 3 2 4 2 2" xfId="16535"/>
    <cellStyle name="60% - 强调文字颜色 3 2 3 7 2" xfId="16536"/>
    <cellStyle name="检查单元格 3 3 4" xfId="16537"/>
    <cellStyle name="强调文字颜色 3 3 3 2" xfId="16538"/>
    <cellStyle name="输出 2 2 2 2 2 3 2" xfId="16539"/>
    <cellStyle name="输出 2 3 2 13" xfId="16540"/>
    <cellStyle name="输入 2 2 5 4 8" xfId="16541"/>
    <cellStyle name="60% - 强调文字颜色 3 3 2 2" xfId="16542"/>
    <cellStyle name="20% - 强调文字颜色 3 6 2 2" xfId="16543"/>
    <cellStyle name="汇总 2 14 2 2" xfId="16544"/>
    <cellStyle name="警告文本 2 3 6" xfId="16545"/>
    <cellStyle name="汇总 2 2 10 4 2 2" xfId="16546"/>
    <cellStyle name="常规 4 2 3 2 4 2" xfId="16547"/>
    <cellStyle name="汇总 2 2 6 5 3 2 2" xfId="16548"/>
    <cellStyle name="输入 2 3 2 2 2 2 3" xfId="16549"/>
    <cellStyle name="60% - 强调文字颜色 6 3 5 2 2" xfId="16550"/>
    <cellStyle name="40% - 强调文字颜色 1 2 2 2 2 2 4 2 2" xfId="16551"/>
    <cellStyle name="输入 2 5 2 2 2 2 4" xfId="16552"/>
    <cellStyle name="输入 3 2 5" xfId="16553"/>
    <cellStyle name="常规 8 2 2 2 2 2 2 2" xfId="16554"/>
    <cellStyle name="输入 2 3 2 3 2 2" xfId="16555"/>
    <cellStyle name="汇总 2 5 2 2 9" xfId="16556"/>
    <cellStyle name="计算 2 5 3 3 2 3" xfId="16557"/>
    <cellStyle name="差 4 2" xfId="16558"/>
    <cellStyle name="强调文字颜色 5 2 2 2 4 3 3" xfId="16559"/>
    <cellStyle name="常规 4 3 2" xfId="16560"/>
    <cellStyle name="60% - 强调文字颜色 4 2 2 4 5" xfId="16561"/>
    <cellStyle name="计算 2 7 2 2 2 2 3" xfId="16562"/>
    <cellStyle name="警告文本 2 6 2 2 2" xfId="16563"/>
    <cellStyle name="60% - 强调文字颜色 2 2 2 4 4" xfId="16564"/>
    <cellStyle name="链接单元格 2 3 5 2 3" xfId="16565"/>
    <cellStyle name="强调文字颜色 6 2 2 3 4" xfId="16566"/>
    <cellStyle name="标题 5 4 2 2 3" xfId="16567"/>
    <cellStyle name="标题 5 2 2 3 2 2 3" xfId="16568"/>
    <cellStyle name="计算 2 2 4 3 4" xfId="16569"/>
    <cellStyle name="强调文字颜色 6 2 2 2 4 3" xfId="16570"/>
    <cellStyle name="检查单元格 2 2 8" xfId="16571"/>
    <cellStyle name="常规 3 2 4 3 2" xfId="16572"/>
    <cellStyle name="计算 2 5 2 4 3" xfId="16573"/>
    <cellStyle name="注释 2 4 2 4 2 3" xfId="16574"/>
    <cellStyle name="注释 2 6 7 3" xfId="16575"/>
    <cellStyle name="40% - 强调文字颜色 2 2 5 5 2" xfId="16576"/>
    <cellStyle name="标题 5 4 5 3" xfId="16577"/>
    <cellStyle name="强调文字颜色 5 2 2 4 4 3" xfId="16578"/>
    <cellStyle name="常规 8 2 2 5 2" xfId="16579"/>
    <cellStyle name="计算 2 5 5 3 2" xfId="16580"/>
    <cellStyle name="40% - 强调文字颜色 3 2 2 3 3" xfId="16581"/>
    <cellStyle name="输入 3 3 2 3" xfId="16582"/>
    <cellStyle name="常规 8 2 3 2 2 2" xfId="16583"/>
    <cellStyle name="差 2 3 5" xfId="16584"/>
    <cellStyle name="计算 2 2 6 3 4 3" xfId="16585"/>
    <cellStyle name="输入 2 6 2 2 2 5" xfId="16586"/>
    <cellStyle name="注释 2 2 4 2 5" xfId="16587"/>
    <cellStyle name="常规 3 3 7 2 3 2 2" xfId="16588"/>
    <cellStyle name="强调文字颜色 4 2 3 2 3 2 2 2" xfId="16589"/>
    <cellStyle name="输入 2 2 4 2 2 2 3 2" xfId="16590"/>
    <cellStyle name="常规 8 3 2 3" xfId="16591"/>
    <cellStyle name="常规 7 8" xfId="16592"/>
    <cellStyle name="60% - 强调文字颜色 3 2 2 2 2" xfId="16593"/>
    <cellStyle name="输入 2 2 6 4 2 5" xfId="16594"/>
    <cellStyle name="20% - 强调文字颜色 1 2 2 4 2 3" xfId="16595"/>
    <cellStyle name="60% - 强调文字颜色 4 2 2 5 2 2" xfId="16596"/>
    <cellStyle name="汇总 2 10 2 2 2 2" xfId="16597"/>
    <cellStyle name="计算 2 2 4 2 3 2 2 3" xfId="16598"/>
    <cellStyle name="计算 2 6 2 3 3" xfId="16599"/>
    <cellStyle name="60% - 强调文字颜色 4 4 5 2" xfId="16600"/>
    <cellStyle name="输入 2 3 9 3" xfId="16601"/>
    <cellStyle name="汇总 2 5 2 2 2 2 3 3" xfId="16602"/>
    <cellStyle name="输入 2 5 2 3 3" xfId="16603"/>
    <cellStyle name="计算 2 5 8 2 2" xfId="16604"/>
    <cellStyle name="适中 2 2 2 2 6 2" xfId="16605"/>
    <cellStyle name="常规 4 2 3 2 2 5" xfId="16606"/>
    <cellStyle name="超链接 2 3 3 2 2 3" xfId="16607"/>
    <cellStyle name="标题 2 2 6 2 3" xfId="16608"/>
    <cellStyle name="常规 8 5 2 2" xfId="16609"/>
    <cellStyle name="注释 2 2 3 2 11" xfId="16610"/>
    <cellStyle name="警告文本 2 2 3 2 2 2 3" xfId="16611"/>
    <cellStyle name="常规 11 2 2 3 4 2" xfId="16612"/>
    <cellStyle name="注释 2 4 3 4 2" xfId="16613"/>
    <cellStyle name="计算 2 6 2 4" xfId="16614"/>
    <cellStyle name="输出 2 2 3 2 3 3" xfId="16615"/>
    <cellStyle name="注释 2 2 10 2" xfId="16616"/>
    <cellStyle name="汇总 2 2 3 4 8" xfId="16617"/>
    <cellStyle name="20% - 强调文字颜色 6 3 2 3 2 2 2" xfId="16618"/>
    <cellStyle name="60% - 强调文字颜色 5 2 2 2 2 4 2 2 2" xfId="16619"/>
    <cellStyle name="注释 2 2 3 2 2 4" xfId="16620"/>
    <cellStyle name="注释 2 5 2 4 2" xfId="16621"/>
    <cellStyle name="20% - 强调文字颜色 6 2 2 2 2 2 3 3" xfId="16622"/>
    <cellStyle name="常规 9 2 2" xfId="16623"/>
    <cellStyle name="20% - 强调文字颜色 4 2 5 3" xfId="16624"/>
    <cellStyle name="计算 2 2 9 5 3" xfId="16625"/>
    <cellStyle name="输出 2 4 2 2 2 4 3" xfId="16626"/>
    <cellStyle name="标题 3 2 2 8 2" xfId="16627"/>
    <cellStyle name="20% - 强调文字颜色 4 2 5 3 2" xfId="16628"/>
    <cellStyle name="常规 9 2 2 2" xfId="16629"/>
    <cellStyle name="20% - 强调文字颜色 5 2 2 2 6 2 2" xfId="16630"/>
    <cellStyle name="常规 5 3 2 2 2 3 3" xfId="16631"/>
    <cellStyle name="40% - 强调文字颜色 1 3 2 2" xfId="16632"/>
    <cellStyle name="标题 1 2 2 4 2 3" xfId="16633"/>
    <cellStyle name="常规 9 3 3 2 2 3" xfId="16634"/>
    <cellStyle name="40% - 强调文字颜色 6 2 2 6 3 2 2" xfId="16635"/>
    <cellStyle name="20% - 强调文字颜色 4 2 5 3 3 2" xfId="16636"/>
    <cellStyle name="常规 9 2 2 3 2" xfId="16637"/>
    <cellStyle name="汇总 2 2 3 2 6" xfId="16638"/>
    <cellStyle name="20% - 强调文字颜色 1 2 3 6 2" xfId="16639"/>
    <cellStyle name="汇总 4 3 6" xfId="16640"/>
    <cellStyle name="强调文字颜色 3 2 3 5 3" xfId="16641"/>
    <cellStyle name="标题 1 2 2 3 4 2 3" xfId="16642"/>
    <cellStyle name="20% - 强调文字颜色 1 2 3 2" xfId="16643"/>
    <cellStyle name="常规 4 2 6 2 2" xfId="16644"/>
    <cellStyle name="汇总 2 2 8 2 4 3" xfId="16645"/>
    <cellStyle name="注释 2 2 4 6 2" xfId="16646"/>
    <cellStyle name="输入 2 6 2 2 6 2" xfId="16647"/>
    <cellStyle name="常规 9 2 2 4" xfId="16648"/>
    <cellStyle name="20% - 强调文字颜色 3 2 3 2 2 4 3 2" xfId="16649"/>
    <cellStyle name="标题 2 3 2" xfId="16650"/>
    <cellStyle name="计算 2 5 2 6 3 3" xfId="16651"/>
    <cellStyle name="Normal 2 2 3 2" xfId="16652"/>
    <cellStyle name="常规 9 2 3" xfId="16653"/>
    <cellStyle name="20% - 强调文字颜色 4 2 5 4" xfId="16654"/>
    <cellStyle name="注释 2 5 2 4 3" xfId="16655"/>
    <cellStyle name="链接单元格 2 2 2 2" xfId="16656"/>
    <cellStyle name="检查单元格 2 6 3" xfId="16657"/>
    <cellStyle name="20% - 强调文字颜色 4 2 5 4 2" xfId="16658"/>
    <cellStyle name="常规 9 2 3 2" xfId="16659"/>
    <cellStyle name="输入 2 2 4 2 2 2 6" xfId="16660"/>
    <cellStyle name="40% - 强调文字颜色 1 3 3 2" xfId="16661"/>
    <cellStyle name="40% - 强调文字颜色 5 2 2 7 2 2" xfId="16662"/>
    <cellStyle name="注释 2 2 7 3 2 3" xfId="16663"/>
    <cellStyle name="常规 5 3 4 2 3 2 2" xfId="16664"/>
    <cellStyle name="输出 2 4 2 4 3" xfId="16665"/>
    <cellStyle name="汇总 2 2 4 2 3 5 3" xfId="16666"/>
    <cellStyle name="常规 9 2 3 2 2 2 2" xfId="16667"/>
    <cellStyle name="计算 2 6 2 2 3 3 3" xfId="16668"/>
    <cellStyle name="标题 4 3 2 4" xfId="16669"/>
    <cellStyle name="强调文字颜色 2 2 2 3 4 4" xfId="16670"/>
    <cellStyle name="输入 2 2 4 2 8 2 2" xfId="16671"/>
    <cellStyle name="标题 5 5 2 2 3" xfId="16672"/>
    <cellStyle name="好 2 4" xfId="16673"/>
    <cellStyle name="计算 2 4 2 7 2" xfId="16674"/>
    <cellStyle name="强调文字颜色 6 2 4" xfId="16675"/>
    <cellStyle name="标题 2 3 3 2 2" xfId="16676"/>
    <cellStyle name="20% - 强调文字颜色 3 2 4 6" xfId="16677"/>
    <cellStyle name="常规 13 2 3" xfId="16678"/>
    <cellStyle name="好 2 2 2 2" xfId="16679"/>
    <cellStyle name="常规 12 6 2 2" xfId="16680"/>
    <cellStyle name="注释 2 4 2 3 5" xfId="16681"/>
    <cellStyle name="汇总 2 2 5 2 4 3 2" xfId="16682"/>
    <cellStyle name="常规 5 4 3 2 4" xfId="16683"/>
    <cellStyle name="强调文字颜色 3 2 3 4 2 2" xfId="16684"/>
    <cellStyle name="计算 5 5" xfId="16685"/>
    <cellStyle name="汇总 2 6 2 7" xfId="16686"/>
    <cellStyle name="汇总 2 5 2 4" xfId="16687"/>
    <cellStyle name="60% - 强调文字颜色 4 3 2 2 4 2" xfId="16688"/>
    <cellStyle name="超链接 2 2 3 4 2" xfId="16689"/>
    <cellStyle name="标题 3 2 2 2 3 2 2" xfId="16690"/>
    <cellStyle name="标题 1 2 8 2" xfId="16691"/>
    <cellStyle name="60% - 强调文字颜色 1 2 3 2 4 3" xfId="16692"/>
    <cellStyle name="常规 11 2 2 6" xfId="16693"/>
    <cellStyle name="标题 2 4 5 2" xfId="16694"/>
    <cellStyle name="解释性文本 2 8 2 2" xfId="16695"/>
    <cellStyle name="常规 5 2 3 2 2 3 2" xfId="16696"/>
    <cellStyle name="输入 2 2 5 3 3 2" xfId="16697"/>
    <cellStyle name="计算 2 4 2 3 4 2 2" xfId="16698"/>
    <cellStyle name="输出 2 2 6 8 2" xfId="16699"/>
    <cellStyle name="汇总 2 2 4 4 2 4 3" xfId="16700"/>
    <cellStyle name="计算 2 2 4 4 2 4" xfId="16701"/>
    <cellStyle name="常规 10 4 5 2" xfId="16702"/>
    <cellStyle name="40% - 强调文字颜色 6 2 2 5 2 2 2" xfId="16703"/>
    <cellStyle name="20% - 强调文字颜色 5 2 3 2 2 4" xfId="16704"/>
    <cellStyle name="标题 3 2 2 2 2 4 3" xfId="16705"/>
    <cellStyle name="输入 2 2 4 6 3" xfId="16706"/>
    <cellStyle name="标题 3 2 2 4 2 2 3" xfId="16707"/>
    <cellStyle name="差 2 3 2 2 2 2 3" xfId="16708"/>
    <cellStyle name="汇总 2 2 5 2 2 3 5" xfId="16709"/>
    <cellStyle name="标题 5 4 2 2 2 2" xfId="16710"/>
    <cellStyle name="计算 2 2 5 2 3" xfId="16711"/>
    <cellStyle name="强调文字颜色 6 2 2 3 3 2" xfId="16712"/>
    <cellStyle name="计算 2 2 5 3 2 3 2 2" xfId="16713"/>
    <cellStyle name="汇总 2 2 3 2 2 2 4" xfId="16714"/>
    <cellStyle name="常规 10 2 2 6 3" xfId="16715"/>
    <cellStyle name="检查单元格 2 2 4" xfId="16716"/>
    <cellStyle name="常规 5 3 3 5 3" xfId="16717"/>
    <cellStyle name="好 2 2 3 4 4" xfId="16718"/>
    <cellStyle name="60% - 强调文字颜色 5 2 2 2 5" xfId="16719"/>
    <cellStyle name="计算 2 6 2 4 3" xfId="16720"/>
    <cellStyle name="强调文字颜色 1 2 3 2 2 3 2" xfId="16721"/>
    <cellStyle name="适中 2 3 5 2 3" xfId="16722"/>
    <cellStyle name="标题 1 4 4 3" xfId="16723"/>
    <cellStyle name="计算 2 9 3 2 3" xfId="16724"/>
    <cellStyle name="汇总 2 2 12 2 3" xfId="16725"/>
    <cellStyle name="40% - 强调文字颜色 3 2 2 2 2" xfId="16726"/>
    <cellStyle name="超链接 3 3 3 2" xfId="16727"/>
    <cellStyle name="注释 2 2 5 3 7" xfId="16728"/>
    <cellStyle name="输出 2 2 2 9" xfId="16729"/>
    <cellStyle name="注释 2 2 2 12" xfId="16730"/>
    <cellStyle name="60% - 强调文字颜色 1 2 2 2 3 4" xfId="16731"/>
    <cellStyle name="强调文字颜色 2 2" xfId="16732"/>
    <cellStyle name="输出 2 2 7 8 2" xfId="16733"/>
    <cellStyle name="输出 2 6 4" xfId="16734"/>
    <cellStyle name="计算 2 2 3" xfId="16735"/>
    <cellStyle name="警告文本 3 2 2 2" xfId="16736"/>
    <cellStyle name="解释性文本 2 2 5 3 2" xfId="16737"/>
    <cellStyle name="常规 2 2 2 5 2" xfId="16738"/>
    <cellStyle name="20% - 强调文字颜色 4 2 2 2 2 2 2 3 2" xfId="16739"/>
    <cellStyle name="解释性文本 2 3 8" xfId="16740"/>
    <cellStyle name="标题 5 2 2 4 2 3" xfId="16741"/>
    <cellStyle name="输入 2 4 9 2" xfId="16742"/>
    <cellStyle name="适中 2 5 2 2 2" xfId="16743"/>
    <cellStyle name="标题 5 5 2 3" xfId="16744"/>
    <cellStyle name="链接单元格 2 4 5 3" xfId="16745"/>
    <cellStyle name="强调文字颜色 2 3 3 2 2" xfId="16746"/>
    <cellStyle name="常规 6 3 2 3 2 2" xfId="16747"/>
    <cellStyle name="输出 2 2 3 3 5 2" xfId="16748"/>
    <cellStyle name="链接单元格 4 3" xfId="16749"/>
    <cellStyle name="适中 4 3 3" xfId="16750"/>
    <cellStyle name="输出 4 4 3" xfId="16751"/>
    <cellStyle name="40% - 强调文字颜色 6 2 2 2 3 2 2 2 2 2" xfId="16752"/>
    <cellStyle name="适中 2 4 4" xfId="16753"/>
    <cellStyle name="60% - 强调文字颜色 3 2 2 2 4 2" xfId="16754"/>
    <cellStyle name="标题 2 2 2 5 3" xfId="16755"/>
    <cellStyle name="计算 2 2 9 3 2 2" xfId="16756"/>
    <cellStyle name="输出 2 4 2 2 2 2 2 2" xfId="16757"/>
    <cellStyle name="输入 2 2 3 4 3 2" xfId="16758"/>
    <cellStyle name="汇总 2 2 7 5 3 2 2" xfId="16759"/>
    <cellStyle name="计算 2 2 7 2 2 3" xfId="16760"/>
    <cellStyle name="计算 2 7 4 2 6" xfId="16761"/>
    <cellStyle name="60% - 强调文字颜色 5 2 5 2 2" xfId="16762"/>
    <cellStyle name="强调文字颜色 2 2 6 4" xfId="16763"/>
    <cellStyle name="常规 5 3 2 6 2 2" xfId="16764"/>
    <cellStyle name="常规 12 2 7" xfId="16765"/>
    <cellStyle name="标题 6 3 2 2 2" xfId="16766"/>
    <cellStyle name="输出 2 8 5" xfId="16767"/>
    <cellStyle name="汇总 2 5 4 3 5" xfId="16768"/>
    <cellStyle name="强调文字颜色 2 2 2 7 2" xfId="16769"/>
    <cellStyle name="标题 4 2 5 3 2" xfId="16770"/>
    <cellStyle name="输出 2 2 5 2 5 2" xfId="16771"/>
    <cellStyle name="20% - 强调文字颜色 5 2 2 3 4 2" xfId="16772"/>
    <cellStyle name="输入 2 5 5 3 2 2" xfId="16773"/>
    <cellStyle name="强调文字颜色 6 3 5" xfId="16774"/>
    <cellStyle name="汇总 2 3 2 3 3 2 2" xfId="16775"/>
    <cellStyle name="标题 3 2 3 8" xfId="16776"/>
    <cellStyle name="百分比 2 2 2 3 3 2" xfId="16777"/>
    <cellStyle name="标题 1 2 8" xfId="16778"/>
    <cellStyle name="检查单元格 2 4 10" xfId="16779"/>
    <cellStyle name="适中 2 3 3 6" xfId="16780"/>
    <cellStyle name="常规 4 2 2 2 3 5" xfId="16781"/>
    <cellStyle name="计算 2 2 8 3 2 2 3" xfId="16782"/>
    <cellStyle name="计算 2 8 2 5 2 2" xfId="16783"/>
    <cellStyle name="适中 2 2 4 5 2 2" xfId="16784"/>
    <cellStyle name="强调文字颜色 6 2 7 2 2" xfId="16785"/>
    <cellStyle name="计算 2 2 3 3 10" xfId="16786"/>
    <cellStyle name="20% - 强调文字颜色 1 2 3 2 2 3 2 2 2" xfId="16787"/>
    <cellStyle name="计算 3 2" xfId="16788"/>
    <cellStyle name="输入 2 2 6 4 2 2" xfId="16789"/>
    <cellStyle name="60% - 强调文字颜色 6 2 4 5" xfId="16790"/>
    <cellStyle name="60% - 强调文字颜色 4 3 2 3 2 2" xfId="16791"/>
    <cellStyle name="汇总 2 7 11" xfId="16792"/>
    <cellStyle name="输出 8 2 2" xfId="16793"/>
    <cellStyle name="汇总 2 4 4 2 3" xfId="16794"/>
    <cellStyle name="差 2 4 5 2 2" xfId="16795"/>
    <cellStyle name="输出 2 2 7 8" xfId="16796"/>
    <cellStyle name="计算 2 4 2 3 5 2" xfId="16797"/>
    <cellStyle name="常规 11 4 2 4" xfId="16798"/>
    <cellStyle name="标题 4 2 3 2 2 2 3" xfId="16799"/>
    <cellStyle name="超链接 2 3 6 3" xfId="16800"/>
    <cellStyle name="解释性文本 3 2 6" xfId="16801"/>
    <cellStyle name="标题 2 3 4" xfId="16802"/>
    <cellStyle name="适中 2 4 4 2" xfId="16803"/>
    <cellStyle name="输出 2 5 2 2 3 3" xfId="16804"/>
    <cellStyle name="20% - 强调文字颜色 3 2 2 2 5 2 2" xfId="16805"/>
    <cellStyle name="检查单元格 2 2 2 4 4" xfId="16806"/>
    <cellStyle name="强调文字颜色 1 2 2 3 3 4" xfId="16807"/>
    <cellStyle name="输出 2 3 10" xfId="16808"/>
    <cellStyle name="标题 3 2 4 5 3" xfId="16809"/>
    <cellStyle name="常规 10 3 2 2 4 2" xfId="16810"/>
    <cellStyle name="输入 2 2 4 2 3 2" xfId="16811"/>
    <cellStyle name="解释性文本 2 2 2 2 4 4" xfId="16812"/>
    <cellStyle name="超链接 2 2 4 3" xfId="16813"/>
    <cellStyle name="输入 2 2 2 2 3 5" xfId="16814"/>
    <cellStyle name="注释 2 2 4 2 2 4" xfId="16815"/>
    <cellStyle name="常规 11 3 3 5" xfId="16816"/>
    <cellStyle name="计算 2 2 6 2 2 2" xfId="16817"/>
    <cellStyle name="计算 2 6 4 2 5" xfId="16818"/>
    <cellStyle name="百分比 2 4 2 3" xfId="16819"/>
    <cellStyle name="常规 4 2 2 2 3 3 2 2" xfId="16820"/>
    <cellStyle name="40% - 强调文字颜色 3 2 3 2 2 3 3" xfId="16821"/>
    <cellStyle name="计算 2 2 2 2 6 3" xfId="16822"/>
    <cellStyle name="计算 2 2 4 4 3" xfId="16823"/>
    <cellStyle name="强调文字颜色 6 2 2 2 5 2" xfId="16824"/>
    <cellStyle name="强调文字颜色 2 2 3 5 2" xfId="16825"/>
    <cellStyle name="强调文字颜色 5 2 2" xfId="16826"/>
    <cellStyle name="常规 2 2 2 8 2 2" xfId="16827"/>
    <cellStyle name="计算 2 3 2 3 2 3" xfId="16828"/>
    <cellStyle name="20% - 强调文字颜色 1 2 2 2 2 2 3 2 2" xfId="16829"/>
    <cellStyle name="汇总 2 3 3 7" xfId="16830"/>
    <cellStyle name="20% - 强调文字颜色 6 2 5 2 3" xfId="16831"/>
    <cellStyle name="常规 9 2 3 4 2 2" xfId="16832"/>
    <cellStyle name="汇总 2 2 4 3 6 2" xfId="16833"/>
    <cellStyle name="输入 2 2 4 4 3" xfId="16834"/>
    <cellStyle name="输出 2 4 2 2 3 2 2" xfId="16835"/>
    <cellStyle name="常规 9 2 4 2 2 2" xfId="16836"/>
    <cellStyle name="常规 9 2 4 2 2 2 2" xfId="16837"/>
    <cellStyle name="汇总 2 5 4 8" xfId="16838"/>
    <cellStyle name="输出 2 2 12" xfId="16839"/>
    <cellStyle name="40% - 强调文字颜色 5 2 3 5 2" xfId="16840"/>
    <cellStyle name="常规 23" xfId="16841"/>
    <cellStyle name="常规 18" xfId="16842"/>
    <cellStyle name="注释 2 2 6 2 2 4" xfId="16843"/>
    <cellStyle name="常规 13 3 3 5" xfId="16844"/>
    <cellStyle name="输入 2 5 2 7 2 2" xfId="16845"/>
    <cellStyle name="无色 4 2" xfId="16846"/>
    <cellStyle name="计算 2 4 3 5 3" xfId="16847"/>
    <cellStyle name="注释 4 2 5 2" xfId="16848"/>
    <cellStyle name="输入 2 8 2 3 2" xfId="16849"/>
    <cellStyle name="40% - 强调文字颜色 4 2 3" xfId="16850"/>
    <cellStyle name="计算 2 3 3 2 3 2 2" xfId="16851"/>
    <cellStyle name="20% - 强调文字颜色 2 2 2 3 4 2 2" xfId="16852"/>
    <cellStyle name="20% - 强调文字颜色 6 2 7 2" xfId="16853"/>
    <cellStyle name="警告文本 2 3 2 2 2 2 2 2" xfId="16854"/>
    <cellStyle name="汇总 2 2 8 8 2" xfId="16855"/>
    <cellStyle name="计算 2 4 4 3 2" xfId="16856"/>
    <cellStyle name="强调文字颜色 3 2 2 3 2" xfId="16857"/>
    <cellStyle name="标题 2 2 2 2 5 2 3" xfId="16858"/>
    <cellStyle name="输入 2 2 4 3 2 8" xfId="16859"/>
    <cellStyle name="20% - 强调文字颜色 6 2 3 2 3 2 2 2 2" xfId="16860"/>
    <cellStyle name="强调文字颜色 3 2 2 3 2 2 2 3" xfId="16861"/>
    <cellStyle name="输出 2 2 6 3 2 2 2" xfId="16862"/>
    <cellStyle name="输出 2 2 5 4 2 4" xfId="16863"/>
    <cellStyle name="常规 14 4" xfId="16864"/>
    <cellStyle name="差 2 2 2 4 2 2 2" xfId="16865"/>
    <cellStyle name="输出 2 2 8 7" xfId="16866"/>
    <cellStyle name="输出 2 2 2 2 8" xfId="16867"/>
    <cellStyle name="60% - 强调文字颜色 3 3 2 2 4" xfId="16868"/>
    <cellStyle name="汇总 3 4 7" xfId="16869"/>
    <cellStyle name="输入 2 3 3 4 3" xfId="16870"/>
    <cellStyle name="输出 2 4 2 3 2 2 2" xfId="16871"/>
    <cellStyle name="汇总 2 2 5 2 6 2" xfId="16872"/>
    <cellStyle name="常规 9 2 4 3 2 2" xfId="16873"/>
    <cellStyle name="20% - 强调文字颜色 1 2 4 4 3" xfId="16874"/>
    <cellStyle name="注释 2 2 2 3 3 3" xfId="16875"/>
    <cellStyle name="输出 2 2 3 5 2 2" xfId="16876"/>
    <cellStyle name="计算 2 2 4 2 2 2 5 3" xfId="16877"/>
    <cellStyle name="60% - 强调文字颜色 5 3 8" xfId="16878"/>
    <cellStyle name="链接单元格 2 2 2" xfId="16879"/>
    <cellStyle name="适中 2 3 2 6 2 2" xfId="16880"/>
    <cellStyle name="标题 2 2 2 2 2 4 2" xfId="16881"/>
    <cellStyle name="计算 2 2 5 3 10" xfId="16882"/>
    <cellStyle name="汇总 3 3 5 2 2" xfId="16883"/>
    <cellStyle name="汇总 2 2 5 4 5 2" xfId="16884"/>
    <cellStyle name="汇总 2 4 13" xfId="16885"/>
    <cellStyle name="强调文字颜色 4 2 2 2 4 3" xfId="16886"/>
    <cellStyle name="输入 2 6 4 4 2" xfId="16887"/>
    <cellStyle name="注释 2 4 6 2" xfId="16888"/>
    <cellStyle name="标题 3 2 3 2 3 2 2" xfId="16889"/>
    <cellStyle name="输入 2 2 3 2 2 6 2" xfId="16890"/>
    <cellStyle name="标题 3 2 2 6 2 2 2" xfId="16891"/>
    <cellStyle name="汇总 2 5 3 11" xfId="16892"/>
    <cellStyle name="标题 6 4 2" xfId="16893"/>
    <cellStyle name="标题 5 2 3 3 2" xfId="16894"/>
    <cellStyle name="常规 10 3 2 3" xfId="16895"/>
    <cellStyle name="20% - 强调文字颜色 1 3 3 2 2" xfId="16896"/>
    <cellStyle name="60% - 强调文字颜色 5 3 4 2" xfId="16897"/>
    <cellStyle name="计算 2 8 8" xfId="16898"/>
    <cellStyle name="强调文字颜色 2 2 3 7" xfId="16899"/>
    <cellStyle name="标题 3 3 2 3" xfId="16900"/>
    <cellStyle name="计算 2 2 5 3 3 4 2" xfId="16901"/>
    <cellStyle name="注释 2 7 5" xfId="16902"/>
    <cellStyle name="输入 2 6 7 3" xfId="16903"/>
    <cellStyle name="注释 2 2 5 3 2 3" xfId="16904"/>
    <cellStyle name="输出 2 2 2 4 3" xfId="16905"/>
    <cellStyle name="强调文字颜色 5 4" xfId="16906"/>
    <cellStyle name="40% - 强调文字颜色 3 2 10 2" xfId="16907"/>
    <cellStyle name="汇总 2 2 8 2 5 2" xfId="16908"/>
    <cellStyle name="计算 2 7 14" xfId="16909"/>
    <cellStyle name="常规 9 2 4 3 3" xfId="16910"/>
    <cellStyle name="汇总 2 2 5 2 7" xfId="16911"/>
    <cellStyle name="计算 2 2 2 3 2 3 3" xfId="16912"/>
    <cellStyle name="计算 2 2 5 2 6 3" xfId="16913"/>
    <cellStyle name="计算 2 3 6 3" xfId="16914"/>
    <cellStyle name="60% - 强调文字颜色 2 2 6 3 2" xfId="16915"/>
    <cellStyle name="注释 2 2 3 4 2 3" xfId="16916"/>
    <cellStyle name="40% - 强调文字颜色 6 2 5 4" xfId="16917"/>
    <cellStyle name="计算 2 7 2 4 3" xfId="16918"/>
    <cellStyle name="20% - 强调文字颜色 5 2 2 6 3 2" xfId="16919"/>
    <cellStyle name="标题 4 4 2" xfId="16920"/>
    <cellStyle name="强调文字颜色 1 2 3 2 5" xfId="16921"/>
    <cellStyle name="输出 2 2 2 2 5 2 2" xfId="16922"/>
    <cellStyle name="强调文字颜色 3 2 4 8" xfId="16923"/>
    <cellStyle name="常规 9 3 2 2 3" xfId="16924"/>
    <cellStyle name="输入 2 2 4 2 3 2 3 2" xfId="16925"/>
    <cellStyle name="常规 9 3 2 3" xfId="16926"/>
    <cellStyle name="输出 3 10" xfId="16927"/>
    <cellStyle name="计算 2 2 5 2 2 2 7" xfId="16928"/>
    <cellStyle name="汇总 2 2 2 2 2 2 3 3" xfId="16929"/>
    <cellStyle name="计算 3 3 2 4 2" xfId="16930"/>
    <cellStyle name="超链接 2 8" xfId="16931"/>
    <cellStyle name="常规 10 2 2 2 2" xfId="16932"/>
    <cellStyle name="计算 2 8 5 4" xfId="16933"/>
    <cellStyle name="20% - 强调文字颜色 6 2 2 2 3 2 2 2 2 2" xfId="16934"/>
    <cellStyle name="汇总 2 6 2 2 6 3" xfId="16935"/>
    <cellStyle name="强调文字颜色 3 2 2 4 4 2" xfId="16936"/>
    <cellStyle name="注释 2 5 2 3" xfId="16937"/>
    <cellStyle name="常规 9 3 2 3 2 2 2" xfId="16938"/>
    <cellStyle name="输入 2 3 4 3 3" xfId="16939"/>
    <cellStyle name="汇总 2 2 8 6 2 2" xfId="16940"/>
    <cellStyle name="常规 9 3 2 4" xfId="16941"/>
    <cellStyle name="常规 9 3 2 4 2 2" xfId="16942"/>
    <cellStyle name="注释 2 8 3" xfId="16943"/>
    <cellStyle name="20% - 强调文字颜色 6 2 2 2 2 2 4 2 2" xfId="16944"/>
    <cellStyle name="输出 2 7 4 3" xfId="16945"/>
    <cellStyle name="注释 2 5 4 3 2 2" xfId="16946"/>
    <cellStyle name="输出 2 2 3 3 2 7" xfId="16947"/>
    <cellStyle name="标题 4 3 3 2 2 3" xfId="16948"/>
    <cellStyle name="60% - 强调文字颜色 6 2 3 2 2 5" xfId="16949"/>
    <cellStyle name="强调文字颜色 6 2 3 5 3" xfId="16950"/>
    <cellStyle name="汇总 2 8 3 3" xfId="16951"/>
    <cellStyle name="40% - 强调文字颜色 6 2 3 3 5" xfId="16952"/>
    <cellStyle name="检查单元格 2 2 2 2 3 3" xfId="16953"/>
    <cellStyle name="计算 2 10 3 3" xfId="16954"/>
    <cellStyle name="常规 3 2 4 2 3 3 3" xfId="16955"/>
    <cellStyle name="40% - 强调文字颜色 5 2 2 2 6 2 2 2" xfId="16956"/>
    <cellStyle name="计算 2 2 2 2 2 2 3 3" xfId="16957"/>
    <cellStyle name="警告文本 2 3 4 4" xfId="16958"/>
    <cellStyle name="计算 2 2 4 2 5 3 3" xfId="16959"/>
    <cellStyle name="60% - 强调文字颜色 1 2 2 2 2 2 2 2 2 2" xfId="16960"/>
    <cellStyle name="强调文字颜色 6 2 2 6 2 2" xfId="16961"/>
    <cellStyle name="汇总 2 7 4 2 2" xfId="16962"/>
    <cellStyle name="40% - 强调文字颜色 2 4 2" xfId="16963"/>
    <cellStyle name="输入 2 2 2 2 4" xfId="16964"/>
    <cellStyle name="输入 2 2 5 2 3 2 2 2" xfId="16965"/>
    <cellStyle name="60% - 强调文字颜色 6 2 4 3 2" xfId="16966"/>
    <cellStyle name="汇总 2 8 3 2 2 3" xfId="16967"/>
    <cellStyle name="注释 2 2 4 5 2" xfId="16968"/>
    <cellStyle name="输入 2 6 2 2 5 2" xfId="16969"/>
    <cellStyle name="汇总 2 2 8 2 3 3" xfId="16970"/>
    <cellStyle name="注释 2 2 3 4 8" xfId="16971"/>
    <cellStyle name="20% - 强调文字颜色 5 4" xfId="16972"/>
    <cellStyle name="20% - 强调文字颜色 6 2 2 2" xfId="16973"/>
    <cellStyle name="20% - 强调文字颜色 1 2 3 2 5 2 2" xfId="16974"/>
    <cellStyle name="标题 2 4 2" xfId="16975"/>
    <cellStyle name="注释 2 2 6 3 2" xfId="16976"/>
    <cellStyle name="40% - 强调文字颜色 1 2 3 2 3 2 2" xfId="16977"/>
    <cellStyle name="输出 2 3 2 4" xfId="16978"/>
    <cellStyle name="输入 2 2 5 13" xfId="16979"/>
    <cellStyle name="汇总 2 3 13" xfId="16980"/>
    <cellStyle name="标题 2 2 5 2 2 3" xfId="16981"/>
    <cellStyle name="输出 2 2 5 3 4 2" xfId="16982"/>
    <cellStyle name="20% - 强调文字颜色 5 2 2 4 3 2" xfId="16983"/>
    <cellStyle name="60% - 强调文字颜色 5 2 6 2" xfId="16984"/>
    <cellStyle name="强调文字颜色 4 2 2 7 3" xfId="16985"/>
    <cellStyle name="汇总 2 2 16 2 2" xfId="16986"/>
    <cellStyle name="计算 2 2 14" xfId="16987"/>
    <cellStyle name="常规 9 2 3 3 3" xfId="16988"/>
    <cellStyle name="汇总 2 2 4 2 7" xfId="16989"/>
    <cellStyle name="超链接 3 3 4 2 2" xfId="16990"/>
    <cellStyle name="40% - 强调文字颜色 1 2 5 2 2 2" xfId="16991"/>
    <cellStyle name="20% - 强调文字颜色 4 3 2 4" xfId="16992"/>
    <cellStyle name="常规 6 3 2 2 4 2 2 2" xfId="16993"/>
    <cellStyle name="20% - 强调文字颜色 6 3 3 2 2" xfId="16994"/>
    <cellStyle name="解释性文本 2 3 2 8" xfId="16995"/>
    <cellStyle name="60% - 强调文字颜色 4 2 2 3 3 3 2" xfId="16996"/>
    <cellStyle name="40% - 强调文字颜色 2 2 2 2 2 2 2 3 2" xfId="16997"/>
    <cellStyle name="常规 9 2 4" xfId="16998"/>
    <cellStyle name="20% - 强调文字颜色 4 2 5 5" xfId="16999"/>
    <cellStyle name="20% - 强调文字颜色 4 2 3 2 2 2 3" xfId="17000"/>
    <cellStyle name="适中 2 7" xfId="17001"/>
    <cellStyle name="常规 3 2 5 2 2 2" xfId="17002"/>
    <cellStyle name="强调文字颜色 6 2 2 3 3 3 2" xfId="17003"/>
    <cellStyle name="计算 2 2 5 2 4 2" xfId="17004"/>
    <cellStyle name="输出 2 4 3 2 3" xfId="17005"/>
    <cellStyle name="40% - 强调文字颜色 5 2 10 2" xfId="17006"/>
    <cellStyle name="输入 2 3 2 4 2 2" xfId="17007"/>
    <cellStyle name="标题 1 2 2 6 2" xfId="17008"/>
    <cellStyle name="常规 9 3 3 4 2" xfId="17009"/>
    <cellStyle name="标题 1 2 3 4 2 3" xfId="17010"/>
    <cellStyle name="常规 9 3 4 2 2 3" xfId="17011"/>
    <cellStyle name="汇总 2 3 3 6 2" xfId="17012"/>
    <cellStyle name="计算 2 3 2 3 2 2 2" xfId="17013"/>
    <cellStyle name="标题 1 2 3 4 3" xfId="17014"/>
    <cellStyle name="常规 9 3 4 2 3" xfId="17015"/>
    <cellStyle name="汇总 2 3 3 6 3" xfId="17016"/>
    <cellStyle name="标题 1 2 3 4 4" xfId="17017"/>
    <cellStyle name="常规 9 3 4 2 4" xfId="17018"/>
    <cellStyle name="计算 2 3 2 12" xfId="17019"/>
    <cellStyle name="汇总 2 2 4 4 2 2 2 2" xfId="17020"/>
    <cellStyle name="链接单元格 3 3 3 2" xfId="17021"/>
    <cellStyle name="注释 2 4 3 6" xfId="17022"/>
    <cellStyle name="汇总 2 5 2 3 2 4 2" xfId="17023"/>
    <cellStyle name="汇总 2 2 9 2 2 2" xfId="17024"/>
    <cellStyle name="常规 5 2 2 2" xfId="17025"/>
    <cellStyle name="40% - 强调文字颜色 1 2 2 2 2 2 5 2" xfId="17026"/>
    <cellStyle name="计算 2 7 5 3" xfId="17027"/>
    <cellStyle name="常规 9 3 4 3 2" xfId="17028"/>
    <cellStyle name="标题 1 2 3 5 2" xfId="17029"/>
    <cellStyle name="标题 1 2 3 6 2" xfId="17030"/>
    <cellStyle name="常规 9 3 4 4 2" xfId="17031"/>
    <cellStyle name="输出 2 4 3 3 3 2" xfId="17032"/>
    <cellStyle name="常规 5 5 2 4 2" xfId="17033"/>
    <cellStyle name="20% - 强调文字颜色 3 2 5 3 2 2 2" xfId="17034"/>
    <cellStyle name="常规 12 3 5" xfId="17035"/>
    <cellStyle name="常规 8 2 2 2" xfId="17036"/>
    <cellStyle name="汇总 2 2 4 2 3 2 3 3" xfId="17037"/>
    <cellStyle name="常规 9 3 7" xfId="17038"/>
    <cellStyle name="常规 10 4 2 2 2" xfId="17039"/>
    <cellStyle name="20% - 强调文字颜色 6 4" xfId="17040"/>
    <cellStyle name="20% - 强调文字颜色 6 2 3 2" xfId="17041"/>
    <cellStyle name="输出 2 2 3 2 6 2 2" xfId="17042"/>
    <cellStyle name="解释性文本 4 2 4" xfId="17043"/>
    <cellStyle name="标题 2 2 2 4 2" xfId="17044"/>
    <cellStyle name="40% - 强调文字颜色 3 2 3 2" xfId="17045"/>
    <cellStyle name="常规 9 3 7 3" xfId="17046"/>
    <cellStyle name="计算 2 2 4 5 4 2" xfId="17047"/>
    <cellStyle name="40% - 强调文字颜色 5 2 3 2 2 4 2" xfId="17048"/>
    <cellStyle name="40% - 强调文字颜色 4 2 2 4 3 3" xfId="17049"/>
    <cellStyle name="20% - 强调文字颜色 4 5 2 2 2" xfId="17050"/>
    <cellStyle name="汇总 2 2 3 2 9 2" xfId="17051"/>
    <cellStyle name="计算 2 2 2 4 2 2 2 2" xfId="17052"/>
    <cellStyle name="计算 2 2 6 2 5 2 2" xfId="17053"/>
    <cellStyle name="注释 2 2 2 9 2" xfId="17054"/>
    <cellStyle name="常规 9 3 8" xfId="17055"/>
    <cellStyle name="汇总 2 2 6 8 2" xfId="17056"/>
    <cellStyle name="60% - 强调文字颜色 5 2 2 6 3 2" xfId="17057"/>
    <cellStyle name="40% - 强调文字颜色 1 2 5 4 2" xfId="17058"/>
    <cellStyle name="超链接 3 3 6 2" xfId="17059"/>
    <cellStyle name="输入 5" xfId="17060"/>
    <cellStyle name="汇总 2 2 11 6" xfId="17061"/>
    <cellStyle name="强调文字颜色 5 2 2 2 2 2 2 2 3" xfId="17062"/>
    <cellStyle name="适中 2 9 3" xfId="17063"/>
    <cellStyle name="解释性文本 2 5 4" xfId="17064"/>
    <cellStyle name="差 6 2 3" xfId="17065"/>
    <cellStyle name="输入 2 2 4 2 3 9" xfId="17066"/>
    <cellStyle name="计算 2 2 4 4 3 4 2" xfId="17067"/>
    <cellStyle name="强调文字颜色 2 2 2 2 5" xfId="17068"/>
    <cellStyle name="标题 1 2 2 2 3 2 2 2 3" xfId="17069"/>
    <cellStyle name="输出 2 3 8" xfId="17070"/>
    <cellStyle name="输入 2 2 5" xfId="17071"/>
    <cellStyle name="40% - 强调文字颜色 4 2 4 6" xfId="17072"/>
    <cellStyle name="标题 2 2 9 2" xfId="17073"/>
    <cellStyle name="常规 9 4 2 3" xfId="17074"/>
    <cellStyle name="汇总 3 2 2 5 2" xfId="17075"/>
    <cellStyle name="标题 1 3 2 4 2 2" xfId="17076"/>
    <cellStyle name="标题 3 2 2 4 3 3 2" xfId="17077"/>
    <cellStyle name="常规 9 4 3 2 2 2" xfId="17078"/>
    <cellStyle name="注释 2 4 2 2 2 2 2 2 2" xfId="17079"/>
    <cellStyle name="汇总 2 3 6 2 3" xfId="17080"/>
    <cellStyle name="计算 2 2 5 3 7 2" xfId="17081"/>
    <cellStyle name="计算 2 2 2 3 3 4 2" xfId="17082"/>
    <cellStyle name="常规 4 2 9" xfId="17083"/>
    <cellStyle name="20% - 强调文字颜色 2 2 2 5 3 2" xfId="17084"/>
    <cellStyle name="标题 3 2 9 2" xfId="17085"/>
    <cellStyle name="汇总 2 5 6 5" xfId="17086"/>
    <cellStyle name="注释 2 2 2 2 2 2 2 2" xfId="17087"/>
    <cellStyle name="输入 2 2 4 5 5 2" xfId="17088"/>
    <cellStyle name="计算 2 5 3 2 2 3 3" xfId="17089"/>
    <cellStyle name="强调文字颜色 5 2 3 2 4 3" xfId="17090"/>
    <cellStyle name="输入 2 9 2 3 2" xfId="17091"/>
    <cellStyle name="注释 2 2 3 2 8" xfId="17092"/>
    <cellStyle name="输入 2 2 4 2 2 2 7" xfId="17093"/>
    <cellStyle name="40% - 强调文字颜色 2 2 2" xfId="17094"/>
    <cellStyle name="输入 2 6 2 2 3 2" xfId="17095"/>
    <cellStyle name="注释 2 2 4 3 2" xfId="17096"/>
    <cellStyle name="输入 2 2 3 4 2" xfId="17097"/>
    <cellStyle name="60% - 强调文字颜色 1 2 3 3 4" xfId="17098"/>
    <cellStyle name="汇总 2 2 14 2 2" xfId="17099"/>
    <cellStyle name="计算 2 2 9 3" xfId="17100"/>
    <cellStyle name="输出 2 4 2 2 2 2" xfId="17101"/>
    <cellStyle name="适中 4 4 2" xfId="17102"/>
    <cellStyle name="强调文字颜色 4 2 2 2 2 4 2 2 2" xfId="17103"/>
    <cellStyle name="强调文字颜色 2 4" xfId="17104"/>
    <cellStyle name="好 2 2 3 3 3" xfId="17105"/>
    <cellStyle name="注释 2 2 6 2 3 2" xfId="17106"/>
    <cellStyle name="60% - 强调文字颜色 5 2 4 2 2 2 2" xfId="17107"/>
    <cellStyle name="常规 2 2 4 4" xfId="17108"/>
    <cellStyle name="强调文字颜色 5 2 3 2 2 2 2 2 2" xfId="17109"/>
    <cellStyle name="输入 2 2 4 3 2 2 2 2 2" xfId="17110"/>
    <cellStyle name="20% - 强调文字颜色 1 2 2 2 4 3 2 2" xfId="17111"/>
    <cellStyle name="40% - 强调文字颜色 5" xfId="17112" builtinId="47"/>
    <cellStyle name="40% - 强调文字颜色 5 4 2 3" xfId="17113"/>
    <cellStyle name="常规 5 2 4 3 4 2" xfId="17114"/>
    <cellStyle name="输入 2 2 5 2 4 3" xfId="17115"/>
    <cellStyle name="强调文字颜色 4 2 3 2" xfId="17116"/>
    <cellStyle name="输出 2 6 6 2" xfId="17117"/>
    <cellStyle name="常规 9 5 3 2 2 2" xfId="17118"/>
    <cellStyle name="强调文字颜色 2 2 2 5 3 2" xfId="17119"/>
    <cellStyle name="计算 2 2 4 2 2 2 2 4 3" xfId="17120"/>
    <cellStyle name="计算 2 2 5 3 2 7" xfId="17121"/>
    <cellStyle name="汇总 2 2 4 3 2 2 4" xfId="17122"/>
    <cellStyle name="汇总 2 4 2 10" xfId="17123"/>
    <cellStyle name="计算 2 8 5 4 2" xfId="17124"/>
    <cellStyle name="计算 3 3 2 4 2 2" xfId="17125"/>
    <cellStyle name="输出 2 2 5 12" xfId="17126"/>
    <cellStyle name="60% - 强调文字颜色 4 3 2 4 2 2" xfId="17127"/>
    <cellStyle name="强调文字颜色 3 2 2 2 3 4" xfId="17128"/>
    <cellStyle name="输出 2 2 5 3 2 2" xfId="17129"/>
    <cellStyle name="常规 6 8 2 2" xfId="17130"/>
    <cellStyle name="60% - 强调文字颜色 4 2 3 3 2" xfId="17131"/>
    <cellStyle name="常规 8 2 4" xfId="17132"/>
    <cellStyle name="输入 2 2 3 3 3 3" xfId="17133"/>
    <cellStyle name="计算 2 2 9 2 2 3" xfId="17134"/>
    <cellStyle name="常规 5 2 2 4 3 2" xfId="17135"/>
    <cellStyle name="强调文字颜色 4 2 2 5 3 2" xfId="17136"/>
    <cellStyle name="汇总 2 2 3 3 3 2 3" xfId="17137"/>
    <cellStyle name="超链接 2 2 3 2 2 3" xfId="17138"/>
    <cellStyle name="标题 1 2 6 2 3" xfId="17139"/>
    <cellStyle name="强调文字颜色 3 4 2 3" xfId="17140"/>
    <cellStyle name="输出 2 2 2 2 3 2 3" xfId="17141"/>
    <cellStyle name="计算 2 7 3 2 5" xfId="17142"/>
    <cellStyle name="常规 9 2 3 5" xfId="17143"/>
    <cellStyle name="好 2 4 2 2 2" xfId="17144"/>
    <cellStyle name="40% - 强调文字颜色 1 2 4 5" xfId="17145"/>
    <cellStyle name="超链接 3 2 7" xfId="17146"/>
    <cellStyle name="汇总 5 6" xfId="17147"/>
    <cellStyle name="常规 9 2 2 2 4 2" xfId="17148"/>
    <cellStyle name="计算 2 10 3 3 3" xfId="17149"/>
    <cellStyle name="差 2 2 2 6 2 2" xfId="17150"/>
    <cellStyle name="计算 2 3 2 2 2 2 2 3" xfId="17151"/>
    <cellStyle name="输入 2 7 2 4" xfId="17152"/>
    <cellStyle name="40% - 强调文字颜色 2 4 2 2 2 2 2" xfId="17153"/>
    <cellStyle name="注释 3 2 6" xfId="17154"/>
    <cellStyle name="汇总 2 2 4 3 2 2 5" xfId="17155"/>
    <cellStyle name="40% - 强调文字颜色 3 2 5 3 2" xfId="17156"/>
    <cellStyle name="60% - 强调文字颜色 2 2 3 3 4" xfId="17157"/>
    <cellStyle name="计算 2 7 3 8" xfId="17158"/>
    <cellStyle name="计算 2 4 4 2 2 2" xfId="17159"/>
    <cellStyle name="40% - 强调文字颜色 1 2 2 3 2 2 2 2 2" xfId="17160"/>
    <cellStyle name="输入 2 2 8 4 4" xfId="17161"/>
    <cellStyle name="40% - 强调文字颜色 3 2 2 7 2 2" xfId="17162"/>
    <cellStyle name="输出 2 2 3 2 2 4" xfId="17163"/>
    <cellStyle name="20% - 强调文字颜色 3 2 2 4 4 2" xfId="17164"/>
    <cellStyle name="输出 2 4 2 4 2 5" xfId="17165"/>
    <cellStyle name="警告文本 2 3 2 5 2 2" xfId="17166"/>
    <cellStyle name="常规 9 5 2 3" xfId="17167"/>
    <cellStyle name="汇总 3 2 3 5 2" xfId="17168"/>
    <cellStyle name="强调文字颜色 2 2 3 4 3 2 2" xfId="17169"/>
    <cellStyle name="60% - 强调文字颜色 2 2 7 2" xfId="17170"/>
    <cellStyle name="输入 2 5 2 4 2 2" xfId="17171"/>
    <cellStyle name="汇总 3 2 2 3 2 2 2" xfId="17172"/>
    <cellStyle name="20% - 强调文字颜色 2 2 2 3 5" xfId="17173"/>
    <cellStyle name="汇总 2 6 2 2 3 4 2" xfId="17174"/>
    <cellStyle name="计算 2 2 4 2 4 5" xfId="17175"/>
    <cellStyle name="标题 1 3 3 2 2 3" xfId="17176"/>
    <cellStyle name="计算 2 2 3 2 4 2 2 2" xfId="17177"/>
    <cellStyle name="超链接 2 3 3 4 2" xfId="17178"/>
    <cellStyle name="标题 3 2 2 3 3 2 2" xfId="17179"/>
    <cellStyle name="60% - 强调文字颜色 1 3 10" xfId="17180"/>
    <cellStyle name="标题 2 2 8 2" xfId="17181"/>
    <cellStyle name="输入 4 2 3 3" xfId="17182"/>
    <cellStyle name="注释 2 2 9 5" xfId="17183"/>
    <cellStyle name="适中 2 2 2 2 4 3" xfId="17184"/>
    <cellStyle name="检查单元格 2 2 3 4 3" xfId="17185"/>
    <cellStyle name="输入 2 9 5 3" xfId="17186"/>
    <cellStyle name="计算 2 2 2 3 3 3 2 2" xfId="17187"/>
    <cellStyle name="计算 2 2 5 3 6 2 2" xfId="17188"/>
    <cellStyle name="强调文字颜色 1 2 2 4 3 3" xfId="17189"/>
    <cellStyle name="强调文字颜色 4 2 3 2 3 3 2 2" xfId="17190"/>
    <cellStyle name="标题 4 2 9" xfId="17191"/>
    <cellStyle name="差 2 2 3 4" xfId="17192"/>
    <cellStyle name="警告文本 2 4 6 2" xfId="17193"/>
    <cellStyle name="60% - 强调文字颜色 4 4 2 3 2 2 2" xfId="17194"/>
    <cellStyle name="标题 1 3" xfId="17195"/>
    <cellStyle name="60% - 强调文字颜色 5 2 7 2" xfId="17196"/>
    <cellStyle name="输入 2 5 5 4 2 2" xfId="17197"/>
    <cellStyle name="输出 2 2 3 3 4 2 2" xfId="17198"/>
    <cellStyle name="标题 4 2 3 2 2 5" xfId="17199"/>
    <cellStyle name="解释性文本 3 12" xfId="17200"/>
    <cellStyle name="适中 2 6" xfId="17201"/>
    <cellStyle name="计算 2 5 2 2 2 2 4 3" xfId="17202"/>
    <cellStyle name="20% - 强调文字颜色 1 2 2 3 3 2" xfId="17203"/>
    <cellStyle name="常规 6 3 2 2 3" xfId="17204"/>
    <cellStyle name="适中 3 2 2 4" xfId="17205"/>
    <cellStyle name="注释 2 5 5 2 2" xfId="17206"/>
    <cellStyle name="强调文字颜色 4 2 2 3 3 3 2" xfId="17207"/>
    <cellStyle name="60% - 强调文字颜色 3 3 3 2 2" xfId="17208"/>
    <cellStyle name="输出 2 2 3 2 6" xfId="17209"/>
    <cellStyle name="强调文字颜色 4 2 2 3 3" xfId="17210"/>
    <cellStyle name="输入 2 7 7 2 2" xfId="17211"/>
    <cellStyle name="强调文字颜色 1 2 2 2 5 2 2" xfId="17212"/>
    <cellStyle name="标题 3 4 2 2 2" xfId="17213"/>
    <cellStyle name="强调文字颜色 4 2 3 5 2 3" xfId="17214"/>
    <cellStyle name="标题 2 4 4 3" xfId="17215"/>
    <cellStyle name="注释 2 2 11" xfId="17216"/>
    <cellStyle name="标题 2 3 2 4 2 2" xfId="17217"/>
    <cellStyle name="常规 2 2 2 2 2 3 2 2 2" xfId="17218"/>
    <cellStyle name="适中 2 2 5 4" xfId="17219"/>
    <cellStyle name="计算 2 8 3 4" xfId="17220"/>
    <cellStyle name="计算 3 3 2 2 2" xfId="17221"/>
    <cellStyle name="常规 5 2 8 2" xfId="17222"/>
    <cellStyle name="汇总 2 2 4 4 2 7" xfId="17223"/>
    <cellStyle name="注释 2 4 2 2 3 4" xfId="17224"/>
    <cellStyle name="常规 9 5 5" xfId="17225"/>
    <cellStyle name="汇总 2 2 4 3 2 2 6" xfId="17226"/>
    <cellStyle name="40% - 强调文字颜色 3 2 5 3 3" xfId="17227"/>
    <cellStyle name="60% - 强调文字颜色 6 2 2 2 2 5 2" xfId="17228"/>
    <cellStyle name="好 2 2 2 2 6 2 2" xfId="17229"/>
    <cellStyle name="输出 2 2 8 5" xfId="17230"/>
    <cellStyle name="标题 2 2 2 6 2 2 2" xfId="17231"/>
    <cellStyle name="注释 2 2 6 5 2 2" xfId="17232"/>
    <cellStyle name="输出 2 3 4 4 2" xfId="17233"/>
    <cellStyle name="计算 2 2 8 4 4 2" xfId="17234"/>
    <cellStyle name="输入 2 5 3 4 2 2" xfId="17235"/>
    <cellStyle name="输出 2 6 6 3" xfId="17236"/>
    <cellStyle name="计算 2 6 2 2 2 3 2" xfId="17237"/>
    <cellStyle name="标题 1 2 11" xfId="17238"/>
    <cellStyle name="标题 2 4 3 2 3" xfId="17239"/>
    <cellStyle name="强调文字颜色 3 2 3 3 4" xfId="17240"/>
    <cellStyle name="汇总 2 2 5 2 3 5" xfId="17241"/>
    <cellStyle name="链接单元格 6" xfId="17242"/>
    <cellStyle name="适中 4 5" xfId="17243"/>
    <cellStyle name="超链接 2 2 2 2 3 4" xfId="17244"/>
    <cellStyle name="计算 2 5 2 2 5 2 2" xfId="17245"/>
    <cellStyle name="汇总 2 3 3 2 5 2" xfId="17246"/>
    <cellStyle name="60% - 强调文字颜色 5 2 2 2 2 2 3 2" xfId="17247"/>
    <cellStyle name="超链接 3 2 3 2 3 2" xfId="17248"/>
    <cellStyle name="强调文字颜色 3 2 3 2 5" xfId="17249"/>
    <cellStyle name="强调文字颜色 5 3 9" xfId="17250"/>
    <cellStyle name="60% - 强调文字颜色 6 2 2 6 2 3" xfId="17251"/>
    <cellStyle name="输出 2 2 4 2 5 2 2" xfId="17252"/>
    <cellStyle name="标题 4 2 3 2" xfId="17253"/>
    <cellStyle name="常规 6 3 3 2 2 2 2" xfId="17254"/>
    <cellStyle name="常规 9 2 3 2 3 2" xfId="17255"/>
    <cellStyle name="60% - 强调文字颜色 1 2 2 2 2 3 2 2" xfId="17256"/>
    <cellStyle name="标题 2 2 2 4 4 3" xfId="17257"/>
    <cellStyle name="汇总 2 2 2 6 2 2" xfId="17258"/>
    <cellStyle name="注释 3 8 3" xfId="17259"/>
    <cellStyle name="20% - 强调文字颜色 6 2 2 2 2 2 5 2 2" xfId="17260"/>
    <cellStyle name="输出 2 8 4 3" xfId="17261"/>
    <cellStyle name="输入 2 2 4 2 2 2 5" xfId="17262"/>
    <cellStyle name="常规 5 3 2 2 2 4 2" xfId="17263"/>
    <cellStyle name="计算 2 2 3 2 12" xfId="17264"/>
    <cellStyle name="常规 4 3 4 3 2" xfId="17265"/>
    <cellStyle name="输入 2 4 2 2 2 2 2 2" xfId="17266"/>
    <cellStyle name="计算 2 2 5 6" xfId="17267"/>
    <cellStyle name="20% - 强调文字颜色 6 3 5 2 2 2" xfId="17268"/>
    <cellStyle name="常规 2 2 9" xfId="17269"/>
    <cellStyle name="20% - 强调文字颜色 2 2 2 3 3 2" xfId="17270"/>
    <cellStyle name="60% - 强调文字颜色 3 2 3 5 2 2" xfId="17271"/>
    <cellStyle name="输入 2 2 3 3 6 2" xfId="17272"/>
    <cellStyle name="计算 2 2 3 2 2 2 4 3" xfId="17273"/>
    <cellStyle name="标题 3 5 3" xfId="17274"/>
    <cellStyle name="强调文字颜色 1 2 2 3 6" xfId="17275"/>
    <cellStyle name="输入 2 8 8" xfId="17276"/>
    <cellStyle name="计算 2 6 7 2" xfId="17277"/>
    <cellStyle name="常规 6 6 3" xfId="17278"/>
    <cellStyle name="计算 4 2 2 4 3" xfId="17279"/>
    <cellStyle name="60% - 强调文字颜色 1 2 3 2 2 3" xfId="17280"/>
    <cellStyle name="40% - 强调文字颜色 3 3 4 2 2 2" xfId="17281"/>
    <cellStyle name="汇总 2 3 2 3 3" xfId="17282"/>
    <cellStyle name="差 2 2 4 4 2" xfId="17283"/>
    <cellStyle name="60% - 强调文字颜色 4 2 6 3" xfId="17284"/>
    <cellStyle name="警告文本 2 2 2 2 2 2 2" xfId="17285"/>
    <cellStyle name="计算 3 2 6 2" xfId="17286"/>
    <cellStyle name="20% - 强调文字颜色 4 2 2 4 4" xfId="17287"/>
    <cellStyle name="汇总 2 4 4 3 2 2" xfId="17288"/>
    <cellStyle name="20% - 强调文字颜色 4 2 3 3 5" xfId="17289"/>
    <cellStyle name="计算 3 3 5 3" xfId="17290"/>
    <cellStyle name="常规 4 3 10" xfId="17291"/>
    <cellStyle name="注释 2 5 2 2 2 5" xfId="17292"/>
    <cellStyle name="汇总 2 4 4 2" xfId="17293"/>
    <cellStyle name="常规 2 3 2 5 2 2" xfId="17294"/>
    <cellStyle name="标题 4 2 2 2 3 2 2 2 2" xfId="17295"/>
    <cellStyle name="超链接 2 2 2 3" xfId="17296"/>
    <cellStyle name="解释性文本 2 2 2 2 2 4" xfId="17297"/>
    <cellStyle name="20% - 强调文字颜色 5 2 3 2 2 2 2 2" xfId="17298"/>
    <cellStyle name="汇总 3 3 3 3 3" xfId="17299"/>
    <cellStyle name="汇总 2 2 12" xfId="17300"/>
    <cellStyle name="60% - 强调文字颜色 4 2 3 4" xfId="17301"/>
    <cellStyle name="20% - 强调文字颜色 4 3 2 4 2" xfId="17302"/>
    <cellStyle name="40% - 强调文字颜色 2 2 5 2 2 2" xfId="17303"/>
    <cellStyle name="注释 2 6 4 3 2" xfId="17304"/>
    <cellStyle name="解释性文本 2 2 3" xfId="17305"/>
    <cellStyle name="计算 2 3 6 2 2" xfId="17306"/>
    <cellStyle name="汇总 2 2 7 2 2 7" xfId="17307"/>
    <cellStyle name="40% - 强调文字颜色 2 2 2 2 2 5 2 2 2" xfId="17308"/>
    <cellStyle name="输出 2 4 2 2 2 5" xfId="17309"/>
    <cellStyle name="20% - 强调文字颜色 3 2 2 2 4 2" xfId="17310"/>
    <cellStyle name="警告文本 2 3 2 3 2 2" xfId="17311"/>
    <cellStyle name="计算 2 2 9 6" xfId="17312"/>
    <cellStyle name="常规 4 2 6 5" xfId="17313"/>
    <cellStyle name="20% - 强调文字颜色 1 2 6" xfId="17314"/>
    <cellStyle name="百分比 2 3 3" xfId="17315"/>
    <cellStyle name="解释性文本 2 7 2 2 2" xfId="17316"/>
    <cellStyle name="输入 2 2 4 2 5 2 2" xfId="17317"/>
    <cellStyle name="40% - 强调文字颜色 4 4 3 2 2" xfId="17318"/>
    <cellStyle name="强调文字颜色 4 2 2 4 3 3 2" xfId="17319"/>
    <cellStyle name="汇总 2 2 2 2 2 2 3" xfId="17320"/>
    <cellStyle name="注释 2 6 5 2 2" xfId="17321"/>
    <cellStyle name="标题 4 2 2 5 2" xfId="17322"/>
    <cellStyle name="超链接 2 3 2 2 4" xfId="17323"/>
    <cellStyle name="计算 2 2 17" xfId="17324"/>
    <cellStyle name="标题 2 2 3 2 4 2" xfId="17325"/>
    <cellStyle name="60% - 强调文字颜色 6 2 3 8" xfId="17326"/>
    <cellStyle name="强调文字颜色 6 2 2 3 4 2 3" xfId="17327"/>
    <cellStyle name="计算 2 2 5 3 3 3" xfId="17328"/>
    <cellStyle name="汇总 2 2 2 2 2 2 5 2 2" xfId="17329"/>
    <cellStyle name="超链接 3 3 8" xfId="17330"/>
    <cellStyle name="强调文字颜色 1 2 2 2 7" xfId="17331"/>
    <cellStyle name="标题 3 4 4" xfId="17332"/>
    <cellStyle name="输入 2 7 9" xfId="17333"/>
    <cellStyle name="输入 3 2" xfId="17334"/>
    <cellStyle name="汇总 2 2 11 4 2" xfId="17335"/>
    <cellStyle name="常规 4 2 4 2 4" xfId="17336"/>
    <cellStyle name="常规 5 2 3 2 3 3 2" xfId="17337"/>
    <cellStyle name="汇总 2 2 3 4" xfId="17338"/>
    <cellStyle name="解释性文本 2 9 2 2" xfId="17339"/>
    <cellStyle name="汇总 2 7 2 2 3 3" xfId="17340"/>
    <cellStyle name="好 3 2 4" xfId="17341"/>
    <cellStyle name="计算 2 4 2 3" xfId="17342"/>
    <cellStyle name="输入 2 2 4 2 13" xfId="17343"/>
    <cellStyle name="注释 2 2 5 7 2" xfId="17344"/>
    <cellStyle name="输出 2 2 6 4" xfId="17345"/>
    <cellStyle name="超链接 2 3 7 2" xfId="17346"/>
    <cellStyle name="解释性文本 3 3 5" xfId="17347"/>
    <cellStyle name="标题 4 2 3 2 2 3 2" xfId="17348"/>
    <cellStyle name="输入 2 3 6 2" xfId="17349"/>
    <cellStyle name="汇总 2 3 2 13" xfId="17350"/>
    <cellStyle name="40% - 强调文字颜色 5 2 2 3 3 3" xfId="17351"/>
    <cellStyle name="40% - 强调文字颜色 4 3 6" xfId="17352"/>
    <cellStyle name="60% - 强调文字颜色 4 2 2 2 3 2 2" xfId="17353"/>
    <cellStyle name="强调文字颜色 2 2 3 2 2 5" xfId="17354"/>
    <cellStyle name="输出 2 2 3 4 5 3" xfId="17355"/>
    <cellStyle name="计算 2 3 4 4 3" xfId="17356"/>
    <cellStyle name="强调文字颜色 6 2 3 2 5 2" xfId="17357"/>
    <cellStyle name="输出 3 4 4" xfId="17358"/>
    <cellStyle name="解释性文本 2 2 4 3 3" xfId="17359"/>
    <cellStyle name="检查单元格 2 2 2 3 2" xfId="17360"/>
    <cellStyle name="标题 1 2 2 2 6 2 2" xfId="17361"/>
    <cellStyle name="输入 2 8 4 2" xfId="17362"/>
    <cellStyle name="强调文字颜色 1 2 2 3 2 2" xfId="17363"/>
    <cellStyle name="输出 2 2 3 3 2 2" xfId="17364"/>
    <cellStyle name="汇总 2 2 4 4 5 3" xfId="17365"/>
    <cellStyle name="汇总 2 9 2" xfId="17366"/>
    <cellStyle name="输入 2 2 5 4 2 3 2" xfId="17367"/>
    <cellStyle name="强调文字颜色 6 2 4 4" xfId="17368"/>
    <cellStyle name="计算 2 8 2 2 4" xfId="17369"/>
    <cellStyle name="适中 2 2 4 2 4" xfId="17370"/>
    <cellStyle name="汇总 2 5 2 2 4 2 2" xfId="17371"/>
    <cellStyle name="汇总 2 5 2 2 2 4 2 2" xfId="17372"/>
    <cellStyle name="超链接 2 2 3 2 2 2" xfId="17373"/>
    <cellStyle name="解释性文本 2 2 2 2 3 3 2 2" xfId="17374"/>
    <cellStyle name="汇总 6 3 3" xfId="17375"/>
    <cellStyle name="链接单元格 2 2 2 2 7" xfId="17376"/>
    <cellStyle name="汇总 2 2 4 2 11 2 2" xfId="17377"/>
    <cellStyle name="标题 5 3 2 6" xfId="17378"/>
    <cellStyle name="链接单元格 2 3 3 2 2" xfId="17379"/>
    <cellStyle name="标题 7 5 2" xfId="17380"/>
    <cellStyle name="标题 5 2 4 4 2" xfId="17381"/>
    <cellStyle name="计算 2 2 6 2 2 5 2 2" xfId="17382"/>
    <cellStyle name="60% - 强调文字颜色 3 2 2 3 8" xfId="17383"/>
    <cellStyle name="计算 2 2 2 2 2 2 5 2 2" xfId="17384"/>
    <cellStyle name="20% - 强调文字颜色 6 4 2 2 2 2" xfId="17385"/>
    <cellStyle name="汇总 2 2 5 3 3 4" xfId="17386"/>
    <cellStyle name="标题 2 4 4 2 2" xfId="17387"/>
    <cellStyle name="强调文字颜色 3 2 4 3 3" xfId="17388"/>
    <cellStyle name="注释 4 7 2" xfId="17389"/>
    <cellStyle name="标题 3 2 2 2 2 2 2 2 2" xfId="17390"/>
    <cellStyle name="60% - 强调文字颜色 4 2 2 2 2 4 2 2 2" xfId="17391"/>
    <cellStyle name="标题 2 2 3 8" xfId="17392"/>
    <cellStyle name="计算 2 2 6 4 4 3" xfId="17393"/>
    <cellStyle name="差 2 3 3 2 2 2 2" xfId="17394"/>
    <cellStyle name="汇总 2 6 2 2 6 2" xfId="17395"/>
    <cellStyle name="输出 7 2" xfId="17396"/>
    <cellStyle name="差 3 3 5" xfId="17397"/>
    <cellStyle name="汇总 2 5 2 4 4 2" xfId="17398"/>
    <cellStyle name="计算 3 3 2 6" xfId="17399"/>
    <cellStyle name="注释 2 2 3 2 2 2 5" xfId="17400"/>
    <cellStyle name="常规 10 4 2 3 3" xfId="17401"/>
    <cellStyle name="输入 2 3 4 3 2" xfId="17402"/>
    <cellStyle name="20% - 强调文字颜色 2 2 9 2" xfId="17403"/>
    <cellStyle name="输入 2 2 8 4 5" xfId="17404"/>
    <cellStyle name="输入 2 2 4 2 7 3" xfId="17405"/>
    <cellStyle name="注释 2 16" xfId="17406"/>
    <cellStyle name="超链接 2 2 6" xfId="17407"/>
    <cellStyle name="输出 2 4 8 2 2" xfId="17408"/>
    <cellStyle name="强调文字颜色 2 2 2 3 5 2 2" xfId="17409"/>
    <cellStyle name="输出 2 5 2 2 2 3" xfId="17410"/>
    <cellStyle name="注释 2 4 2 6" xfId="17411"/>
    <cellStyle name="汇总 2 5 2 3 2 3 2" xfId="17412"/>
    <cellStyle name="链接单元格 3 3 2 2" xfId="17413"/>
    <cellStyle name="强调文字颜色 3 2 4 5 2 2" xfId="17414"/>
    <cellStyle name="强调文字颜色 1 2 3 2 2 2 2" xfId="17415"/>
    <cellStyle name="常规 2 3 2 2 3 3" xfId="17416"/>
    <cellStyle name="汇总 2 6 2 4 3 3" xfId="17417"/>
    <cellStyle name="警告文本 2 2 4 2" xfId="17418"/>
    <cellStyle name="60% - 强调文字颜色 6 2 4 5 2" xfId="17419"/>
    <cellStyle name="输出 2 2 6 2 4" xfId="17420"/>
    <cellStyle name="20% - 强调文字颜色 5 2 3 3 3" xfId="17421"/>
    <cellStyle name="注释 2 6 2 2 2 3" xfId="17422"/>
    <cellStyle name="计算 2 2 8 3 3 3" xfId="17423"/>
    <cellStyle name="输入 2 2 2 4 4 3" xfId="17424"/>
    <cellStyle name="警告文本 6 2" xfId="17425"/>
    <cellStyle name="强调文字颜色 4 5 2" xfId="17426"/>
    <cellStyle name="输出 2 2 2 3 4 2" xfId="17427"/>
    <cellStyle name="常规 5 2 3 8 2 2" xfId="17428"/>
    <cellStyle name="输入 2 6 3 2 4" xfId="17429"/>
    <cellStyle name="注释 2 3 4 4" xfId="17430"/>
    <cellStyle name="40% - 强调文字颜色 2 2 2 2 3" xfId="17431"/>
    <cellStyle name="常规 2 5 3 2 2" xfId="17432"/>
    <cellStyle name="计算 2 3 2 4 5" xfId="17433"/>
    <cellStyle name="常规 3 3 2 4 3" xfId="17434"/>
    <cellStyle name="20% - 强调文字颜色 6 3 2 4 2 2" xfId="17435"/>
    <cellStyle name="标题 1 2 2 2 2 4 2 2 2" xfId="17436"/>
    <cellStyle name="强调文字颜色 1 3 4" xfId="17437"/>
    <cellStyle name="40% - 强调文字颜色 2 2 2 2 4" xfId="17438"/>
    <cellStyle name="输入 2 6 3 2 5" xfId="17439"/>
    <cellStyle name="注释 2 3 4 5" xfId="17440"/>
    <cellStyle name="汇总 2 3 2 2 7" xfId="17441"/>
    <cellStyle name="超链接 3 2 2 2 5" xfId="17442"/>
    <cellStyle name="计算 2 2 6 2 2 6" xfId="17443"/>
    <cellStyle name="注释 2 2 5 4 3 2" xfId="17444"/>
    <cellStyle name="输出 2 2 3 5 2" xfId="17445"/>
    <cellStyle name="标题 4 2 2 2 6 2 2" xfId="17446"/>
    <cellStyle name="计算 2 2 2 2 5" xfId="17447"/>
    <cellStyle name="注释 2 2 8 3" xfId="17448"/>
    <cellStyle name="20% - 强调文字颜色 3 2 3 2 5 2 2 2" xfId="17449"/>
    <cellStyle name="常规 3 2 2 2 3" xfId="17450"/>
    <cellStyle name="常规 4 8 3" xfId="17451"/>
    <cellStyle name="输出 2 2 3 3 3" xfId="17452"/>
    <cellStyle name="计算 3 3 3 5" xfId="17453"/>
    <cellStyle name="计算 2 4 6 2 2" xfId="17454"/>
    <cellStyle name="Normal 3 4" xfId="17455"/>
    <cellStyle name="常规 9 2 2 2 2 3 2" xfId="17456"/>
    <cellStyle name="强调文字颜色 1 4 2 2" xfId="17457"/>
    <cellStyle name="注释 2 3 5 2 2" xfId="17458"/>
    <cellStyle name="输入 2 6 3 3 2 2" xfId="17459"/>
    <cellStyle name="强调文字颜色 5 2 6 3 3" xfId="17460"/>
    <cellStyle name="输入 2 2 8 10" xfId="17461"/>
    <cellStyle name="计算 2 5 2 4 2 3 2 2" xfId="17462"/>
    <cellStyle name="检查单元格 2 3 3 2 2 2" xfId="17463"/>
    <cellStyle name="40% - 强调文字颜色 5 2 3 2 4 2" xfId="17464"/>
    <cellStyle name="超链接 2 2 3" xfId="17465"/>
    <cellStyle name="汇总 2 2 6 4 2 7" xfId="17466"/>
    <cellStyle name="输入 2 2 2 3 3" xfId="17467"/>
    <cellStyle name="计算 2 2 8 2 2" xfId="17468"/>
    <cellStyle name="常规 5 2 10" xfId="17469"/>
    <cellStyle name="注释 2 3 5 3" xfId="17470"/>
    <cellStyle name="60% - 强调文字颜色 5 3 2 3 2 2" xfId="17471"/>
    <cellStyle name="40% - 强调文字颜色 2 2 2 3 2" xfId="17472"/>
    <cellStyle name="计算 2 6 9 2 2" xfId="17473"/>
    <cellStyle name="输入 2 6 3 3 3" xfId="17474"/>
    <cellStyle name="常规 9 2 2 2 2 4" xfId="17475"/>
    <cellStyle name="强调文字颜色 1 4 3" xfId="17476"/>
    <cellStyle name="20% - 强调文字颜色 2 2 5 5 2" xfId="17477"/>
    <cellStyle name="输出 2 2 6 8" xfId="17478"/>
    <cellStyle name="计算 2 4 2 3 4 2" xfId="17479"/>
    <cellStyle name="常规 5 4 3 4 3" xfId="17480"/>
    <cellStyle name="强调文字颜色 3 2 2 2 2 2" xfId="17481"/>
    <cellStyle name="60% - 强调文字颜色 6 3 3 3" xfId="17482"/>
    <cellStyle name="汇总 2 4 2 3 5 2" xfId="17483"/>
    <cellStyle name="标题 3 2 2 2 5 2 2" xfId="17484"/>
    <cellStyle name="计算 2 6 3 6" xfId="17485"/>
    <cellStyle name="计算 2 2 2 2 2 2 9" xfId="17486"/>
    <cellStyle name="汇总 2 2 4 3 4 2 2" xfId="17487"/>
    <cellStyle name="60% - 强调文字颜色 1 2 2 2 3 2 2 2 2" xfId="17488"/>
    <cellStyle name="输出 2 2 4 4 6" xfId="17489"/>
    <cellStyle name="汇总 2 5 4 2 3 3" xfId="17490"/>
    <cellStyle name="输入 2 2 6 2 3 2 2" xfId="17491"/>
    <cellStyle name="计算 2 4 11" xfId="17492"/>
    <cellStyle name="计算 2 4 2 2 2" xfId="17493"/>
    <cellStyle name="20% - 强调文字颜色 3 2 2 2 3 2 2 2" xfId="17494"/>
    <cellStyle name="差 2 3 2 2 2 3" xfId="17495"/>
    <cellStyle name="输出 2 2 6 3 2" xfId="17496"/>
    <cellStyle name="输入 2 2 6 12" xfId="17497"/>
    <cellStyle name="强调文字颜色 2 2 2 2 4 3" xfId="17498"/>
    <cellStyle name="输出 2 3 7 3" xfId="17499"/>
    <cellStyle name="强调文字颜色 1 2 3 2 4" xfId="17500"/>
    <cellStyle name="强调文字颜色 3 2 4 7" xfId="17501"/>
    <cellStyle name="计算 2 7 5 2 3" xfId="17502"/>
    <cellStyle name="常规 6 2 2 4 3 2 2" xfId="17503"/>
    <cellStyle name="常规 2 2 5 3" xfId="17504"/>
    <cellStyle name="输入 2 3 3 5 2 2" xfId="17505"/>
    <cellStyle name="链接单元格 2 2 3 2 2 3" xfId="17506"/>
    <cellStyle name="超链接 3 2 2 4 2" xfId="17507"/>
    <cellStyle name="标题 3 2 3 2 2 2 2" xfId="17508"/>
    <cellStyle name="超链接 2 3 6" xfId="17509"/>
    <cellStyle name="汇总 2 2 2 2 6 2 2" xfId="17510"/>
    <cellStyle name="输入 2 6 3 4 2" xfId="17511"/>
    <cellStyle name="注释 2 3 6 2" xfId="17512"/>
    <cellStyle name="常规 9 2 2 2 3 3" xfId="17513"/>
    <cellStyle name="强调文字颜色 1 5 2" xfId="17514"/>
    <cellStyle name="解释性文本 2 3 5 2 2 2" xfId="17515"/>
    <cellStyle name="注释 4 5 2 2" xfId="17516"/>
    <cellStyle name="常规 4 2 2 2 6" xfId="17517"/>
    <cellStyle name="强调文字颜色 1 6" xfId="17518"/>
    <cellStyle name="汇总 3 4 2 2 2" xfId="17519"/>
    <cellStyle name="注释 2 3 7" xfId="17520"/>
    <cellStyle name="输入 2 6 3 5" xfId="17521"/>
    <cellStyle name="注释 2 6 2 2 4 2" xfId="17522"/>
    <cellStyle name="60% - 强调文字颜色 6 3 5" xfId="17523"/>
    <cellStyle name="常规 5 4 3 6" xfId="17524"/>
    <cellStyle name="警告文本 2 2 2 3 4" xfId="17525"/>
    <cellStyle name="输出 2 2 3 2 2 2 2 3 2" xfId="17526"/>
    <cellStyle name="计算 2 8 3 6" xfId="17527"/>
    <cellStyle name="链接单元格 2 3 2 6 2" xfId="17528"/>
    <cellStyle name="常规 4 3 2 2 2" xfId="17529"/>
    <cellStyle name="计算 2 3 2 2 2 2 2" xfId="17530"/>
    <cellStyle name="60% - 强调文字颜色 1 2 2 4 2 3 2" xfId="17531"/>
    <cellStyle name="输出 2 2 3 2 3" xfId="17532"/>
    <cellStyle name="常规 4 7 3" xfId="17533"/>
    <cellStyle name="60% - 强调文字颜色 1 4 2 2 2 2 2" xfId="17534"/>
    <cellStyle name="汇总 2 2 7 9 2" xfId="17535"/>
    <cellStyle name="检查单元格 2 2 2 2 4 2 3" xfId="17536"/>
    <cellStyle name="20% - 强调文字颜色 1 3 2 2 2 2 2 2" xfId="17537"/>
    <cellStyle name="常规 4 2 5 3" xfId="17538"/>
    <cellStyle name="标题 1 2 2 6 3 2" xfId="17539"/>
    <cellStyle name="20% - 强调文字颜色 4 4 2 3 2 2 2" xfId="17540"/>
    <cellStyle name="计算 2 7 13" xfId="17541"/>
    <cellStyle name="常规 9 2 4 3 2" xfId="17542"/>
    <cellStyle name="汇总 2 2 5 2 6" xfId="17543"/>
    <cellStyle name="常规 2 2 2 2 4" xfId="17544"/>
    <cellStyle name="强调文字颜色 4 2 2 3 3 2 2 2" xfId="17545"/>
    <cellStyle name="20% - 强调文字颜色 5 2 3" xfId="17546"/>
    <cellStyle name="计算 2 3 9 3" xfId="17547"/>
    <cellStyle name="输出 2 4 2 3 2 2" xfId="17548"/>
    <cellStyle name="20% - 强调文字颜色 4 2 2 3 3" xfId="17549"/>
    <cellStyle name="60% - 强调文字颜色 5 2 3 5 2" xfId="17550"/>
    <cellStyle name="40% - 强调文字颜色 5 2 2 4 3 2 2 2" xfId="17551"/>
    <cellStyle name="20% - 强调文字颜色 1 2 6 3 2 2" xfId="17552"/>
    <cellStyle name="计算 2 5 3 2" xfId="17553"/>
    <cellStyle name="强调文字颜色 3 2 3 5 2 3" xfId="17554"/>
    <cellStyle name="汇总 2 7 2 8" xfId="17555"/>
    <cellStyle name="输入 2 2 4 2 9 2" xfId="17556"/>
    <cellStyle name="强调文字颜色 4 3 2 3" xfId="17557"/>
    <cellStyle name="输出 2 2 2 3 2 2 3" xfId="17558"/>
    <cellStyle name="强调文字颜色 4 2 4 5 2" xfId="17559"/>
    <cellStyle name="输出 2 3 3 2 4" xfId="17560"/>
    <cellStyle name="输入 2 2 3 9 2" xfId="17561"/>
    <cellStyle name="20% - 强调文字颜色 2 2 2 2 2 2 3 3 2 2" xfId="17562"/>
    <cellStyle name="汇总 2 2 5 2 2 2 4 3" xfId="17563"/>
    <cellStyle name="输出 2 2 5 2 2 5" xfId="17564"/>
    <cellStyle name="汇总 2 7 4 4 2 2" xfId="17565"/>
    <cellStyle name="计算 2 2 8 3 3 2" xfId="17566"/>
    <cellStyle name="40% - 强调文字颜色 2 6 2 2" xfId="17567"/>
    <cellStyle name="标题 4 2 2 2 5 2 3" xfId="17568"/>
    <cellStyle name="输入 2 2 2 4 4 2" xfId="17569"/>
    <cellStyle name="常规 5 5 2 2 3" xfId="17570"/>
    <cellStyle name="常规 3 2 2 4 4" xfId="17571"/>
    <cellStyle name="超链接 2 3 4 2 2" xfId="17572"/>
    <cellStyle name="标题 2 3 6 2" xfId="17573"/>
    <cellStyle name="20% - 强调文字颜色 6 2 2 2 2 2 4 3 2" xfId="17574"/>
    <cellStyle name="注释 2 9 3" xfId="17575"/>
    <cellStyle name="注释 2 8 2" xfId="17576"/>
    <cellStyle name="计算 2 2 4 2 3 6 2 2" xfId="17577"/>
    <cellStyle name="标题 2 2 2 11" xfId="17578"/>
    <cellStyle name="标题 2 2 3 2 4 2 2 2" xfId="17579"/>
    <cellStyle name="差 2 2 2 2 3 2 2 2" xfId="17580"/>
    <cellStyle name="输入 2 2 3 11" xfId="17581"/>
    <cellStyle name="汇总 2 2 3 2 3 3 2" xfId="17582"/>
    <cellStyle name="计算 4 7" xfId="17583"/>
    <cellStyle name="标题 2 3 11" xfId="17584"/>
    <cellStyle name="强调文字颜色 2 2 7 2 2 2" xfId="17585"/>
    <cellStyle name="常规 6 2 3 4 3 2" xfId="17586"/>
    <cellStyle name="40% - 强调文字颜色 5 3 6 2" xfId="17587"/>
    <cellStyle name="60% - 强调文字颜色 4 2 2 4" xfId="17588"/>
    <cellStyle name="输入 2 7 14" xfId="17589"/>
    <cellStyle name="常规 5 2 2 3 4" xfId="17590"/>
    <cellStyle name="20% - 强调文字颜色 2 3 2 2 3 2 2" xfId="17591"/>
    <cellStyle name="注释 3 9" xfId="17592"/>
    <cellStyle name="输出 2 6 2 2 2 2 2" xfId="17593"/>
    <cellStyle name="输入 2 3 9 2 2" xfId="17594"/>
    <cellStyle name="计算 2 6 2 3 2 2" xfId="17595"/>
    <cellStyle name="解释性文本 2 2 4" xfId="17596"/>
    <cellStyle name="计算 2 2 5 2 2 2 3 2" xfId="17597"/>
    <cellStyle name="解释性文本 2 2 2 2 6 2" xfId="17598"/>
    <cellStyle name="输入 2 2 3 3 2 2" xfId="17599"/>
    <cellStyle name="注释 3 10 2" xfId="17600"/>
    <cellStyle name="60% - 强调文字颜色 1 2 2 2 6" xfId="17601"/>
    <cellStyle name="超链接 3 2 2 5 2 2" xfId="17602"/>
    <cellStyle name="输出 2 7 2 3 2" xfId="17603"/>
    <cellStyle name="检查单元格 2 4 9" xfId="17604"/>
    <cellStyle name="计算 2 2 2 2 4 3 3" xfId="17605"/>
    <cellStyle name="计算 2 2 4 4 6 3" xfId="17606"/>
    <cellStyle name="强调文字颜色 4 2 2 3 3 2 2" xfId="17607"/>
    <cellStyle name="标题 3 4 2 2 2 2 2" xfId="17608"/>
    <cellStyle name="输入 2 6 3 5 2 2" xfId="17609"/>
    <cellStyle name="注释 2 3 7 2 2" xfId="17610"/>
    <cellStyle name="标题 4 4 5 2" xfId="17611"/>
    <cellStyle name="超链接 3 3 3 2 2 2" xfId="17612"/>
    <cellStyle name="常规 8 3 5" xfId="17613"/>
    <cellStyle name="常规 5 2 2 4 4 3" xfId="17614"/>
    <cellStyle name="计算 2 2 2 2 4 2 2" xfId="17615"/>
    <cellStyle name="计算 2 2 4 4 5 2" xfId="17616"/>
    <cellStyle name="检查单元格 2 3 8" xfId="17617"/>
    <cellStyle name="输入 2 2 2 2 2 3 2 2" xfId="17618"/>
    <cellStyle name="标题 1 2 5 2 2" xfId="17619"/>
    <cellStyle name="注释 2 7 3 2" xfId="17620"/>
    <cellStyle name="汇总 2 2 6 3 3" xfId="17621"/>
    <cellStyle name="解释性文本 4 8" xfId="17622"/>
    <cellStyle name="输出 2 9" xfId="17623"/>
    <cellStyle name="汇总 2 2 5 3 2 3 2" xfId="17624"/>
    <cellStyle name="强调文字颜色 3 2 4 2 2 2" xfId="17625"/>
    <cellStyle name="20% - 强调文字颜色 2 3 2 4" xfId="17626"/>
    <cellStyle name="60% - 强调文字颜色 6 4 5 2" xfId="17627"/>
    <cellStyle name="20% - 强调文字颜色 5 2 3 6 2 2" xfId="17628"/>
    <cellStyle name="链接单元格 3 2" xfId="17629"/>
    <cellStyle name="适中 4 2 2" xfId="17630"/>
    <cellStyle name="60% - 强调文字颜色 2 2 2 4 3 2" xfId="17631"/>
    <cellStyle name="计算 2 4 5" xfId="17632"/>
    <cellStyle name="标题 5 2 2 3 2 2 2 2" xfId="17633"/>
    <cellStyle name="链接单元格 2 3 5 2 2 2" xfId="17634"/>
    <cellStyle name="输出 2 4 3 2 3 2 2" xfId="17635"/>
    <cellStyle name="汇总 2 2 5 2 2 2 5" xfId="17636"/>
    <cellStyle name="20% - 强调文字颜色 2 4 4 2 2 2" xfId="17637"/>
    <cellStyle name="计算 3 8 3" xfId="17638"/>
    <cellStyle name="适中 3 2 5" xfId="17639"/>
    <cellStyle name="输出 5 2 4" xfId="17640"/>
    <cellStyle name="强调文字颜色 2 3 2 2 2" xfId="17641"/>
    <cellStyle name="注释 2 4 4 2 2 2" xfId="17642"/>
    <cellStyle name="强调文字颜色 4 2 2 2 2 3 2 2" xfId="17643"/>
    <cellStyle name="输入 2 6 4 2 2 2 2" xfId="17644"/>
    <cellStyle name="强调文字颜色 3 2 5 2 2" xfId="17645"/>
    <cellStyle name="汇总 2 2 5 4 2 3" xfId="17646"/>
    <cellStyle name="汇总 2 4 3 3 2 2 2" xfId="17647"/>
    <cellStyle name="计算 2 2 6 2 2" xfId="17648"/>
    <cellStyle name="汇总 2 2 6 2 2 7" xfId="17649"/>
    <cellStyle name="注释 2 4 3 3 2" xfId="17650"/>
    <cellStyle name="计算 2 5 2 2 2 7" xfId="17651"/>
    <cellStyle name="60% - 强调文字颜色 4 2 3 4 3 2" xfId="17652"/>
    <cellStyle name="警告文本 2 2 2 4 3" xfId="17653"/>
    <cellStyle name="60% - 强调文字颜色 1 2 5 2 2" xfId="17654"/>
    <cellStyle name="汇总 2 6 3 2 2 3" xfId="17655"/>
    <cellStyle name="60% - 强调文字颜色 4 2 4 3 2" xfId="17656"/>
    <cellStyle name="40% - 强调文字颜色 1 2 2 3 3 3" xfId="17657"/>
    <cellStyle name="强调文字颜色 2 2 4 8" xfId="17658"/>
    <cellStyle name="强调文字颜色 6 5" xfId="17659"/>
    <cellStyle name="好 2 3 2" xfId="17660"/>
    <cellStyle name="输出 2 2 3 2 12" xfId="17661"/>
    <cellStyle name="计算 2 2 8 3 4 3" xfId="17662"/>
    <cellStyle name="标题 5 2 2 3 2 2 2 3" xfId="17663"/>
    <cellStyle name="40% - 强调文字颜色 4 2 4 2 2" xfId="17664"/>
    <cellStyle name="注释 2 2 6 2 7" xfId="17665"/>
    <cellStyle name="输入 2 3 3 2 3" xfId="17666"/>
    <cellStyle name="强调文字颜色 4 2 2 3 2 2 2 2 2" xfId="17667"/>
    <cellStyle name="解释性文本 2 2 6 2 2" xfId="17668"/>
    <cellStyle name="计算 2 7 2 2 5 2 2" xfId="17669"/>
    <cellStyle name="标题 2 2 2 2 2 5 3" xfId="17670"/>
    <cellStyle name="汇总 2 7 2 2 5" xfId="17671"/>
    <cellStyle name="常规 9 4 4 2" xfId="17672"/>
    <cellStyle name="标题 1 3 3 4" xfId="17673"/>
    <cellStyle name="输入 2 4 7" xfId="17674"/>
    <cellStyle name="强调文字颜色 5 2 3 5 2 2 2" xfId="17675"/>
    <cellStyle name="差 2 2 3 5 2 2" xfId="17676"/>
    <cellStyle name="计算 2 2 4 2 2 2 5 2" xfId="17677"/>
    <cellStyle name="40% - 强调文字颜色 3 3 2 5 2" xfId="17678"/>
    <cellStyle name="40% - 强调文字颜色 5 2 3 2 2 2 2 2 2 2" xfId="17679"/>
    <cellStyle name="注释 2 4 4 4 3" xfId="17680"/>
    <cellStyle name="40% - 强调文字颜色 2 2 3 2 3 3" xfId="17681"/>
    <cellStyle name="强调文字颜色 4 2 2 2 2 5 3" xfId="17682"/>
    <cellStyle name="计算 2 7 2 5" xfId="17683"/>
    <cellStyle name="检查单元格 3 5" xfId="17684"/>
    <cellStyle name="汇总 3 2 4 3" xfId="17685"/>
    <cellStyle name="标题 5 5 3" xfId="17686"/>
    <cellStyle name="标题 5 2 4 2 3 2" xfId="17687"/>
    <cellStyle name="警告文本 2 2 3 3 2 2" xfId="17688"/>
    <cellStyle name="计算 2 2 4 2 4 2 2 2 2" xfId="17689"/>
    <cellStyle name="标题 4 3 2 3 2" xfId="17690"/>
    <cellStyle name="解释性文本 2 4 9" xfId="17691"/>
    <cellStyle name="计算 2 6 2 2 3 3 2 2" xfId="17692"/>
    <cellStyle name="输出 3 12" xfId="17693"/>
    <cellStyle name="汇总 2 2 3 2 5 2 2" xfId="17694"/>
    <cellStyle name="计算 2 2 7 3" xfId="17695"/>
    <cellStyle name="汇总 2 4 3 3 3 3" xfId="17696"/>
    <cellStyle name="强调文字颜色 4 3 8" xfId="17697"/>
    <cellStyle name="60% - 强调文字颜色 6 2 2 5 2 2" xfId="17698"/>
    <cellStyle name="20% - 强调文字颜色 1 3 2 5 2" xfId="17699"/>
    <cellStyle name="强调文字颜色 2 2 2 2 2 5 2" xfId="17700"/>
    <cellStyle name="标题 5 5" xfId="17701"/>
    <cellStyle name="适中 2 2 3 10" xfId="17702"/>
    <cellStyle name="汇总 3 2 4" xfId="17703"/>
    <cellStyle name="强调文字颜色 1 2 3 3 7" xfId="17704"/>
    <cellStyle name="输入 2 6 4 2 4" xfId="17705"/>
    <cellStyle name="40% - 强调文字颜色 2 2 3 2 3" xfId="17706"/>
    <cellStyle name="注释 2 4 4 4" xfId="17707"/>
    <cellStyle name="强调文字颜色 4 2 2 2 2 5" xfId="17708"/>
    <cellStyle name="检查单元格 2 3 2 8" xfId="17709"/>
    <cellStyle name="输出 2 3 2 3 3" xfId="17710"/>
    <cellStyle name="40% - 强调文字颜色 1 2 2 2 3 2 2 2 2 2" xfId="17711"/>
    <cellStyle name="汇总 2 3 4 2" xfId="17712"/>
    <cellStyle name="计算 4 2 4 3" xfId="17713"/>
    <cellStyle name="汇总 2 2 4 7 2 2" xfId="17714"/>
    <cellStyle name="20% - 强调文字颜色 6 3 2 2 4 2" xfId="17715"/>
    <cellStyle name="输入 2 2 4 2 4" xfId="17716"/>
    <cellStyle name="40% - 强调文字颜色 4 4 2" xfId="17717"/>
    <cellStyle name="汇总 2 7 6 2 2" xfId="17718"/>
    <cellStyle name="输出 3 7 3" xfId="17719"/>
    <cellStyle name="输入 2 3 2 2 2 4 2" xfId="17720"/>
    <cellStyle name="20% - 强调文字颜色 5 3 4 2 2" xfId="17721"/>
    <cellStyle name="强调文字颜色 5 2 2 2 5 3" xfId="17722"/>
    <cellStyle name="20% - 强调文字颜色 1 2 2 8 2" xfId="17723"/>
    <cellStyle name="警告文本 2 2 2 2 2 4" xfId="17724"/>
    <cellStyle name="60% - 强调文字颜色 3 2 3 2 4 2 2 2" xfId="17725"/>
    <cellStyle name="超链接 3 2 3 3 2 3" xfId="17726"/>
    <cellStyle name="计算 2 2 4 3 8" xfId="17727"/>
    <cellStyle name="标题 1 2 2 4 3 2 2 2" xfId="17728"/>
    <cellStyle name="计算 2 2 2 2 3 5" xfId="17729"/>
    <cellStyle name="汇总 2 2 12 3 2 2" xfId="17730"/>
    <cellStyle name="计算 2 2 5 2 5 3" xfId="17731"/>
    <cellStyle name="计算 2 2 2 3 2 2 3" xfId="17732"/>
    <cellStyle name="常规 6 9" xfId="17733"/>
    <cellStyle name="常规 3 3 2 3 2 2 2" xfId="17734"/>
    <cellStyle name="60% - 强调文字颜色 3 2 2 3" xfId="17735"/>
    <cellStyle name="60% - 强调文字颜色 4 2 6 3 2 2" xfId="17736"/>
    <cellStyle name="20% - 强调文字颜色 2 2 2 2 2 2 4" xfId="17737"/>
    <cellStyle name="20% - 强调文字颜色 1 2 2 2 3 2 2 2" xfId="17738"/>
    <cellStyle name="注释 2 4 5 3" xfId="17739"/>
    <cellStyle name="40% - 强调文字颜色 2 2 3 3 2" xfId="17740"/>
    <cellStyle name="输入 2 6 4 3 3" xfId="17741"/>
    <cellStyle name="强调文字颜色 4 2 2 2 3 4" xfId="17742"/>
    <cellStyle name="60% - 强调文字颜色 5 3 2 4 2 2" xfId="17743"/>
    <cellStyle name="输入 2 7 2 2 6" xfId="17744"/>
    <cellStyle name="汇总 3 3 3" xfId="17745"/>
    <cellStyle name="检查单元格 2 3 3 7" xfId="17746"/>
    <cellStyle name="计算 2 3 7 3" xfId="17747"/>
    <cellStyle name="计算 2 2 8 2" xfId="17748"/>
    <cellStyle name="汇总 2 4 3 3 4 2" xfId="17749"/>
    <cellStyle name="输出 2 4 2 3 6 2" xfId="17750"/>
    <cellStyle name="标题 2 2 3 2 5" xfId="17751"/>
    <cellStyle name="20% - 强调文字颜色 4 2 3 5 2 2" xfId="17752"/>
    <cellStyle name="注释 2 5 2 2 4 2 2" xfId="17753"/>
    <cellStyle name="超链接 3 2 3 3 3" xfId="17754"/>
    <cellStyle name="检查单元格 2 2 2 2 6 2 2" xfId="17755"/>
    <cellStyle name="汇总 2 2 4 3 8 2" xfId="17756"/>
    <cellStyle name="20% - 强调文字颜色 3 4 2 4" xfId="17757"/>
    <cellStyle name="超链接 3 2 5 2 2" xfId="17758"/>
    <cellStyle name="40% - 强调文字颜色 1 2 4 3 2 2" xfId="17759"/>
    <cellStyle name="40% - 强调文字颜色 1 2 3 2 2 5 2 2" xfId="17760"/>
    <cellStyle name="常规 6 6 2 2 2" xfId="17761"/>
    <cellStyle name="输出 2 5 3 2 5" xfId="17762"/>
    <cellStyle name="强调文字颜色 5 2 4 2 2 2 2 2" xfId="17763"/>
    <cellStyle name="好 2 2 2 7" xfId="17764"/>
    <cellStyle name="60% - 强调文字颜色 6 2 2 3 2 2" xfId="17765"/>
    <cellStyle name="强调文字颜色 2 3 8" xfId="17766"/>
    <cellStyle name="输入 2 2 3 2 2 5 2" xfId="17767"/>
    <cellStyle name="常规 5 2 2 3 2 4 2" xfId="17768"/>
    <cellStyle name="输入 5 3 2" xfId="17769"/>
    <cellStyle name="输入 2 10 2 3" xfId="17770"/>
    <cellStyle name="60% - 强调文字颜色 4 2 2 2 4 2" xfId="17771"/>
    <cellStyle name="标题 3 2 2 2 4 2 2 2" xfId="17772"/>
    <cellStyle name="汇总 2 4 2 2 5 2 2" xfId="17773"/>
    <cellStyle name="注释 2 2 2 2 4" xfId="17774"/>
    <cellStyle name="20% - 强调文字颜色 1 2 3 5" xfId="17775"/>
    <cellStyle name="20% - 强调文字颜色 6 2 3 2 2 5 2" xfId="17776"/>
    <cellStyle name="汇总 3 3 2" xfId="17777"/>
    <cellStyle name="检查单元格 2 3 3 6" xfId="17778"/>
    <cellStyle name="输入 2 6 4 3 2" xfId="17779"/>
    <cellStyle name="注释 2 4 5 2" xfId="17780"/>
    <cellStyle name="强调文字颜色 4 2 2 2 3 3" xfId="17781"/>
    <cellStyle name="计算 2 8 3 2 6" xfId="17782"/>
    <cellStyle name="计算 2 8 8 2" xfId="17783"/>
    <cellStyle name="输入 2 2 2 2 3 3" xfId="17784"/>
    <cellStyle name="60% - 强调文字颜色 5 3 4 2 2" xfId="17785"/>
    <cellStyle name="检查单元格 2 2 3 2" xfId="17786"/>
    <cellStyle name="常规 5 3 3 5 2 2" xfId="17787"/>
    <cellStyle name="汇总 2 2 3 2 2 5 2" xfId="17788"/>
    <cellStyle name="40% - 强调文字颜色 2 2 2 2 2 2 3 2 2 2" xfId="17789"/>
    <cellStyle name="输入 2 2 15 2 2" xfId="17790"/>
    <cellStyle name="超链接 2 3 2 3 2 3" xfId="17791"/>
    <cellStyle name="汇总 2 2 3 2 2 2 3 2" xfId="17792"/>
    <cellStyle name="链接单元格 2 2 4 3 2 2 2" xfId="17793"/>
    <cellStyle name="60% - 强调文字颜色 3 2 4 6" xfId="17794"/>
    <cellStyle name="输入 2 2 6 2 2 3 2 2" xfId="17795"/>
    <cellStyle name="汇总 2 2 6 11 2" xfId="17796"/>
    <cellStyle name="输入 3 3 2 2 3" xfId="17797"/>
    <cellStyle name="输出 2 2 3 2 3 2 2 2 2" xfId="17798"/>
    <cellStyle name="输出 2 6 4 4" xfId="17799"/>
    <cellStyle name="输出 2 2 4 10" xfId="17800"/>
    <cellStyle name="计算 3 3 2 3 2 2" xfId="17801"/>
    <cellStyle name="计算 2 8 4 4 2" xfId="17802"/>
    <cellStyle name="40% - 强调文字颜色 3 2 5 2 2 2" xfId="17803"/>
    <cellStyle name="汇总 3 3 4" xfId="17804"/>
    <cellStyle name="注释 2 4 5 4" xfId="17805"/>
    <cellStyle name="40% - 强调文字颜色 2 2 3 3 3" xfId="17806"/>
    <cellStyle name="强调文字颜色 4 2 2 2 3 5" xfId="17807"/>
    <cellStyle name="60% - 强调文字颜色 6 2 2 5" xfId="17808"/>
    <cellStyle name="好 2 7 2" xfId="17809"/>
    <cellStyle name="计算 2 3 4 2" xfId="17810"/>
    <cellStyle name="常规 5 4 2 3 5" xfId="17811"/>
    <cellStyle name="汇总 3 5 2" xfId="17812"/>
    <cellStyle name="链接单元格 2 6 2 3" xfId="17813"/>
    <cellStyle name="60% - 强调文字颜色 3 2 2 5 2 2 2" xfId="17814"/>
    <cellStyle name="注释 2 3 2 2 2 3 2" xfId="17815"/>
    <cellStyle name="60% - 强调文字颜色 3 2 4 5 2 2" xfId="17816"/>
    <cellStyle name="强调文字颜色 2 2 2 7" xfId="17817"/>
    <cellStyle name="注释 2 6 5" xfId="17818"/>
    <cellStyle name="计算 2 2 5 3 3 3 2" xfId="17819"/>
    <cellStyle name="输入 2 6 6 3" xfId="17820"/>
    <cellStyle name="输出 2 2 2 3 3" xfId="17821"/>
    <cellStyle name="强调文字颜色 4 4" xfId="17822"/>
    <cellStyle name="链接单元格 2 2 3 3" xfId="17823"/>
    <cellStyle name="常规 5 2 5 2 2" xfId="17824"/>
    <cellStyle name="计算 2 2 4 2 6 3" xfId="17825"/>
    <cellStyle name="计算 2 2 2 2 2 3 3" xfId="17826"/>
    <cellStyle name="输入 2 4 5 3" xfId="17827"/>
    <cellStyle name="计算 2 6 3 2 5 2" xfId="17828"/>
    <cellStyle name="60% - 强调文字颜色 2 2" xfId="17829"/>
    <cellStyle name="标题 5 2 2 2 5" xfId="17830"/>
    <cellStyle name="60% - 强调文字颜色 2 2 2 2 3 2 2 2 2" xfId="17831"/>
    <cellStyle name="常规 3 3 2 2 2 3 2" xfId="17832"/>
    <cellStyle name="60% - 强调文字颜色 2 2 3 3" xfId="17833"/>
    <cellStyle name="汇总 2 2 8 2 6 2" xfId="17834"/>
    <cellStyle name="计算 2 5 3 10" xfId="17835"/>
    <cellStyle name="输入 7 2" xfId="17836"/>
    <cellStyle name="标题 5 2 4 3 2 2 2" xfId="17837"/>
    <cellStyle name="标题 7 4 2 2 2" xfId="17838"/>
    <cellStyle name="60% - 强调文字颜色 4 2 2 4 3" xfId="17839"/>
    <cellStyle name="输入 2 6 8" xfId="17840"/>
    <cellStyle name="标题 3 3 3" xfId="17841"/>
    <cellStyle name="解释性文本 3 8" xfId="17842"/>
    <cellStyle name="汇总 2 2 2 2 2 9" xfId="17843"/>
    <cellStyle name="20% - 强调文字颜色 1 2 2 2 2 2 4 2" xfId="17844"/>
    <cellStyle name="注释 3 2 3 2 2" xfId="17845"/>
    <cellStyle name="汇总 2 3 4 6" xfId="17846"/>
    <cellStyle name="计算 2 3 2 3 3 2" xfId="17847"/>
    <cellStyle name="40% - 强调文字颜色 4 2 2 4 2 2 2 2" xfId="17848"/>
    <cellStyle name="汇总 2 5 2 2 7" xfId="17849"/>
    <cellStyle name="标题 3 2 3 2 4 4" xfId="17850"/>
    <cellStyle name="汇总 2 4 8 2 2" xfId="17851"/>
    <cellStyle name="计算 2 2 5 4 4 2 2" xfId="17852"/>
    <cellStyle name="强调文字颜色 1 2 3 2 3 3" xfId="17853"/>
    <cellStyle name="说明文本 3" xfId="17854"/>
    <cellStyle name="汇总 2 5 2 3 4 2" xfId="17855"/>
    <cellStyle name="输出 2 8 2 3 2" xfId="17856"/>
    <cellStyle name="汇总 2 4 2 2 2 4" xfId="17857"/>
    <cellStyle name="无色 2 3" xfId="17858"/>
    <cellStyle name="强调文字颜色 2 2 3 2 3 2 3" xfId="17859"/>
    <cellStyle name="40% - 强调文字颜色 6 2 2 3 3 2 2" xfId="17860"/>
    <cellStyle name="40% - 强调文字颜色 5 2 9 2" xfId="17861"/>
    <cellStyle name="汇总 2 2 3 2 2 3 3 2" xfId="17862"/>
    <cellStyle name="常规 8 3 3" xfId="17863"/>
    <cellStyle name="20% - 强调文字颜色 3 2 2 2 2" xfId="17864"/>
    <cellStyle name="60% - 强调文字颜色 4 2 2 5 2" xfId="17865"/>
    <cellStyle name="汇总 2 10 2 2 2" xfId="17866"/>
    <cellStyle name="汇总 2 8 8 3" xfId="17867"/>
    <cellStyle name="标题 1 2 2 2 5" xfId="17868"/>
    <cellStyle name="强调文字颜色 1 2 2 2" xfId="17869"/>
    <cellStyle name="20% - 强调文字颜色 3 2 2 2 6 2" xfId="17870"/>
    <cellStyle name="汇总 2 2 4 2 3 2 5 2" xfId="17871"/>
    <cellStyle name="标题 4 2 2 3 3 2" xfId="17872"/>
    <cellStyle name="好 2 3 3 2 2 2 3" xfId="17873"/>
    <cellStyle name="40% - 强调文字颜色 2 2 8" xfId="17874"/>
    <cellStyle name="输出 4 5 3" xfId="17875"/>
    <cellStyle name="适中 2 5 4" xfId="17876"/>
    <cellStyle name="好 2 2 2 2 3 4" xfId="17877"/>
    <cellStyle name="差 2 2 5 4" xfId="17878"/>
    <cellStyle name="强调文字颜色 2 2 2 3 5 2" xfId="17879"/>
    <cellStyle name="输出 2 4 8 2" xfId="17880"/>
    <cellStyle name="强调文字颜色 4 2 3 3 3" xfId="17881"/>
    <cellStyle name="标题 3 4 3 2 2" xfId="17882"/>
    <cellStyle name="输入 2 7 8 2 2" xfId="17883"/>
    <cellStyle name="计算 2 8 4 3" xfId="17884"/>
    <cellStyle name="输出 4 2 5 3" xfId="17885"/>
    <cellStyle name="适中 2 2 6 3" xfId="17886"/>
    <cellStyle name="计算 2 2 4 5 3 3" xfId="17887"/>
    <cellStyle name="输入 2 4 2 2 2 3 2" xfId="17888"/>
    <cellStyle name="汇总 2 7 4 2" xfId="17889"/>
    <cellStyle name="40% - 强调文字颜色 2 4" xfId="17890"/>
    <cellStyle name="强调文字颜色 6 2 2 6 2" xfId="17891"/>
    <cellStyle name="警告文本 2 3 2 6 2 2" xfId="17892"/>
    <cellStyle name="注释 2 2 4 5" xfId="17893"/>
    <cellStyle name="输入 2 6 2 2 5" xfId="17894"/>
    <cellStyle name="标题 2 2 5 4" xfId="17895"/>
    <cellStyle name="汇总 2 2 4 2 3 3 3 2 2" xfId="17896"/>
    <cellStyle name="好 2 2 4 3 2 3" xfId="17897"/>
    <cellStyle name="汇总 2 2 6 4 2 3 2" xfId="17898"/>
    <cellStyle name="计算 2 5 3 2 2 3" xfId="17899"/>
    <cellStyle name="汇总 2 9 3 2 2" xfId="17900"/>
    <cellStyle name="强调文字颜色 6 2 4 5 2 2" xfId="17901"/>
    <cellStyle name="计算 2 2 4 2 17" xfId="17902"/>
    <cellStyle name="标题 2 2 2 4 4 2" xfId="17903"/>
    <cellStyle name="强调文字颜色 5 2 3 2 4" xfId="17904"/>
    <cellStyle name="警告文本 4 2 4" xfId="17905"/>
    <cellStyle name="标题 4 3 3 3 2 2 2" xfId="17906"/>
    <cellStyle name="注释 2 2 3 3 4 2" xfId="17907"/>
    <cellStyle name="20% - 强调文字颜色 5 2 3 2 2 5" xfId="17908"/>
    <cellStyle name="常规 10 4 5 3" xfId="17909"/>
    <cellStyle name="标题 3 2 2 2 2 4 4" xfId="17910"/>
    <cellStyle name="计算 2 7 8 2" xfId="17911"/>
    <cellStyle name="60% - 强调文字颜色 5 3 3 2 2" xfId="17912"/>
    <cellStyle name="计算 2 8 2 2 6" xfId="17913"/>
    <cellStyle name="汇总 2 2 9 3 2 3" xfId="17914"/>
    <cellStyle name="强调文字颜色 1 4 4 2" xfId="17915"/>
    <cellStyle name="输入 2 3 2 10" xfId="17916"/>
    <cellStyle name="输入 2 3 9" xfId="17917"/>
    <cellStyle name="计算 2 6 2 3" xfId="17918"/>
    <cellStyle name="常规 5 13" xfId="17919"/>
    <cellStyle name="输出 2 6 3 7" xfId="17920"/>
    <cellStyle name="输入 2 7 3 2 2" xfId="17921"/>
    <cellStyle name="注释 3 3 4 2" xfId="17922"/>
    <cellStyle name="60% - 强调文字颜色 5 2 3 2 3 2 2 2" xfId="17923"/>
    <cellStyle name="超链接 3 3 2 2 2" xfId="17924"/>
    <cellStyle name="20% - 强调文字颜色 1 2 4 5 2 2" xfId="17925"/>
    <cellStyle name="计算 2 3 2 11" xfId="17926"/>
    <cellStyle name="常规 6 3 3 2 3 2" xfId="17927"/>
    <cellStyle name="标题 4 3 3" xfId="17928"/>
    <cellStyle name="好 2 2 3 4 2" xfId="17929"/>
    <cellStyle name="强调文字颜色 5 2 2 2 2 2 2 2" xfId="17930"/>
    <cellStyle name="60% - 强调文字颜色 5 2 2 2 3" xfId="17931"/>
    <cellStyle name="标题 2 2 2 4 3 3 2" xfId="17932"/>
    <cellStyle name="计算 2 10 3 4 2" xfId="17933"/>
    <cellStyle name="注释 3 3 5" xfId="17934"/>
    <cellStyle name="输入 2 7 3 3" xfId="17935"/>
    <cellStyle name="输入 2 8 3" xfId="17936"/>
    <cellStyle name="超链接 3 3 2 3" xfId="17937"/>
    <cellStyle name="适中 2 3 2 3 2 2 2" xfId="17938"/>
    <cellStyle name="计算 2 2 7 2 3 3" xfId="17939"/>
    <cellStyle name="60% - 强调文字颜色 5 2 5 3 2" xfId="17940"/>
    <cellStyle name="20% - 强调文字颜色 1 2 3 2 2 2 2" xfId="17941"/>
    <cellStyle name="汇总 3 4 2" xfId="17942"/>
    <cellStyle name="输出 2 6 2 2" xfId="17943"/>
    <cellStyle name="注释 2 2 3 10" xfId="17944"/>
    <cellStyle name="40% - 强调文字颜色 3 2 3 4" xfId="17945"/>
    <cellStyle name="40% - 强调文字颜色 5 2 2 6 2 2" xfId="17946"/>
    <cellStyle name="注释 2 2 7 7 2" xfId="17947"/>
    <cellStyle name="输入 2 2 4 3 3 4" xfId="17948"/>
    <cellStyle name="好 3 3 2 2 2" xfId="17949"/>
    <cellStyle name="计算 2 4 2 11" xfId="17950"/>
    <cellStyle name="常规 4 4 2 2 2" xfId="17951"/>
    <cellStyle name="输出 4" xfId="17952"/>
    <cellStyle name="常规 2 3 2 5" xfId="17953"/>
    <cellStyle name="输出 2 4 4 5" xfId="17954"/>
    <cellStyle name="注释 2 2 7 5 3" xfId="17955"/>
    <cellStyle name="常规 3 2 3 5" xfId="17956"/>
    <cellStyle name="计算 2 2 5 4 2 3" xfId="17957"/>
    <cellStyle name="60% - 强调文字颜色 3 3 2 2 2 2 2" xfId="17958"/>
    <cellStyle name="汇总 2 2 4 5 2 4 2" xfId="17959"/>
    <cellStyle name="计算 2 7 5 4 2" xfId="17960"/>
    <cellStyle name="强调文字颜色 1 2 3 4 3" xfId="17961"/>
    <cellStyle name="检查单元格 2 3 3 4" xfId="17962"/>
    <cellStyle name="计算 2 2 2 4 2 4 3" xfId="17963"/>
    <cellStyle name="60% - 强调文字颜色 6 5 2 2" xfId="17964"/>
    <cellStyle name="输出 2 4 5 7" xfId="17965"/>
    <cellStyle name="强调文字颜色 5 2 7" xfId="17966"/>
    <cellStyle name="强调文字颜色 6 2 2 2 2 3 2" xfId="17967"/>
    <cellStyle name="汇总 2 2 6 3 5" xfId="17968"/>
    <cellStyle name="计算 2 4 12" xfId="17969"/>
    <cellStyle name="计算 2 4 2 2 3" xfId="17970"/>
    <cellStyle name="60% - 强调文字颜色 2 4 4 2" xfId="17971"/>
    <cellStyle name="计算 2 2 7 3 7" xfId="17972"/>
    <cellStyle name="汇总 3 2 4 3 2 2" xfId="17973"/>
    <cellStyle name="输入 2 2 5 10" xfId="17974"/>
    <cellStyle name="汇总 4 4" xfId="17975"/>
    <cellStyle name="常规 12 4 2 5" xfId="17976"/>
    <cellStyle name="60% - 强调文字颜色 5 3 2 2 3 2 2" xfId="17977"/>
    <cellStyle name="强调文字颜色 3 2 2 2 2 2 5" xfId="17978"/>
    <cellStyle name="解释性文本 2 2 2 5 2" xfId="17979"/>
    <cellStyle name="汇总 3 10 2" xfId="17980"/>
    <cellStyle name="20% - 强调文字颜色 6 2 2 4 3" xfId="17981"/>
    <cellStyle name="强调文字颜色 3 2 6 3 2" xfId="17982"/>
    <cellStyle name="汇总 2 2 5 5 3 3" xfId="17983"/>
    <cellStyle name="注释 2 7 6 2" xfId="17984"/>
    <cellStyle name="标题 3 3 2 4 2" xfId="17985"/>
    <cellStyle name="计算 2 2 7 4 4 2" xfId="17986"/>
    <cellStyle name="适中 2 8 4" xfId="17987"/>
    <cellStyle name="汇总 2 3 2 6 3" xfId="17988"/>
    <cellStyle name="标题 1 2 2 4 4" xfId="17989"/>
    <cellStyle name="常规 9 3 3 2 4" xfId="17990"/>
    <cellStyle name="计算 2 2 5 8 2" xfId="17991"/>
    <cellStyle name="汇总 2 5 2 2 2 6" xfId="17992"/>
    <cellStyle name="60% - 强调文字颜色 2 2 3 2 2" xfId="17993"/>
    <cellStyle name="好" xfId="17994" builtinId="26"/>
    <cellStyle name="计算 2 2 5 4 2 3 3" xfId="17995"/>
    <cellStyle name="注释 2 3 2 4 2" xfId="17996"/>
    <cellStyle name="20% - 强调文字颜色 2 2 5 3" xfId="17997"/>
    <cellStyle name="警告文本 2 2 3 2 2 2 2 2" xfId="17998"/>
    <cellStyle name="标题 2 3 3 4" xfId="17999"/>
    <cellStyle name="60% - 强调文字颜色 2 2 3 2 5 2 2" xfId="18000"/>
    <cellStyle name="常规 4 3 2 3 2" xfId="18001"/>
    <cellStyle name="计算 2 8 4 6" xfId="18002"/>
    <cellStyle name="输入 2 3 2 2 3 2 2" xfId="18003"/>
    <cellStyle name="汇总 2 2 6 13" xfId="18004"/>
    <cellStyle name="汇总 4 2 2 3 2" xfId="18005"/>
    <cellStyle name="20% - 强调文字颜色 1 2 2 3 5 2 2" xfId="18006"/>
    <cellStyle name="标题 6 5" xfId="18007"/>
    <cellStyle name="标题 5 2 3 4" xfId="18008"/>
    <cellStyle name="汇总 2 2 4 2 10 2" xfId="18009"/>
    <cellStyle name="链接单元格 2 3 2 2" xfId="18010"/>
    <cellStyle name="解释性文本 2 2 2 2 3 2 2" xfId="18011"/>
    <cellStyle name="汇总 2 5 2 2 2 3 2" xfId="18012"/>
    <cellStyle name="60% - 强调文字颜色 4 2 2 9 2" xfId="18013"/>
    <cellStyle name="60% - 强调文字颜色 3 2 3 7" xfId="18014"/>
    <cellStyle name="计算 2 2 3 3 2 4 2" xfId="18015"/>
    <cellStyle name="常规 3 7 2 3" xfId="18016"/>
    <cellStyle name="强调文字颜色 3 3 3" xfId="18017"/>
    <cellStyle name="输出 2 2 2 2 2 3" xfId="18018"/>
    <cellStyle name="好 2 3 3 3 2" xfId="18019"/>
    <cellStyle name="计算 2 6 7 3" xfId="18020"/>
    <cellStyle name="40% - 强调文字颜色 4 2 4 3 2 2" xfId="18021"/>
    <cellStyle name="输入 2 2 2 2 2" xfId="18022"/>
    <cellStyle name="强调文字颜色 1 2 2 3 7" xfId="18023"/>
    <cellStyle name="输入 2 8 9" xfId="18024"/>
    <cellStyle name="检查单元格 2 2 2 8" xfId="18025"/>
    <cellStyle name="汇总 2 2 4" xfId="18026"/>
    <cellStyle name="60% - 强调文字颜色 1 2 2 5 3 2" xfId="18027"/>
    <cellStyle name="输出 2 5 2 7" xfId="18028"/>
    <cellStyle name="标题 2 2 6 2 2 3" xfId="18029"/>
    <cellStyle name="计算 2 2 4 2 2 2 4 2" xfId="18030"/>
    <cellStyle name="超链接 3 3 4 3 3" xfId="18031"/>
    <cellStyle name="强调文字颜色 2 2 2 2 2 2 2 2 2" xfId="18032"/>
    <cellStyle name="20% - 强调文字颜色 2 2 2 4 3 2 2" xfId="18033"/>
    <cellStyle name="60% - 强调文字颜色 3 2 3 6 2 2 2" xfId="18034"/>
    <cellStyle name="输入 2 5 5" xfId="18035"/>
    <cellStyle name="计算 2 11 4 2" xfId="18036"/>
    <cellStyle name="超链接 3 3 6 3" xfId="18037"/>
    <cellStyle name="输入 6" xfId="18038"/>
    <cellStyle name="汇总 2 2 11 7" xfId="18039"/>
    <cellStyle name="强调文字颜色 4 2 5 4" xfId="18040"/>
    <cellStyle name="输入 2 2 5 2 2 4 2" xfId="18041"/>
    <cellStyle name="60% - 强调文字颜色 3" xfId="18042" builtinId="40"/>
    <cellStyle name="标题 5 2 3 3 2 2 2" xfId="18043"/>
    <cellStyle name="常规 9 9" xfId="18044"/>
    <cellStyle name="60% - 强调文字颜色 3 2 2 4 3" xfId="18045"/>
    <cellStyle name="标题 6 4 2 2 2" xfId="18046"/>
    <cellStyle name="计算 2 2 4 9 2" xfId="18047"/>
    <cellStyle name="汇总 2 2 10 5 2" xfId="18048"/>
    <cellStyle name="60% - 强调文字颜色 1 4 2 4" xfId="18049"/>
    <cellStyle name="适中 2 8 2 2" xfId="18050"/>
    <cellStyle name="汇总 2 2 6 8 3" xfId="18051"/>
    <cellStyle name="计算 2 4 2 2 2 2" xfId="18052"/>
    <cellStyle name="标题 2 2 3 5 3" xfId="18053"/>
    <cellStyle name="标题 5 6" xfId="18054"/>
    <cellStyle name="60% - 强调文字颜色 3 2 2 3 4 2" xfId="18055"/>
    <cellStyle name="检查单元格 2 3 4 2 3" xfId="18056"/>
    <cellStyle name="好 2 4 4 3" xfId="18057"/>
    <cellStyle name="60% - 强调文字颜色 1 3 7" xfId="18058"/>
    <cellStyle name="40% - 强调文字颜色 3 2 3 2 2 3 2" xfId="18059"/>
    <cellStyle name="计算 2 2 2 2 6 2" xfId="18060"/>
    <cellStyle name="输出 2 2 4 12" xfId="18061"/>
    <cellStyle name="20% - 强调文字颜色 6 2 4 4 3 2" xfId="18062"/>
    <cellStyle name="计算 2 2 15 2 2" xfId="18063"/>
    <cellStyle name="汇总 2 2 4 2 8 2 2" xfId="18064"/>
    <cellStyle name="汇总 2 2 9 3 4 2" xfId="18065"/>
    <cellStyle name="汇总 2 2 3 4 4 3" xfId="18066"/>
    <cellStyle name="强调文字颜色 4 2 2" xfId="18067"/>
    <cellStyle name="计算 2 2 4" xfId="18068"/>
    <cellStyle name="警告文本 3 2 2 3" xfId="18069"/>
    <cellStyle name="标题 3 2 3 4 3 2" xfId="18070"/>
    <cellStyle name="强调文字颜色 2 2 2 5 2" xfId="18071"/>
    <cellStyle name="计算 2 2 3 3 5" xfId="18072"/>
    <cellStyle name="20% - 强调文字颜色 1 6 2" xfId="18073"/>
    <cellStyle name="超链接 3 4 3 4" xfId="18074"/>
    <cellStyle name="计算 2 4 3 3 3" xfId="18075"/>
    <cellStyle name="标题 4 2 2 2 3 2" xfId="18076"/>
    <cellStyle name="40% - 强调文字颜色 1 2 8" xfId="18077"/>
    <cellStyle name="20% - 强调文字颜色 4 2 2 2 2 2 4 2" xfId="18078"/>
    <cellStyle name="40% - 强调文字颜色 6 2 2 3 2 2 2" xfId="18079"/>
    <cellStyle name="输入 2 2 4 4 2 6" xfId="18080"/>
    <cellStyle name="输入 2 2 4 2 2 3 4" xfId="18081"/>
    <cellStyle name="注释 2 2 3 2 7 2 2" xfId="18082"/>
    <cellStyle name="超链接 3 5 4" xfId="18083"/>
    <cellStyle name="40% - 强调文字颜色 1 2 7 2" xfId="18084"/>
    <cellStyle name="标题 2 2 2 2 2 3 3 2 2" xfId="18085"/>
    <cellStyle name="标题 1 2 4 5 2" xfId="18086"/>
    <cellStyle name="强调文字颜色 1 2 2 4 4" xfId="18087"/>
    <cellStyle name="输入 2 9 6" xfId="18088"/>
    <cellStyle name="60% - 强调文字颜色 6 5 2 2 3" xfId="18089"/>
    <cellStyle name="链接单元格 4 5" xfId="18090"/>
    <cellStyle name="解释性文本 2 2 2 2 4 2 2" xfId="18091"/>
    <cellStyle name="汇总 2 5 2 2 3 3 2" xfId="18092"/>
    <cellStyle name="输出 2 4 2 2 4" xfId="18093"/>
    <cellStyle name="计算 2 2 3 2 2 6 3" xfId="18094"/>
    <cellStyle name="40% - 强调文字颜色 3 2 2 2 3 4" xfId="18095"/>
    <cellStyle name="输出 2 2 3 2 2 5" xfId="18096"/>
    <cellStyle name="计算 2 2 4 2 3 2 2 2 2" xfId="18097"/>
    <cellStyle name="输出 2 2 8 3 2 2" xfId="18098"/>
    <cellStyle name="标题 1 2 4 10" xfId="18099"/>
    <cellStyle name="汇总 2 2 4 3 3 4 2 2" xfId="18100"/>
    <cellStyle name="百分比 2 2 3 2" xfId="18101"/>
    <cellStyle name="40% - 强调文字颜色 6 3 2 2 4" xfId="18102"/>
    <cellStyle name="40% - 强调文字颜色 4 2 2 2 2 2 4 3 2" xfId="18103"/>
    <cellStyle name="汇总 2 2 2 2 2 2" xfId="18104"/>
    <cellStyle name="汇总 2 2 18" xfId="18105"/>
    <cellStyle name="20% - 强调文字颜色 4 2 2 4 2 3 2" xfId="18106"/>
    <cellStyle name="常规 5 2 4 3 3" xfId="18107"/>
    <cellStyle name="计算 3 2 2 3 2" xfId="18108"/>
    <cellStyle name="Porcentaje 2" xfId="18109"/>
    <cellStyle name="输入 4 6" xfId="18110"/>
    <cellStyle name="强调文字颜色 3 2 2 3 2 2 3" xfId="18111"/>
    <cellStyle name="汇总 2 2 4 2 2 2 7" xfId="18112"/>
    <cellStyle name="汇总 2 2 2 2 3 8" xfId="18113"/>
    <cellStyle name="解释性文本 4 7" xfId="18114"/>
    <cellStyle name="计算 2 2 5 2 2 3 5" xfId="18115"/>
    <cellStyle name="链接单元格 2 2 3 3 3 2" xfId="18116"/>
    <cellStyle name="强调文字颜色 3 2 3 4" xfId="18117"/>
    <cellStyle name="差 2 2 2 4 3 3" xfId="18118"/>
    <cellStyle name="标题 1 5 3" xfId="18119"/>
    <cellStyle name="40% - 强调文字颜色 4 2 3 2 2 2 3" xfId="18120"/>
    <cellStyle name="计算 2 5 4 3 2 2" xfId="18121"/>
    <cellStyle name="超链接 3 6 2" xfId="18122"/>
    <cellStyle name="解释性文本 6" xfId="18123"/>
    <cellStyle name="解释性文本 3 3 2 2" xfId="18124"/>
    <cellStyle name="汇总 2 2 2 2 2 4 2 2" xfId="18125"/>
    <cellStyle name="输出 2 4 4 5 2 2" xfId="18126"/>
    <cellStyle name="常规 12 2 4" xfId="18127"/>
    <cellStyle name="汇总 2 7 2 2 2 2 2" xfId="18128"/>
    <cellStyle name="强调文字颜色 6 2 2 4 2 2 2 2" xfId="18129"/>
    <cellStyle name="60% - 强调文字颜色 6 2 2 2 2 2 2 2" xfId="18130"/>
    <cellStyle name="输入 2 2 6 4 2 2 2" xfId="18131"/>
    <cellStyle name="输入 2 4 8" xfId="18132"/>
    <cellStyle name="汇总 2 2 2 2 5 2" xfId="18133"/>
    <cellStyle name="输出 2 4 7 3" xfId="18134"/>
    <cellStyle name="注释 2 2 3 5 7" xfId="18135"/>
    <cellStyle name="汇总 2 2 8 2 4 2" xfId="18136"/>
    <cellStyle name="常规 9 2 3 3 2 2 2" xfId="18137"/>
    <cellStyle name="汇总 2 2 4 2 6 2 2" xfId="18138"/>
    <cellStyle name="常规 2 2 2 2 2 2 3" xfId="18139"/>
    <cellStyle name="计算 2 2 13 2 2" xfId="18140"/>
    <cellStyle name="40% - 强调文字颜色 1 2 3 2 2 3 2 2" xfId="18141"/>
    <cellStyle name="输入 2 3 2 2 7" xfId="18142"/>
    <cellStyle name="标题 2 2 2 4 3 2 2" xfId="18143"/>
    <cellStyle name="超链接 3 7 3" xfId="18144"/>
    <cellStyle name="计算 3 3 2" xfId="18145"/>
    <cellStyle name="好 2 4 2 2 3" xfId="18146"/>
    <cellStyle name="汇总 5 7" xfId="18147"/>
    <cellStyle name="汇总 2 2 4 11" xfId="18148"/>
    <cellStyle name="注释 2 4 3 3 4" xfId="18149"/>
    <cellStyle name="计算 2 5 2 2 2 9" xfId="18150"/>
    <cellStyle name="解释性文本 2 2 3 5" xfId="18151"/>
    <cellStyle name="输出 2 2 4 2 3 2 2" xfId="18152"/>
    <cellStyle name="输出 2 2 2 2 2 9" xfId="18153"/>
    <cellStyle name="强调文字颜色 3 3 9" xfId="18154"/>
    <cellStyle name="40% - 强调文字颜色 4 2 2 2 4 3 2 2" xfId="18155"/>
    <cellStyle name="60% - 强调文字颜色 6 2 2 4 2 3" xfId="18156"/>
    <cellStyle name="20% - 强调文字颜色 6 2 4 6" xfId="18157"/>
    <cellStyle name="好 5 2 2 2" xfId="18158"/>
    <cellStyle name="输入 2 5 3 7" xfId="18159"/>
    <cellStyle name="标题 1 3 2 2 3 3" xfId="18160"/>
    <cellStyle name="计算 2 2 3 3 3 4 2" xfId="18161"/>
    <cellStyle name="计算 2 2 4 2 3 6" xfId="18162"/>
    <cellStyle name="标题 4 2 3 6 2 2 2" xfId="18163"/>
    <cellStyle name="标题 2 2 3 6 2 3" xfId="18164"/>
    <cellStyle name="40% - 强调文字颜色 6 2 2 2 2 4 3 2 2" xfId="18165"/>
    <cellStyle name="汇总 3 3 3 4 2" xfId="18166"/>
    <cellStyle name="差 3 2 2 3 2 3" xfId="18167"/>
    <cellStyle name="汇总 2 3 2 5" xfId="18168"/>
    <cellStyle name="输入 2 5 3 2 2 3 2" xfId="18169"/>
    <cellStyle name="60% - 强调文字颜色 2 2 2 2 3 2 2" xfId="18170"/>
    <cellStyle name="计算 4 2 2 6" xfId="18171"/>
    <cellStyle name="好 2 2 2 2 3 2" xfId="18172"/>
    <cellStyle name="20% - 强调文字颜色 3 2 2 3 3 3 2" xfId="18173"/>
    <cellStyle name="适中 3 2 5 2" xfId="18174"/>
    <cellStyle name="汇总 3 2 3 3 3" xfId="18175"/>
    <cellStyle name="好 2 2 2 3 3" xfId="18176"/>
    <cellStyle name="40% - 强调文字颜色 3 2 2 2 2 2 2 3" xfId="18177"/>
    <cellStyle name="强调文字颜色 1 3 2 3 2" xfId="18178"/>
    <cellStyle name="计算 2 7 2 2 2 3" xfId="18179"/>
    <cellStyle name="检查单元格 3 2 2 3" xfId="18180"/>
    <cellStyle name="标题 1 2 3 2 6 2" xfId="18181"/>
    <cellStyle name="注释 2 11 3" xfId="18182"/>
    <cellStyle name="40% - 强调文字颜色 2 3 2 4 2 2 2" xfId="18183"/>
    <cellStyle name="好 2 2 2 3 5" xfId="18184"/>
    <cellStyle name="输入 2 2 4 9 2 2" xfId="18185"/>
    <cellStyle name="汇总 2 2 4 3 2 2 2 2 2" xfId="18186"/>
    <cellStyle name="20% - 强调文字颜色 1 2 2 2 5" xfId="18187"/>
    <cellStyle name="强调文字颜色 6 2 3 3 4" xfId="18188"/>
    <cellStyle name="标题 5 4 3 2 3" xfId="18189"/>
    <cellStyle name="强调文字颜色 1 2 2 3 4" xfId="18190"/>
    <cellStyle name="输入 2 8 6" xfId="18191"/>
    <cellStyle name="40% - 强调文字颜色 1 2 6 3" xfId="18192"/>
    <cellStyle name="60% - 强调文字颜色 5 2 2 7 2" xfId="18193"/>
    <cellStyle name="超链接 3 4 5" xfId="18194"/>
    <cellStyle name="计算 2 6 3 2 3 3" xfId="18195"/>
    <cellStyle name="标题 3 3 9" xfId="18196"/>
    <cellStyle name="标题 4 4 4 2" xfId="18197"/>
    <cellStyle name="汇总 2 6 7 2" xfId="18198"/>
    <cellStyle name="好 2 2 2 3 7" xfId="18199"/>
    <cellStyle name="常规 4 5 3 4 2" xfId="18200"/>
    <cellStyle name="好 2 2 2 4 3 2" xfId="18201"/>
    <cellStyle name="计算 2 8 5 2" xfId="18202"/>
    <cellStyle name="输出 4 2 6 2" xfId="18203"/>
    <cellStyle name="适中 2 2 7 2" xfId="18204"/>
    <cellStyle name="好 2 2 3 4 2 2" xfId="18205"/>
    <cellStyle name="60% - 强调文字颜色 5 2 2 2 3 2" xfId="18206"/>
    <cellStyle name="常规 5" xfId="18207"/>
    <cellStyle name="输入 2 2 7 3 5" xfId="18208"/>
    <cellStyle name="常规 9 4 2 2 3" xfId="18209"/>
    <cellStyle name="强调文字颜色 2 2 4 2 2 2 2 2" xfId="18210"/>
    <cellStyle name="标题 3 2 2 3 3 4" xfId="18211"/>
    <cellStyle name="输出 2 2 8 4" xfId="18212"/>
    <cellStyle name="注释 2 2 5 9 2" xfId="18213"/>
    <cellStyle name="强调文字颜色 3 2 3 5 2 2 2" xfId="18214"/>
    <cellStyle name="计算 2 2 6 6 3" xfId="18215"/>
    <cellStyle name="汇总 2 7 2 7 2" xfId="18216"/>
    <cellStyle name="汇总 2 6 11 2" xfId="18217"/>
    <cellStyle name="输入 3 2 2 6" xfId="18218"/>
    <cellStyle name="警告文本 4 2 3" xfId="18219"/>
    <cellStyle name="计算 2 8 2 2 5" xfId="18220"/>
    <cellStyle name="40% - 强调文字颜色 4 6 2" xfId="18221"/>
    <cellStyle name="输入 2 2 4 4 4" xfId="18222"/>
    <cellStyle name="汇总 2 7 6 4 2" xfId="18223"/>
    <cellStyle name="输出 2 4 2 2 3 2 3" xfId="18224"/>
    <cellStyle name="常规 8 3 3 2 2 2" xfId="18225"/>
    <cellStyle name="输入 2 2 5 2 2 2 5" xfId="18226"/>
    <cellStyle name="强调文字颜色 4 2 3 7" xfId="18227"/>
    <cellStyle name="输入 2 5 2 6 2 2" xfId="18228"/>
    <cellStyle name="计算 2 4 2 5 3" xfId="18229"/>
    <cellStyle name="输入 2 2 2 4 3 2 2" xfId="18230"/>
    <cellStyle name="40% - 强调文字颜色 6 3 2 2 3 2 2" xfId="18231"/>
    <cellStyle name="计算 2 2 8 3 2 2 2" xfId="18232"/>
    <cellStyle name="输出 2 4 4 3 3" xfId="18233"/>
    <cellStyle name="强调文字颜色 3 2 2 4 2" xfId="18234"/>
    <cellStyle name="60% - 强调文字颜色 2 2 4 5 2 2" xfId="18235"/>
    <cellStyle name="注释 2 2 2 2 2 3 2" xfId="18236"/>
    <cellStyle name="20% - 强调文字颜色 1 2 3 3 3 2" xfId="18237"/>
    <cellStyle name="汇总 2 6 4 4 3" xfId="18238"/>
    <cellStyle name="20% - 强调文字颜色 3 4 2 3 2" xfId="18239"/>
    <cellStyle name="标题 4 2 3 2 4 3 2" xfId="18240"/>
    <cellStyle name="汇总 2 2 4 2 11 3" xfId="18241"/>
    <cellStyle name="链接单元格 2 3 3 3" xfId="18242"/>
    <cellStyle name="常规 5 2 6 2 2" xfId="18243"/>
    <cellStyle name="计算 2 2 2 2 3 3 3" xfId="18244"/>
    <cellStyle name="输入 2 2 5 4 6" xfId="18245"/>
    <cellStyle name="常规 12 2 2 3 3 2 2" xfId="18246"/>
    <cellStyle name="输出 2 3 2 11" xfId="18247"/>
    <cellStyle name="常规 4 6 2 3 2" xfId="18248"/>
    <cellStyle name="40% - 强调文字颜色 2 2 4 4" xfId="18249"/>
    <cellStyle name="60% - 强调文字颜色 3 2 3 2 4 3 2" xfId="18250"/>
    <cellStyle name="输入 2 2 5 2 2 9" xfId="18251"/>
    <cellStyle name="60% - 强调文字颜色 6 2 3 5 2 2 2" xfId="18252"/>
    <cellStyle name="注释 2 4 2 11" xfId="18253"/>
    <cellStyle name="计算 2 3 2 2 6 2" xfId="18254"/>
    <cellStyle name="注释 2 4 2 2 2 2 2 3" xfId="18255"/>
    <cellStyle name="超链接 3 3 4 2 2 2 2" xfId="18256"/>
    <cellStyle name="输出 3 8" xfId="18257"/>
    <cellStyle name="标题 3 3 4 2" xfId="18258"/>
    <cellStyle name="注释 2 9 4" xfId="18259"/>
    <cellStyle name="输入 2 6 9 2" xfId="18260"/>
    <cellStyle name="强调文字颜色 6 2 3 2 4 3 2" xfId="18261"/>
    <cellStyle name="强调文字颜色 5 2 4 4 2" xfId="18262"/>
    <cellStyle name="20% - 强调文字颜色 3 4 2 3" xfId="18263"/>
    <cellStyle name="汇总 2 12 2 3" xfId="18264"/>
    <cellStyle name="常规 2 4 2" xfId="18265"/>
    <cellStyle name="20% - 强调文字颜色 5 2 3 4 2" xfId="18266"/>
    <cellStyle name="输出 2 2 6 3 3" xfId="18267"/>
    <cellStyle name="计算 2 2 5 4 9" xfId="18268"/>
    <cellStyle name="60% - 强调文字颜色 4 3" xfId="18269"/>
    <cellStyle name="注释 2 6 10" xfId="18270"/>
    <cellStyle name="好 2 3 2 2 3" xfId="18271"/>
    <cellStyle name="注释 2 4 2 8 2" xfId="18272"/>
    <cellStyle name="计算 2 2 4 2 2 2 2 5" xfId="18273"/>
    <cellStyle name="输入 2 4 2 2 2 6" xfId="18274"/>
    <cellStyle name="输入 2 6 3 6 2" xfId="18275"/>
    <cellStyle name="注释 2 3 8 2" xfId="18276"/>
    <cellStyle name="输出 2 6 5 5" xfId="18277"/>
    <cellStyle name="输出 2 4 4 2 2 2 2" xfId="18278"/>
    <cellStyle name="计算 2 2 4 11" xfId="18279"/>
    <cellStyle name="汇总 2 2 5 2 2 3" xfId="18280"/>
    <cellStyle name="强调文字颜色 5 2 2 2 2 7" xfId="18281"/>
    <cellStyle name="超链接 2 3 2 4 3" xfId="18282"/>
    <cellStyle name="常规 11 4 3 2" xfId="18283"/>
    <cellStyle name="20% - 强调文字颜色 4 2 2 2 5 2 2 2" xfId="18284"/>
    <cellStyle name="常规 9 2 2 4 3" xfId="18285"/>
    <cellStyle name="汇总 2 2 3 3 7" xfId="18286"/>
    <cellStyle name="输入 2 3 4 4 3" xfId="18287"/>
    <cellStyle name="输出 2 4 2 3 3 2 2" xfId="18288"/>
    <cellStyle name="汇总 2 2 5 2 3 3 2" xfId="18289"/>
    <cellStyle name="常规 5 4 2 2 4" xfId="18290"/>
    <cellStyle name="强调文字颜色 3 2 3 3 2 2" xfId="18291"/>
    <cellStyle name="汇总 2 5 2 7" xfId="18292"/>
    <cellStyle name="适中 4 3 2" xfId="18293"/>
    <cellStyle name="链接单元格 4 2" xfId="18294"/>
    <cellStyle name="40% - 强调文字颜色 4 2 2 2 2 2 5 2 2" xfId="18295"/>
    <cellStyle name="百分比 2 3 2 2" xfId="18296"/>
    <cellStyle name="输入 2 3 11" xfId="18297"/>
    <cellStyle name="适中 2 8" xfId="18298"/>
    <cellStyle name="汇总 2 2 3 2 6 2 2" xfId="18299"/>
    <cellStyle name="标题 2 2 2 6 3 3" xfId="18300"/>
    <cellStyle name="20% - 强调文字颜色 6 2 3 2 5 2 2 2" xfId="18301"/>
    <cellStyle name="计算 2 2 3 2 3 5 2" xfId="18302"/>
    <cellStyle name="好 2 3 2 7" xfId="18303"/>
    <cellStyle name="输出 2 4 2 5 4" xfId="18304"/>
    <cellStyle name="强调文字颜色 5 2 2 3" xfId="18305"/>
    <cellStyle name="强调文字颜色 2 2 3 5 2 3" xfId="18306"/>
    <cellStyle name="标题 2 2 3 2 5 3" xfId="18307"/>
    <cellStyle name="汇总 2 2 3 4 3 2" xfId="18308"/>
    <cellStyle name="汇总 2 3 2 3 3 2" xfId="18309"/>
    <cellStyle name="差 2 2 4 4 2 2" xfId="18310"/>
    <cellStyle name="强调文字颜色 4 2 2 9" xfId="18311"/>
    <cellStyle name="标题 4 2 6 2 2 3" xfId="18312"/>
    <cellStyle name="60% - 强调文字颜色 4 2 6 3 2" xfId="18313"/>
    <cellStyle name="20% - 强调文字颜色 1 2 2 2 3 2 2" xfId="18314"/>
    <cellStyle name="60% - 强调文字颜色 2 2 3 4 2 2 2" xfId="18315"/>
    <cellStyle name="计算 2 6 3 5 2" xfId="18316"/>
    <cellStyle name="注释 2 6 2 2 3 2" xfId="18317"/>
    <cellStyle name="60% - 强调文字颜色 6 2 5" xfId="18318"/>
    <cellStyle name="注释 2 2 2 2 8 2" xfId="18319"/>
    <cellStyle name="40% - 强调文字颜色 1 2 2 2" xfId="18320"/>
    <cellStyle name="常规 6 3 4 2 2 2" xfId="18321"/>
    <cellStyle name="链接单元格 3 6" xfId="18322"/>
    <cellStyle name="输入 2 3 12" xfId="18323"/>
    <cellStyle name="输入 2 5 4 3 2 2" xfId="18324"/>
    <cellStyle name="60% - 强调文字颜色 6 2 2 5 3 2" xfId="18325"/>
    <cellStyle name="百分比 2 3 2 3" xfId="18326"/>
    <cellStyle name="输出 3 2 2 4 2 2" xfId="18327"/>
    <cellStyle name="计算 2 11 3 3" xfId="18328"/>
    <cellStyle name="汇总 2 2 10 8" xfId="18329"/>
    <cellStyle name="汇总 2 2 3 3 4 2" xfId="18330"/>
    <cellStyle name="输出 2 2 3 2 2 2 2 3" xfId="18331"/>
    <cellStyle name="常规 10 3 7" xfId="18332"/>
    <cellStyle name="常规 11 2 4 2 2" xfId="18333"/>
    <cellStyle name="好 2 3 2 8" xfId="18334"/>
    <cellStyle name="输出 2 4 2 5 5" xfId="18335"/>
    <cellStyle name="输出 3 8 2 2" xfId="18336"/>
    <cellStyle name="检查单元格 2 2 6 2 2 2" xfId="18337"/>
    <cellStyle name="计算 2 5 7 3" xfId="18338"/>
    <cellStyle name="好 2 3 2 3 2" xfId="18339"/>
    <cellStyle name="汇总 2 2 6 3 3 2" xfId="18340"/>
    <cellStyle name="计算 2 9 2 4 2 2" xfId="18341"/>
    <cellStyle name="常规 2 2 5" xfId="18342"/>
    <cellStyle name="强调文字颜色 4 2 3 2 3" xfId="18343"/>
    <cellStyle name="计算 2 2 8 5 2" xfId="18344"/>
    <cellStyle name="输入 2 2 2 6 3" xfId="18345"/>
    <cellStyle name="计算 2 6 3 2 3" xfId="18346"/>
    <cellStyle name="输入 2 4 8 3" xfId="18347"/>
    <cellStyle name="强调文字颜色 3 2 2 2 2 3 2 2" xfId="18348"/>
    <cellStyle name="强调文字颜色 5 2 3 2 3 4" xfId="18349"/>
    <cellStyle name="输入 3 3 5 2 2" xfId="18350"/>
    <cellStyle name="强调文字颜色 4 2 4 2 2 2 3" xfId="18351"/>
    <cellStyle name="输出 2 4 5 2 2 2 2" xfId="18352"/>
    <cellStyle name="输入 2 6 3" xfId="18353"/>
    <cellStyle name="超链接 2 3 6 2 2" xfId="18354"/>
    <cellStyle name="解释性文本 3 2 5 2" xfId="18355"/>
    <cellStyle name="标题 4 2 3 2 2 2 2 2" xfId="18356"/>
    <cellStyle name="标题 3 3 3 3 2 2" xfId="18357"/>
    <cellStyle name="标题 2 2 2 2 4 3 3" xfId="18358"/>
    <cellStyle name="汇总 2 2 2 4 2 2 3" xfId="18359"/>
    <cellStyle name="计算 2 4 3 4 2" xfId="18360"/>
    <cellStyle name="60% - 强调文字颜色 3 3 2 4 2 2 2" xfId="18361"/>
    <cellStyle name="计算 2 2 4 2 6 2 2" xfId="18362"/>
    <cellStyle name="计算 2 2 2 2 2 3 2 2" xfId="18363"/>
    <cellStyle name="警告文本 2 4 3 3" xfId="18364"/>
    <cellStyle name="好 2 4 8" xfId="18365"/>
    <cellStyle name="计算 2 6 4 2 2 2" xfId="18366"/>
    <cellStyle name="标题 3 2 3 2 2" xfId="18367"/>
    <cellStyle name="输入 2 5 8 2 2" xfId="18368"/>
    <cellStyle name="60% - 强调文字颜色 1 2 2 2 4 2 2" xfId="18369"/>
    <cellStyle name="标题 4 6 2" xfId="18370"/>
    <cellStyle name="计算 2 2 6 4 2 4" xfId="18371"/>
    <cellStyle name="60% - 强调文字颜色 3 2 4 3 2 2 2" xfId="18372"/>
    <cellStyle name="汇总 2 2 7 2 4" xfId="18373"/>
    <cellStyle name="计算 2 2 2 3 2" xfId="18374"/>
    <cellStyle name="标题 5 2 7 2" xfId="18375"/>
    <cellStyle name="60% - 强调文字颜色 3 2 4 2" xfId="18376"/>
    <cellStyle name="20% - 强调文字颜色 2 2 2 4 2 3 2" xfId="18377"/>
    <cellStyle name="输出 2 2 7 3 2 2 2" xfId="18378"/>
    <cellStyle name="强调文字颜色 3 3 4" xfId="18379"/>
    <cellStyle name="输出 2 2 2 2 2 4" xfId="18380"/>
    <cellStyle name="标题 2 2 3 2 2 3 3" xfId="18381"/>
    <cellStyle name="强调文字颜色 4 2 3 2 3 2" xfId="18382"/>
    <cellStyle name="输出 2 2 5 13" xfId="18383"/>
    <cellStyle name="计算 2 2 5 3 2 8" xfId="18384"/>
    <cellStyle name="汇总 2 2 4 2 2 3 5" xfId="18385"/>
    <cellStyle name="警告文本 2 7 3" xfId="18386"/>
    <cellStyle name="计算 2 7 5 2 2" xfId="18387"/>
    <cellStyle name="强调文字颜色 3 2 4 6" xfId="18388"/>
    <cellStyle name="标题 1 2 2 3 5 3" xfId="18389"/>
    <cellStyle name="强调文字颜色 1 2 3 2 3" xfId="18390"/>
    <cellStyle name="强调文字颜色 2 2 2 3 6" xfId="18391"/>
    <cellStyle name="输出 2 4 9" xfId="18392"/>
    <cellStyle name="常规 2 3 7" xfId="18393"/>
    <cellStyle name="计算 2 2 4 2 4" xfId="18394"/>
    <cellStyle name="强调文字颜色 6 2 2 2 3 3" xfId="18395"/>
    <cellStyle name="60% - 强调文字颜色 3 2 2 8 2" xfId="18396"/>
    <cellStyle name="计算 2 2 2 3 2 3 2" xfId="18397"/>
    <cellStyle name="计算 2 2 5 2 6 2" xfId="18398"/>
    <cellStyle name="汇总 2 2 3" xfId="18399"/>
    <cellStyle name="汇总 2 5 2 3 2" xfId="18400"/>
    <cellStyle name="好 3 2 2 2 2" xfId="18401"/>
    <cellStyle name="汇总 2 5 2 6 2 3" xfId="18402"/>
    <cellStyle name="20% - 强调文字颜色 6 2 3 4 2 2" xfId="18403"/>
    <cellStyle name="20% - 强调文字颜色 6 6 2 2" xfId="18404"/>
    <cellStyle name="计算 2 2 8 3 5 2" xfId="18405"/>
    <cellStyle name="60% - 强调文字颜色 1 2 2 2 6 2" xfId="18406"/>
    <cellStyle name="常规 5 4 3 3 2" xfId="18407"/>
    <cellStyle name="输出 2 2 5 7" xfId="18408"/>
    <cellStyle name="60% - 强调文字颜色 6 3 2 2" xfId="18409"/>
    <cellStyle name="汇总 2 2 4 2 2 2 3 3" xfId="18410"/>
    <cellStyle name="输出 2 2 11" xfId="18411"/>
    <cellStyle name="常规 22" xfId="18412"/>
    <cellStyle name="常规 17" xfId="18413"/>
    <cellStyle name="解释性文本 2 7 3 3" xfId="18414"/>
    <cellStyle name="输出 2 2 3 4 2 2 3" xfId="18415"/>
    <cellStyle name="差 3 2" xfId="18416"/>
    <cellStyle name="常规 6 2 2 2 2 3 2" xfId="18417"/>
    <cellStyle name="汇总 2 2 7 5 2 2" xfId="18418"/>
    <cellStyle name="20% - 强调文字颜色 3 2 4 3 2 2" xfId="18419"/>
    <cellStyle name="注释 3 11" xfId="18420"/>
    <cellStyle name="计算 2 7 6" xfId="18421"/>
    <cellStyle name="60% - 强调文字颜色 2 5 2 2" xfId="18422"/>
    <cellStyle name="输出 8 2" xfId="18423"/>
    <cellStyle name="差 2 4 5 2" xfId="18424"/>
    <cellStyle name="输出 2 2 3 3 3 2 2" xfId="18425"/>
    <cellStyle name="常规 4 8 3 2 2" xfId="18426"/>
    <cellStyle name="链接单元格 2 2 9" xfId="18427"/>
    <cellStyle name="计算 2 5 2 2 2 6" xfId="18428"/>
    <cellStyle name="差 2 6 3 3" xfId="18429"/>
    <cellStyle name="汇总 2 5 5 6" xfId="18430"/>
    <cellStyle name="40% - 强调文字颜色 1 2 4 2 2 2 2" xfId="18431"/>
    <cellStyle name="强调文字颜色 6 2 7" xfId="18432"/>
    <cellStyle name="输出 2 4 3 6 2" xfId="18433"/>
    <cellStyle name="强调文字颜色 5 2 2 2 4 2 3" xfId="18434"/>
    <cellStyle name="20% - 强调文字颜色 1 2 2 3 3 2 2 2" xfId="18435"/>
    <cellStyle name="计算 2 8 2 5" xfId="18436"/>
    <cellStyle name="适中 2 2 4 5" xfId="18437"/>
    <cellStyle name="计算 2 2 5 2 2 3 4 2" xfId="18438"/>
    <cellStyle name="解释性文本 3 3 4" xfId="18439"/>
    <cellStyle name="计算 2 2 4 4 4 2 2" xfId="18440"/>
    <cellStyle name="60% - 强调文字颜色 6 2 2 3 6" xfId="18441"/>
    <cellStyle name="计算 2 2 4 2 2 3 2 2" xfId="18442"/>
    <cellStyle name="强调文字颜色 5 2 3 2 3 3 2 2" xfId="18443"/>
    <cellStyle name="百分比 2 3 4 2" xfId="18444"/>
    <cellStyle name="计算 2 6 3 2 2 2 2" xfId="18445"/>
    <cellStyle name="输入 2 5 2 4 5" xfId="18446"/>
    <cellStyle name="强调文字颜色 6 2 3 2 3 2" xfId="18447"/>
    <cellStyle name="计算 2 3 4 2 3" xfId="18448"/>
    <cellStyle name="好 2 5 3" xfId="18449"/>
    <cellStyle name="计算 3 5 2" xfId="18450"/>
    <cellStyle name="40% - 强调文字颜色 2 2 3 2 4 3 2" xfId="18451"/>
    <cellStyle name="20% - 强调文字颜色 6 2 6 2 2 2" xfId="18452"/>
    <cellStyle name="输入 2 2 4 5 2 4" xfId="18453"/>
    <cellStyle name="40% - 强调文字颜色 1 2 2 3 2 2 2 2" xfId="18454"/>
    <cellStyle name="强调文字颜色 6 2 5 2 2" xfId="18455"/>
    <cellStyle name="汇总 2 7 2 2 2 3 3" xfId="18456"/>
    <cellStyle name="注释 2 2 4 4 2 2 2 2" xfId="18457"/>
    <cellStyle name="20% - 强调文字颜色 5 2 7 3 2" xfId="18458"/>
    <cellStyle name="差 2 2 2 2 3 3" xfId="18459"/>
    <cellStyle name="汇总 2 2 6 4 8" xfId="18460"/>
    <cellStyle name="差 5" xfId="18461"/>
    <cellStyle name="常规 4 4" xfId="18462"/>
    <cellStyle name="常规 5 3 3 5" xfId="18463"/>
    <cellStyle name="计算 2 4 2 4 3 2 2" xfId="18464"/>
    <cellStyle name="60% - 强调文字颜色 5 3 4" xfId="18465"/>
    <cellStyle name="40% - 强调文字颜色 4 2 7 2 2" xfId="18466"/>
    <cellStyle name="标题 5 3 3 2 3" xfId="18467"/>
    <cellStyle name="常规 12 2 2" xfId="18468"/>
    <cellStyle name="标题 5 2 2 2 3 2 3" xfId="18469"/>
    <cellStyle name="输入 2 4 3 3 2" xfId="18470"/>
    <cellStyle name="常规 8 2 2 3 3 2 2" xfId="18471"/>
    <cellStyle name="解释性文本 2 2 4 3 2" xfId="18472"/>
    <cellStyle name="计算 2 2 7 2 2 6" xfId="18473"/>
    <cellStyle name="警告文本 2 2 2 2 3 2 3" xfId="18474"/>
    <cellStyle name="输出 2 3 3 5 2" xfId="18475"/>
    <cellStyle name="计算 2 2 5 2 3 5" xfId="18476"/>
    <cellStyle name="常规 12 2 2 2 2" xfId="18477"/>
    <cellStyle name="输入 2 2 4 4 6" xfId="18478"/>
    <cellStyle name="解释性文本 4 3 3" xfId="18479"/>
    <cellStyle name="汇总 2 2 2 2 3 4 3" xfId="18480"/>
    <cellStyle name="汇总 2 4 3 5" xfId="18481"/>
    <cellStyle name="40% - 强调文字颜色 6 2 2 2 7 2" xfId="18482"/>
    <cellStyle name="20% - 强调文字颜色 3 2 2 2 2 2 3 2" xfId="18483"/>
    <cellStyle name="好 3 2 2 4" xfId="18484"/>
    <cellStyle name="60% - 强调文字颜色 5 2 2 2 2 3 2" xfId="18485"/>
    <cellStyle name="计算 3 8" xfId="18486"/>
    <cellStyle name="计算 2 2 8 3 2 4 2" xfId="18487"/>
    <cellStyle name="输出 2 2 2 4 5 2" xfId="18488"/>
    <cellStyle name="强调文字颜色 5 6 2" xfId="18489"/>
    <cellStyle name="强调文字颜色 2 2 2 2 2 4" xfId="18490"/>
    <cellStyle name="标题 3 2 2 3 3 3 3" xfId="18491"/>
    <cellStyle name="60% - 强调文字颜色 2 2 3 7 2" xfId="18492"/>
    <cellStyle name="汇总 2 2 2 15" xfId="18493"/>
    <cellStyle name="计算 2 2 3 2 2 4 2 2" xfId="18494"/>
    <cellStyle name="60% - 强调文字颜色 1 2 2 10" xfId="18495"/>
    <cellStyle name="汇总 3 2 7" xfId="18496"/>
    <cellStyle name="20% - 强调文字颜色 1 2 2 5 3" xfId="18497"/>
    <cellStyle name="好 3 3 3" xfId="18498"/>
    <cellStyle name="汇总 2 7 2 2 4 2" xfId="18499"/>
    <cellStyle name="60% - 强调文字颜色 1 2 2 2 2 6" xfId="18500"/>
    <cellStyle name="标题 2 2 2 2 2 5 2 2" xfId="18501"/>
    <cellStyle name="汇总 2 2 3 3 5 2 2" xfId="18502"/>
    <cellStyle name="20% - 强调文字颜色 1 2 2 8" xfId="18503"/>
    <cellStyle name="输入 2 4 4 6" xfId="18504"/>
    <cellStyle name="40% - 强调文字颜色 4 2 2 2 3 2 2" xfId="18505"/>
    <cellStyle name="强调文字颜色 5 2 2 2 3 2 2 2" xfId="18506"/>
    <cellStyle name="计算 2 6 8 3" xfId="18507"/>
    <cellStyle name="60% - 强调文字颜色 5 3 2 2 3" xfId="18508"/>
    <cellStyle name="常规 5 6 3 3 2 2" xfId="18509"/>
    <cellStyle name="40% - 强调文字颜色 2 2 2 2 5 2 2 2" xfId="18510"/>
    <cellStyle name="注释 2 4 4 2 3" xfId="18511"/>
    <cellStyle name="输入 2 6 4 2 2 3" xfId="18512"/>
    <cellStyle name="强调文字颜色 4 2 2 2 2 3 3" xfId="18513"/>
    <cellStyle name="检查单元格 2 3 2 6 3" xfId="18514"/>
    <cellStyle name="汇总 3 2 2 3" xfId="18515"/>
    <cellStyle name="强调文字颜色 3 4 3" xfId="18516"/>
    <cellStyle name="输出 2 2 2 2 3 3" xfId="18517"/>
    <cellStyle name="输入 3 2 3" xfId="18518"/>
    <cellStyle name="输入 2 5 2 2 2 2 2" xfId="18519"/>
    <cellStyle name="输入 2 9 9" xfId="18520"/>
    <cellStyle name="输入 2 2 2 3 2" xfId="18521"/>
    <cellStyle name="40% - 强调文字颜色 4 2 4 3 3 2" xfId="18522"/>
    <cellStyle name="汇总 2 5 9 2" xfId="18523"/>
    <cellStyle name="汇总 2 3 4 4 3" xfId="18524"/>
    <cellStyle name="输出 2 14" xfId="18525"/>
    <cellStyle name="警告文本 2 3 3 6" xfId="18526"/>
    <cellStyle name="计算 2 2 2 2 2 2 2 5" xfId="18527"/>
    <cellStyle name="检查单元格 2 2 2 2 5 2" xfId="18528"/>
    <cellStyle name="强调文字颜色 5 2 2 2 2 4" xfId="18529"/>
    <cellStyle name="汇总 2 4 2 3 7" xfId="18530"/>
    <cellStyle name="超链接 2 2 2 2 4 2 2" xfId="18531"/>
    <cellStyle name="常规 10 2 3 5 2" xfId="18532"/>
    <cellStyle name="强调文字颜色 2 2 6 2 3" xfId="18533"/>
    <cellStyle name="警告文本 2 2 3 3 4" xfId="18534"/>
    <cellStyle name="汇总 2 4 4 2 2 3" xfId="18535"/>
    <cellStyle name="常规 4 2 2 2 2 3 2" xfId="18536"/>
    <cellStyle name="强调文字颜色 4 2 2 2 4 3 2 2" xfId="18537"/>
    <cellStyle name="适中 2 3 2 4 2" xfId="18538"/>
    <cellStyle name="好 2 6" xfId="18539"/>
    <cellStyle name="标题 1 2 2 2 6 2 2 2" xfId="18540"/>
    <cellStyle name="标题 2 2 2 3 4" xfId="18541"/>
    <cellStyle name="检查单元格 2 2 2 3 2 2" xfId="18542"/>
    <cellStyle name="检查单元格 2 6 3 2" xfId="18543"/>
    <cellStyle name="40% - 强调文字颜色 3 2 3 2 3" xfId="18544"/>
    <cellStyle name="汇总 2 7 7 3" xfId="18545"/>
    <cellStyle name="40% - 强调文字颜色 5 5" xfId="18546"/>
    <cellStyle name="计算 2 2 3 2 4 5" xfId="18547"/>
    <cellStyle name="计算 4 3 3 2 2" xfId="18548"/>
    <cellStyle name="计算 2 9 4" xfId="18549"/>
    <cellStyle name="适中 2 3 6" xfId="18550"/>
    <cellStyle name="汇总 2 2 13" xfId="18551"/>
    <cellStyle name="好 3 5 2" xfId="18552"/>
    <cellStyle name="好 3 5 2 2" xfId="18553"/>
    <cellStyle name="输出 2 2 3 3 3 2 3" xfId="18554"/>
    <cellStyle name="好 3 5 2 2 2" xfId="18555"/>
    <cellStyle name="40% - 强调文字颜色 5 3 5 2 2 2" xfId="18556"/>
    <cellStyle name="40% - 强调文字颜色 3 3 2 3 2" xfId="18557"/>
    <cellStyle name="常规 5 2 2 2 4 2 2" xfId="18558"/>
    <cellStyle name="注释 2 2 3 2 2 2 3 2 2" xfId="18559"/>
    <cellStyle name="输入 5 4 3" xfId="18560"/>
    <cellStyle name="注释 2 2 2 3 2 2 3" xfId="18561"/>
    <cellStyle name="计算 2 5 3 7" xfId="18562"/>
    <cellStyle name="注释 2 4 2 5 5" xfId="18563"/>
    <cellStyle name="汇总 2 2 10 2 3 2 2" xfId="18564"/>
    <cellStyle name="40% - 强调文字颜色 5 2 2 2 2 2 5 2 2" xfId="18565"/>
    <cellStyle name="强调文字颜色 6 3 7" xfId="18566"/>
    <cellStyle name="标题 4 3 2 4 2 3" xfId="18567"/>
    <cellStyle name="好 2 2 4 2" xfId="18568"/>
    <cellStyle name="常规 4 2 2 6 3" xfId="18569"/>
    <cellStyle name="计算 2 5 2 2" xfId="18570"/>
    <cellStyle name="计算 2 2 6 2 4 2" xfId="18571"/>
    <cellStyle name="强调文字颜色 6 2 2 4 3 3 2" xfId="18572"/>
    <cellStyle name="汇总 2 7 2 3 3 2" xfId="18573"/>
    <cellStyle name="40% - 强调文字颜色 2 2 2 2 2 5 2" xfId="18574"/>
    <cellStyle name="好 4 2 3" xfId="18575"/>
    <cellStyle name="差 2 3 2 4 2 3" xfId="18576"/>
    <cellStyle name="40% - 强调文字颜色 4 2 2 2 2 4 3" xfId="18577"/>
    <cellStyle name="注释 2 3 2 3 2 3" xfId="18578"/>
    <cellStyle name="20% - 强调文字颜色 5 2 3 6" xfId="18579"/>
    <cellStyle name="注释 2 6 2 2 5" xfId="18580"/>
    <cellStyle name="注释 2 2 3 3 3 3 2" xfId="18581"/>
    <cellStyle name="计算 3 4 3 3" xfId="18582"/>
    <cellStyle name="40% - 强调文字颜色 1 3 9" xfId="18583"/>
    <cellStyle name="汇总 4 2 2 4 2 2" xfId="18584"/>
    <cellStyle name="标题 4 2 2 2 4 3" xfId="18585"/>
    <cellStyle name="常规 11 2 2 5 3" xfId="18586"/>
    <cellStyle name="20% - 强调文字颜色 5 2 10" xfId="18587"/>
    <cellStyle name="常规 10 2 3 3 5" xfId="18588"/>
    <cellStyle name="常规 3 3 3 3 2 2 2" xfId="18589"/>
    <cellStyle name="60% - 强调文字颜色 4 2 2 2 2 3 3 2 2" xfId="18590"/>
    <cellStyle name="常规 5 2 2 2 2 4" xfId="18591"/>
    <cellStyle name="强调文字颜色 4 2 5 3 3" xfId="18592"/>
    <cellStyle name="汇总 2 5 2 12" xfId="18593"/>
    <cellStyle name="输入 2 5 3 2 2 2" xfId="18594"/>
    <cellStyle name="好 4 4 2 2" xfId="18595"/>
    <cellStyle name="标题 5 3 5 2 3" xfId="18596"/>
    <cellStyle name="常规 14 2 2" xfId="18597"/>
    <cellStyle name="差 2 3 2 4 3 2" xfId="18598"/>
    <cellStyle name="好 4 4 2 3" xfId="18599"/>
    <cellStyle name="计算 2 5 4 2" xfId="18600"/>
    <cellStyle name="好 4 4 3" xfId="18601"/>
    <cellStyle name="好 5 2 3" xfId="18602"/>
    <cellStyle name="计算 2 2 3 3 3 3" xfId="18603"/>
    <cellStyle name="检查单元格 2 2 2 5" xfId="18604"/>
    <cellStyle name="计算 2 7 4 3 3" xfId="18605"/>
    <cellStyle name="60% - 强调文字颜色 2 2 6 2 2 2" xfId="18606"/>
    <cellStyle name="计算 2 3 5 3 2" xfId="18607"/>
    <cellStyle name="汇总 2 2 11 5" xfId="18608"/>
    <cellStyle name="输入 4" xfId="18609"/>
    <cellStyle name="输入 2 5 5 5 2" xfId="18610"/>
    <cellStyle name="60% - 强调文字颜色 5 3 7" xfId="18611"/>
    <cellStyle name="汇总 2 2 4 7 2" xfId="18612"/>
    <cellStyle name="20% - 强调文字颜色 6 3 2 2 4" xfId="18613"/>
    <cellStyle name="注释 3 2 2 2 3 2" xfId="18614"/>
    <cellStyle name="输入 2 2 3 4 2 4" xfId="18615"/>
    <cellStyle name="超链接 3 4 3 2" xfId="18616"/>
    <cellStyle name="计算 2 2 3 2 6" xfId="18617"/>
    <cellStyle name="汇总 3 3 2 2 2" xfId="18618"/>
    <cellStyle name="常规 6 2 2 2 3 2" xfId="18619"/>
    <cellStyle name="强调文字颜色 2 2 5" xfId="18620"/>
    <cellStyle name="输出 2 2 3 2 2 5 2" xfId="18621"/>
    <cellStyle name="计算 2 2 3 3 2 4" xfId="18622"/>
    <cellStyle name="汇总 2 10 2 6" xfId="18623"/>
    <cellStyle name="60% - 强调文字颜色 4 2 2 9" xfId="18624"/>
    <cellStyle name="计算 2 3 5 2 2 2" xfId="18625"/>
    <cellStyle name="汇总 2 2 2 3 9" xfId="18626"/>
    <cellStyle name="20% - 强调文字颜色 4 4 3 2" xfId="18627"/>
    <cellStyle name="输入 2 2 7 8 2" xfId="18628"/>
    <cellStyle name="计算 2 2 3 4 3 2 2" xfId="18629"/>
    <cellStyle name="20% - 强调文字颜色 3 2 2 6" xfId="18630"/>
    <cellStyle name="标题 1 3 2 2 2" xfId="18631"/>
    <cellStyle name="20% - 强调文字颜色 2 2 2 2 6" xfId="18632"/>
    <cellStyle name="40% - 强调文字颜色 6 2 5 4 2 2" xfId="18633"/>
    <cellStyle name="汇总 2 6 2 2 3 3 3" xfId="18634"/>
    <cellStyle name="强调文字颜色 2 3" xfId="18635"/>
    <cellStyle name="注释 2 4 4" xfId="18636"/>
    <cellStyle name="输入 2 6 4 2" xfId="18637"/>
    <cellStyle name="超链接 3 3 3 2 3" xfId="18638"/>
    <cellStyle name="40% - 强调文字颜色 6 2 3 2 2 4 3" xfId="18639"/>
    <cellStyle name="输出 2 4 2 2 7" xfId="18640"/>
    <cellStyle name="60% - 强调文字颜色 6 2 4 4 4" xfId="18641"/>
    <cellStyle name="计算 2 2 4 2 4 2 3" xfId="18642"/>
    <cellStyle name="警告文本 2 2 3 4" xfId="18643"/>
    <cellStyle name="20% - 强调文字颜色 5 2 3 2 5" xfId="18644"/>
    <cellStyle name="计算 3 4 5" xfId="18645"/>
    <cellStyle name="60% - 强调文字颜色 2 2 2 5 3 2" xfId="18646"/>
    <cellStyle name="汇总 2 5 4 6 2" xfId="18647"/>
    <cellStyle name="60% - 强调文字颜色 5 2 2 2 2 3 3" xfId="18648"/>
    <cellStyle name="计算 3 9" xfId="18649"/>
    <cellStyle name="注释 2 6 7" xfId="18650"/>
    <cellStyle name="超链接 2 2 2 2 2 2 3" xfId="18651"/>
    <cellStyle name="40% - 强调文字颜色 5 2 2 2 2 2 3 2 2 2" xfId="18652"/>
    <cellStyle name="输出 4 3 2" xfId="18653"/>
    <cellStyle name="适中 2 3 3" xfId="18654"/>
    <cellStyle name="适中 5 2 2" xfId="18655"/>
    <cellStyle name="汇总 2 2 10" xfId="18656"/>
    <cellStyle name="注释 2 2 4 11" xfId="18657"/>
    <cellStyle name="输出 2 6 7 3" xfId="18658"/>
    <cellStyle name="强调文字颜色 4 2 4 3" xfId="18659"/>
    <cellStyle name="60% - 强调文字颜色 2 2 2 2 2 2 3" xfId="18660"/>
    <cellStyle name="汇总 2 2 2 4 5 2" xfId="18661"/>
    <cellStyle name="标题 2 4 2 3 2 2 2" xfId="18662"/>
    <cellStyle name="常规 5 3 3 3 4 2" xfId="18663"/>
    <cellStyle name="强调文字颜色 3 2 2 4 3 2 2" xfId="18664"/>
    <cellStyle name="汇总 2 2 9 4 2" xfId="18665"/>
    <cellStyle name="汇总 2 6 2 3 2 3" xfId="18666"/>
    <cellStyle name="解释性文本 2 3 2 3 3 2" xfId="18667"/>
    <cellStyle name="注释 3 3 3 2" xfId="18668"/>
    <cellStyle name="标题 2 4 4 2" xfId="18669"/>
    <cellStyle name="适中 2 4 5 2 2" xfId="18670"/>
    <cellStyle name="注释 2 3 2 3 2" xfId="18671"/>
    <cellStyle name="20% - 强调文字颜色 2 2 4 3" xfId="18672"/>
    <cellStyle name="强调文字颜色 5 2 6 3 2 2" xfId="18673"/>
    <cellStyle name="差 2 4 5" xfId="18674"/>
    <cellStyle name="输出 8" xfId="18675"/>
    <cellStyle name="汇总 2 4 3 3 3 2 2" xfId="18676"/>
    <cellStyle name="计算 2 2 7 2 2" xfId="18677"/>
    <cellStyle name="汇总 2 2 6 3 2 7" xfId="18678"/>
    <cellStyle name="常规 13 3 4 2" xfId="18679"/>
    <cellStyle name="40% - 强调文字颜色 5 2 2 2 2 3 2 2 2" xfId="18680"/>
    <cellStyle name="标题 4 2 4 4" xfId="18681"/>
    <cellStyle name="注释 4 2 2 2" xfId="18682"/>
    <cellStyle name="强调文字颜色 1 2 4 4 2" xfId="18683"/>
    <cellStyle name="检查单元格 2 4 3 3" xfId="18684"/>
    <cellStyle name="注释 2 2 3 4 5 2" xfId="18685"/>
    <cellStyle name="汇总 2 2 6 2 3" xfId="18686"/>
    <cellStyle name="常规 9 5" xfId="18687"/>
    <cellStyle name="注释 2 2 4 3 2 3" xfId="18688"/>
    <cellStyle name="汇总 3 7 2" xfId="18689"/>
    <cellStyle name="强调文字颜色 6 3 2 4" xfId="18690"/>
    <cellStyle name="汇总 2 2 4 5 3 3" xfId="18691"/>
    <cellStyle name="强调文字颜色 5 3 2" xfId="18692"/>
    <cellStyle name="输出 2 2 2 4 2 2" xfId="18693"/>
    <cellStyle name="注释 2 2 5 3 2 2 2" xfId="18694"/>
    <cellStyle name="计算 2 2 2 2 3 5 2" xfId="18695"/>
    <cellStyle name="强调文字颜色 5 2 3 3 2 3" xfId="18696"/>
    <cellStyle name="60% - 强调文字颜色 6 2 6 4" xfId="18697"/>
    <cellStyle name="汇总 2 4 2 2 2 2" xfId="18698"/>
    <cellStyle name="40% - 强调文字颜色 5 3 2 2" xfId="18699"/>
    <cellStyle name="标题 4 2 2 5 2 2 3" xfId="18700"/>
    <cellStyle name="常规 14 3 2 2 2 2" xfId="18701"/>
    <cellStyle name="汇总 3 2 8 2" xfId="18702"/>
    <cellStyle name="强调文字颜色 2 4 2 3" xfId="18703"/>
    <cellStyle name="计算 2 5 2 3 6 2 2" xfId="18704"/>
    <cellStyle name="警告文本 2 4 3" xfId="18705"/>
    <cellStyle name="常规 5 3 4 2 4 2" xfId="18706"/>
    <cellStyle name="强调文字颜色 3 2 2 5 2 2 2" xfId="18707"/>
    <cellStyle name="计算 2 2 3 2 3 8" xfId="18708"/>
    <cellStyle name="链接单元格 2 4 2 2" xfId="18709"/>
    <cellStyle name="汇总 2 2 2 4 2 3 2 2" xfId="18710"/>
    <cellStyle name="标题 3 3 10" xfId="18711"/>
    <cellStyle name="输入 2 2 4 10 2" xfId="18712"/>
    <cellStyle name="计算 2 2 4 10" xfId="18713"/>
    <cellStyle name="输出 2 2 3 9 2" xfId="18714"/>
    <cellStyle name="强调文字颜色 3 2 4 2 2 2 2" xfId="18715"/>
    <cellStyle name="汇总 2 5 4 2 4 2" xfId="18716"/>
    <cellStyle name="20% - 强调文字颜色 5 2 3 2 2 3 3 2 2" xfId="18717"/>
    <cellStyle name="输入 2 2 2 3 5 3" xfId="18718"/>
    <cellStyle name="计算 2 2 8 2 4 3" xfId="18719"/>
    <cellStyle name="输入 2 2 8 8" xfId="18720"/>
    <cellStyle name="计算 2 2 3 4 4 2" xfId="18721"/>
    <cellStyle name="40% - 强调文字颜色 3 2 3 2 2 4 3" xfId="18722"/>
    <cellStyle name="计算 2 2 2 2 7 3" xfId="18723"/>
    <cellStyle name="计算 2 2 4 5 3" xfId="18724"/>
    <cellStyle name="强调文字颜色 6 2 2 2 6 2" xfId="18725"/>
    <cellStyle name="强调文字颜色 3 2 2 2 5 2 2 2" xfId="18726"/>
    <cellStyle name="40% - 强调文字颜色 1 6 2 2" xfId="18727"/>
    <cellStyle name="汇总 2 7 3 4 2 2" xfId="18728"/>
    <cellStyle name="计算 2 2 7 3 3 2" xfId="18729"/>
    <cellStyle name="输入 2 2 5 3 2 2 2" xfId="18730"/>
    <cellStyle name="强调文字颜色 5 2 3 4" xfId="18731"/>
    <cellStyle name="注释 2 2 3 3 2 2" xfId="18732"/>
    <cellStyle name="常规 10 4 3 3" xfId="18733"/>
    <cellStyle name="标题 3 2 2 2 2 2 4" xfId="18734"/>
    <cellStyle name="差 2 2 2 7 2" xfId="18735"/>
    <cellStyle name="计算 2 3 2 2 2 3" xfId="18736"/>
    <cellStyle name="常规 2 2 2 7 2 2" xfId="18737"/>
    <cellStyle name="差 2 2 9" xfId="18738"/>
    <cellStyle name="强调文字颜色 6 2 5 2 2 2" xfId="18739"/>
    <cellStyle name="常规 4 2 2 2 5 2 2" xfId="18740"/>
    <cellStyle name="注释 2 5 2 3 5" xfId="18741"/>
    <cellStyle name="好 3 2 2 2" xfId="18742"/>
    <cellStyle name="40% - 强调文字颜色 5 2 2 2 2 4 3 2" xfId="18743"/>
    <cellStyle name="20% - 强调文字颜色 4 2 4 6" xfId="18744"/>
    <cellStyle name="标题 4 2 3 3 2 2 2 2" xfId="18745"/>
    <cellStyle name="链接单元格 2 2 2 2 3 3 3" xfId="18746"/>
    <cellStyle name="常规 8 2 4 2" xfId="18747"/>
    <cellStyle name="60% - 强调文字颜色 4 2 3 3 2 2" xfId="18748"/>
    <cellStyle name="输入 2 4 3 6" xfId="18749"/>
    <cellStyle name="输入 2 4 2 2 4 2" xfId="18750"/>
    <cellStyle name="20% - 强调文字颜色 5 3 2 2 3 2 2 2" xfId="18751"/>
    <cellStyle name="汇总 2 9 3" xfId="18752"/>
    <cellStyle name="强调文字颜色 6 2 4 5" xfId="18753"/>
    <cellStyle name="常规 7 3 3 3 2" xfId="18754"/>
    <cellStyle name="标题 1 2 2 2 6 2 3" xfId="18755"/>
    <cellStyle name="检查单元格 2 2 2 3 3" xfId="18756"/>
    <cellStyle name="标题 5 5 3 2 2" xfId="18757"/>
    <cellStyle name="检查单元格 2 2 2 5 2 3" xfId="18758"/>
    <cellStyle name="标题 5 2 2 4 3 2 2" xfId="18759"/>
    <cellStyle name="常规 10 2 2 5" xfId="18760"/>
    <cellStyle name="链接单元格 2 4 6 2 2" xfId="18761"/>
    <cellStyle name="20% - 强调文字颜色 1 3 2 2 4" xfId="18762"/>
    <cellStyle name="汇总 2 2 10 2 3 3" xfId="18763"/>
    <cellStyle name="常规 9 2 2 3 2 2" xfId="18764"/>
    <cellStyle name="汇总 2 2 3 2 6 2" xfId="18765"/>
    <cellStyle name="汇总 2 3 2 6 2" xfId="18766"/>
    <cellStyle name="标题 1 2 2 4 3" xfId="18767"/>
    <cellStyle name="常规 9 3 3 2 3" xfId="18768"/>
    <cellStyle name="汇总 2 2 5 2 2 2 2 2" xfId="18769"/>
    <cellStyle name="计算 2 2 7 3 2 4" xfId="18770"/>
    <cellStyle name="60% - 强调文字颜色 4 4 2 4 2" xfId="18771"/>
    <cellStyle name="强调文字颜色 6 2 2 2 2 2 2 2 3" xfId="18772"/>
    <cellStyle name="解释性文本 2 2 3 3 3 2" xfId="18773"/>
    <cellStyle name="强调文字颜色 5 2 2 3 4 2 2" xfId="18774"/>
    <cellStyle name="标题 1 4 3" xfId="18775"/>
    <cellStyle name="适中 2 8 3" xfId="18776"/>
    <cellStyle name="输出 4 8 2" xfId="18777"/>
    <cellStyle name="计算 2 5 2 11" xfId="18778"/>
    <cellStyle name="差 2 2 2 2 2 3 3" xfId="18779"/>
    <cellStyle name="检查单元格 2 4 8" xfId="18780"/>
    <cellStyle name="强调文字颜色 2 2 2 3 4 2 2 2" xfId="18781"/>
    <cellStyle name="差 4 4" xfId="18782"/>
    <cellStyle name="计算 2 5 4 2 2" xfId="18783"/>
    <cellStyle name="常规 9 10 2" xfId="18784"/>
    <cellStyle name="标题 1 2 2 3 6" xfId="18785"/>
    <cellStyle name="强调文字颜色 1 2 3 3" xfId="18786"/>
    <cellStyle name="注释 2 2 4 2 2 2" xfId="18787"/>
    <cellStyle name="输入 2 6 2 2 2 2 2" xfId="18788"/>
    <cellStyle name="标题 3 6 2" xfId="18789"/>
    <cellStyle name="输入 2 9 7" xfId="18790"/>
    <cellStyle name="强调文字颜色 1 2 2 4 5" xfId="18791"/>
    <cellStyle name="汇总 2 3 2" xfId="18792"/>
    <cellStyle name="检查单元格 2 2 3 6" xfId="18793"/>
    <cellStyle name="链接单元格 4" xfId="18794"/>
    <cellStyle name="适中 4 3" xfId="18795"/>
    <cellStyle name="标题 4 2 10" xfId="18796"/>
    <cellStyle name="计算 2 2 3 2 2 2 5 2" xfId="18797"/>
    <cellStyle name="强调文字颜色 5 2 2 2 2 2 2 2 2 2" xfId="18798"/>
    <cellStyle name="常规 2 6 3 2 2" xfId="18799"/>
    <cellStyle name="计算 2 4 2 4 5" xfId="18800"/>
    <cellStyle name="输入 2 2 7 2 6" xfId="18801"/>
    <cellStyle name="60% - 强调文字颜色 3 2 2 4 2 3" xfId="18802"/>
    <cellStyle name="常规 10 2 2 2 2 3" xfId="18803"/>
    <cellStyle name="标题 2 2 4 3 4" xfId="18804"/>
    <cellStyle name="检查单元格 2 2 2 5 2 2" xfId="18805"/>
    <cellStyle name="解释性文本 2 2 2 3 3 2" xfId="18806"/>
    <cellStyle name="说明文本 6" xfId="18807"/>
    <cellStyle name="适中 4 2 3 2" xfId="18808"/>
    <cellStyle name="链接单元格 3 3 2" xfId="18809"/>
    <cellStyle name="超链接 2 3 4 5" xfId="18810"/>
    <cellStyle name="标题 2 3 9" xfId="18811"/>
    <cellStyle name="汇总 2 3 2 2 2 5 2 2" xfId="18812"/>
    <cellStyle name="汇总 3 2 2 5 2 2" xfId="18813"/>
    <cellStyle name="汇总 2 4 3 2 6" xfId="18814"/>
    <cellStyle name="60% - 强调文字颜色 1 2 3 2 2 2 2 2" xfId="18815"/>
    <cellStyle name="常规 9 4 2 3 2" xfId="18816"/>
    <cellStyle name="标题 3 2 2 3 4 3" xfId="18817"/>
    <cellStyle name="强调文字颜色 5 4 2 2 2" xfId="18818"/>
    <cellStyle name="常规 13 3 4 2 2" xfId="18819"/>
    <cellStyle name="60% - 强调文字颜色 6 2 4 4 2 2 2" xfId="18820"/>
    <cellStyle name="好 2 2 3 3 2 2" xfId="18821"/>
    <cellStyle name="60% - 强调文字颜色 6 3 3 2 2 2" xfId="18822"/>
    <cellStyle name="输出 2 2 6 7 2 2" xfId="18823"/>
    <cellStyle name="输入 2 2 4 5 3 2" xfId="18824"/>
    <cellStyle name="注释 2 2 9 2 5" xfId="18825"/>
    <cellStyle name="标题 3 2 2 2 2 3 3 2" xfId="18826"/>
    <cellStyle name="强调文字颜色 6 2 3 3 2 2 2" xfId="18827"/>
    <cellStyle name="输出 2 2 3 5 2 3 2" xfId="18828"/>
    <cellStyle name="计算 2 5 2 2 2 5 2 2" xfId="18829"/>
    <cellStyle name="40% - 强调文字颜色 3 2 4 4 2 2 2" xfId="18830"/>
    <cellStyle name="计算 2 3 4 2 5 2" xfId="18831"/>
    <cellStyle name="计算 2 2 3 2 2 2 2" xfId="18832"/>
    <cellStyle name="输出 3 3 6 2" xfId="18833"/>
    <cellStyle name="20% - 强调文字颜色 2 3 3 2" xfId="18834"/>
    <cellStyle name="常规 10 2 2 6" xfId="18835"/>
    <cellStyle name="标题 1 4 5 2" xfId="18836"/>
    <cellStyle name="计算 2 9 3 3 2" xfId="18837"/>
    <cellStyle name="汇总 2 2 7 2 3" xfId="18838"/>
    <cellStyle name="汇总 6 3 2 2" xfId="18839"/>
    <cellStyle name="60% - 强调文字颜色 3 2 2 4 5 2" xfId="18840"/>
    <cellStyle name="20% - 强调文字颜色 5 2 2 2 3 2 2 2 2 2" xfId="18841"/>
    <cellStyle name="输出 2 5 2 2 2 2 2 2" xfId="18842"/>
    <cellStyle name="差 3 2 2 2 2 3" xfId="18843"/>
    <cellStyle name="60% - 强调文字颜色 4 3 3 2 2 2 2" xfId="18844"/>
    <cellStyle name="汇总 3 3 5 3" xfId="18845"/>
    <cellStyle name="警告文本 2 3 2 2" xfId="18846"/>
    <cellStyle name="40% - 强调文字颜色 6 2 3 2 2 2 3 2" xfId="18847"/>
    <cellStyle name="20% - 强调文字颜色 4 5 2" xfId="18848"/>
    <cellStyle name="适中 2 8 3 2" xfId="18849"/>
    <cellStyle name="标题 6 2 4" xfId="18850"/>
    <cellStyle name="常规 4 3 2 3 3 2 2" xfId="18851"/>
    <cellStyle name="适中 2 8 2 2 2" xfId="18852"/>
    <cellStyle name="60% - 强调文字颜色 1 4 2 4 2" xfId="18853"/>
    <cellStyle name="注释 2 4 2 3 4" xfId="18854"/>
    <cellStyle name="20% - 强调文字颜色 3 2 4 5" xfId="18855"/>
    <cellStyle name="汇总 2 2 3 7 2" xfId="18856"/>
    <cellStyle name="计算 2 3 2 2 2 3 2" xfId="18857"/>
    <cellStyle name="输出 2 2 3 3 2 5" xfId="18858"/>
    <cellStyle name="计算 2 2 4 2 3 2 3 2 2" xfId="18859"/>
    <cellStyle name="计算 2 10 4 3" xfId="18860"/>
    <cellStyle name="强调文字颜色 4 2 2 2 8" xfId="18861"/>
    <cellStyle name="计算 2 7 4 4" xfId="18862"/>
    <cellStyle name="40% - 强调文字颜色 2 2 3 2 5 2" xfId="18863"/>
    <cellStyle name="差 2 3 2 3 3" xfId="18864"/>
    <cellStyle name="警告文本 2 4 2 2 2" xfId="18865"/>
    <cellStyle name="60% - 强调文字颜色 6 2 6 3 2 2" xfId="18866"/>
    <cellStyle name="输出 2 4 3 2 3 2" xfId="18867"/>
    <cellStyle name="强调文字颜色 6 2 2 3 3" xfId="18868"/>
    <cellStyle name="标题 5 4 2 2 2" xfId="18869"/>
    <cellStyle name="标题 5 2 2 3 2 2 2" xfId="18870"/>
    <cellStyle name="计算 2 5 2 2 3 2 2 2" xfId="18871"/>
    <cellStyle name="链接单元格 2 3 5 2 2" xfId="18872"/>
    <cellStyle name="60% - 强调文字颜色 2 2 2 4 3" xfId="18873"/>
    <cellStyle name="输出 2 2 9 2 5" xfId="18874"/>
    <cellStyle name="输出 2 4 2 9" xfId="18875"/>
    <cellStyle name="汇总 2 3 11 2 2" xfId="18876"/>
    <cellStyle name="强调文字颜色 6 2 6 3" xfId="18877"/>
    <cellStyle name="汇总 2 2 4 4 7 2" xfId="18878"/>
    <cellStyle name="输出 3 14" xfId="18879"/>
    <cellStyle name="20% - 强调文字颜色 1 2 5 3 2" xfId="18880"/>
    <cellStyle name="40% - 强调文字颜色 5 2 5 3" xfId="18881"/>
    <cellStyle name="注释 2 2 2 4 2 2" xfId="18882"/>
    <cellStyle name="差 2 4 6 2 2" xfId="18883"/>
    <cellStyle name="输出 2 2 3 3 5" xfId="18884"/>
    <cellStyle name="常规 4 8 5" xfId="18885"/>
    <cellStyle name="货币" xfId="18886" builtinId="4"/>
    <cellStyle name="20% - 强调文字颜色 2 2 4 3 2 2 2" xfId="18887"/>
    <cellStyle name="汇总 2 4 3" xfId="18888"/>
    <cellStyle name="常规 5 4 4 5" xfId="18889"/>
    <cellStyle name="标题 1 2 3 2 2 2 2 2" xfId="18890"/>
    <cellStyle name="汇总 2 2 2 3 2 4 2 2" xfId="18891"/>
    <cellStyle name="汇总 2 2 12 3 2" xfId="18892"/>
    <cellStyle name="常规 9 3 9" xfId="18893"/>
    <cellStyle name="强调文字颜色 2 2 2 7 2 2" xfId="18894"/>
    <cellStyle name="标题 6 3 2 2 2 2" xfId="18895"/>
    <cellStyle name="输出 2 8 5 2" xfId="18896"/>
    <cellStyle name="计算 2 6 3 3 2 3" xfId="18897"/>
    <cellStyle name="输入 2 2 8 6 2" xfId="18898"/>
    <cellStyle name="注释 2 4 3 2 2 3" xfId="18899"/>
    <cellStyle name="20% - 强调文字颜色 2 2 2 2 3 2 2 2 2" xfId="18900"/>
    <cellStyle name="超链接 3 4 3 2 2" xfId="18901"/>
    <cellStyle name="输入 2 2 4 3 3 3 2" xfId="18902"/>
    <cellStyle name="汇总 4 2 2 4" xfId="18903"/>
    <cellStyle name="超链接 3 3" xfId="18904"/>
    <cellStyle name="常规 3 8 2" xfId="18905"/>
    <cellStyle name="汇总 2 4 15" xfId="18906"/>
    <cellStyle name="输出 2 2 4 3 2 3" xfId="18907"/>
    <cellStyle name="解释性文本 2 2 2 3 5" xfId="18908"/>
    <cellStyle name="计算 2 2 5 2 2 3 2" xfId="18909"/>
    <cellStyle name="标题 1 2 4 2" xfId="18910"/>
    <cellStyle name="输出 4 3 2 2 2" xfId="18911"/>
    <cellStyle name="适中 2 3 3 2 2" xfId="18912"/>
    <cellStyle name="强调文字颜色 1 2 2 4 5 3" xfId="18913"/>
    <cellStyle name="标题 3 6 2 3" xfId="18914"/>
    <cellStyle name="汇总 2 2 6 2 4 3" xfId="18915"/>
    <cellStyle name="60% - 强调文字颜色 1 5" xfId="18916"/>
    <cellStyle name="注释 2 2 3 4 7" xfId="18917"/>
    <cellStyle name="常规 12 2 2 3 4 2" xfId="18918"/>
    <cellStyle name="差 2 2 3 2" xfId="18919"/>
    <cellStyle name="输入 2 2 5 3 5 2 2" xfId="18920"/>
    <cellStyle name="标题 4 3 5 2" xfId="18921"/>
    <cellStyle name="汇总 2 3 4 2 2" xfId="18922"/>
    <cellStyle name="60% - 强调文字颜色 2 3 5 2 2 2" xfId="18923"/>
    <cellStyle name="20% - 强调文字颜色 4 2 2 3 5 2" xfId="18924"/>
    <cellStyle name="输出 2 2 3 7" xfId="18925"/>
    <cellStyle name="注释 2 2 5 4 5" xfId="18926"/>
    <cellStyle name="常规 5 2 6 2" xfId="18927"/>
    <cellStyle name="60% - 强调文字颜色 6 2 2 2 2 5 3" xfId="18928"/>
    <cellStyle name="标题 3 2 3 3 3 2" xfId="18929"/>
    <cellStyle name="超链接 3 3 3 4" xfId="18930"/>
    <cellStyle name="汇总 4 3 5" xfId="18931"/>
    <cellStyle name="汇总 2 3 2 2 3 3 2 2" xfId="18932"/>
    <cellStyle name="40% - 强调文字颜色 4 2 3 2 5 2 2" xfId="18933"/>
    <cellStyle name="适中 2 14" xfId="18934"/>
    <cellStyle name="40% - 强调文字颜色 6" xfId="18935" builtinId="51"/>
    <cellStyle name="计算 2 5 2 5 2 2 2" xfId="18936"/>
    <cellStyle name="20% - 强调文字颜色 1 2 2 2 2 2 2 3 2" xfId="18937"/>
    <cellStyle name="汇总 2 2 4 7" xfId="18938"/>
    <cellStyle name="注释 3 2 2 2 3" xfId="18939"/>
    <cellStyle name="标题 2 3 2 2 3 2 2" xfId="18940"/>
    <cellStyle name="20% - 强调文字颜色 6 2 2 8" xfId="18941"/>
    <cellStyle name="汇总 2 2 4 10 2" xfId="18942"/>
    <cellStyle name="常规 5 6 3 4 2" xfId="18943"/>
    <cellStyle name="输出 2 3 2 2 2 3 3" xfId="18944"/>
    <cellStyle name="输出 2 4 2 3 2" xfId="18945"/>
    <cellStyle name="40% - 强调文字颜色 5 2 2 3" xfId="18946"/>
    <cellStyle name="40% - 强调文字颜色 4 2 2 3 6" xfId="18947"/>
    <cellStyle name="汇总 2 2 2 12 2" xfId="18948"/>
    <cellStyle name="解释性文本 2 2 2 5 2 2 2" xfId="18949"/>
    <cellStyle name="汇总 2 2 5 2 2 9" xfId="18950"/>
    <cellStyle name="适中 4" xfId="18951"/>
    <cellStyle name="汇总 2 2 6 4 2 3 2 2" xfId="18952"/>
    <cellStyle name="60% - 强调文字颜色 2 2 4 4 2 2 2" xfId="18953"/>
    <cellStyle name="百分比 2 2 3 2 2 3" xfId="18954"/>
    <cellStyle name="汇总 2 5 5 2 5 2" xfId="18955"/>
    <cellStyle name="输入 2 4 2 3 6" xfId="18956"/>
    <cellStyle name="计算 2 2 4 6 2 2" xfId="18957"/>
    <cellStyle name="计算 2 5 3 2 2" xfId="18958"/>
    <cellStyle name="20% - 强调文字颜色 6 2 3 2 2 4 3 2" xfId="18959"/>
    <cellStyle name="计算 3 3 6 2 2" xfId="18960"/>
    <cellStyle name="输出 2 4 2 3 4 3" xfId="18961"/>
    <cellStyle name="汇总 2 2 2 9" xfId="18962"/>
    <cellStyle name="常规 4 3 6" xfId="18963"/>
    <cellStyle name="检查单元格 2 4 3 2 2" xfId="18964"/>
    <cellStyle name="计算 2 3 2 2 4 2" xfId="18965"/>
    <cellStyle name="常规 3 3 2 2 2 2" xfId="18966"/>
    <cellStyle name="注释 3 2 2 3 2" xfId="18967"/>
    <cellStyle name="计算 2 8 2 2 3 2 2" xfId="18968"/>
    <cellStyle name="汇总 2 2 5 6" xfId="18969"/>
    <cellStyle name="计算 2 2 2 4 2 3" xfId="18970"/>
    <cellStyle name="汇总 2 7 2 3 5" xfId="18971"/>
    <cellStyle name="计算 2 2 6 2 6" xfId="18972"/>
    <cellStyle name="注释 2 9 3 3" xfId="18973"/>
    <cellStyle name="常规 5 2 2 4" xfId="18974"/>
    <cellStyle name="60% - 强调文字颜色 4 2 3" xfId="18975"/>
    <cellStyle name="计算 2 2 5 2 2 2" xfId="18976"/>
    <cellStyle name="常规 5 6 5 3" xfId="18977"/>
    <cellStyle name="计算 2 5 4 2 5" xfId="18978"/>
    <cellStyle name="适中 2 2 2 3 3" xfId="18979"/>
    <cellStyle name="汇总 2 5 3 3 3 2" xfId="18980"/>
    <cellStyle name="60% - 强调文字颜色 5 2 6 3 2" xfId="18981"/>
    <cellStyle name="计算 2 2 7 3 3 3" xfId="18982"/>
    <cellStyle name="汇总 2 3 6 3 3" xfId="18983"/>
    <cellStyle name="20% - 强调文字颜色 3 2 2 2 2 2 2 2 2 2" xfId="18984"/>
    <cellStyle name="差 2 2 2 2 3 4" xfId="18985"/>
    <cellStyle name="强调文字颜色 5 2 4 2 2 2" xfId="18986"/>
    <cellStyle name="常规 3 2 2 2 2 5" xfId="18987"/>
    <cellStyle name="计算 2 6 2 3 3 2" xfId="18988"/>
    <cellStyle name="强调文字颜色 1 2 6 3" xfId="18989"/>
    <cellStyle name="计算 2 6 3 3 5" xfId="18990"/>
    <cellStyle name="强调文字颜色 6 2 2 4 2 2 2" xfId="18991"/>
    <cellStyle name="汇总 2 7 2 2 2 2" xfId="18992"/>
    <cellStyle name="输入 2 3 2 2 3 2" xfId="18993"/>
    <cellStyle name="输出 2 6 2 3 2" xfId="18994"/>
    <cellStyle name="计算 2 2 2 2 10" xfId="18995"/>
    <cellStyle name="计算 2 2 4 3 2" xfId="18996"/>
    <cellStyle name="输出 2 2 2 11" xfId="18997"/>
    <cellStyle name="汇总 2 6 3 6 2 2" xfId="18998"/>
    <cellStyle name="20% - 强调文字颜色 4 2 3 2 2 5" xfId="18999"/>
    <cellStyle name="常规 2 9 2" xfId="19000"/>
    <cellStyle name="60% - 强调文字颜色 2 2 2 4 4 2" xfId="19001"/>
    <cellStyle name="计算 2 5 5" xfId="19002"/>
    <cellStyle name="60% - 强调文字颜色 3 2 6 2 2 2" xfId="19003"/>
    <cellStyle name="适中 2 2 3 2 2 3" xfId="19004"/>
    <cellStyle name="超链接 2 4 2" xfId="19005"/>
    <cellStyle name="输入 2 2 5 2 2" xfId="19006"/>
    <cellStyle name="计算 2 8 2 8" xfId="19007"/>
    <cellStyle name="输入 2 2 4 3 6 2" xfId="19008"/>
    <cellStyle name="60% - 强调文字颜色 6 2 3 7" xfId="19009"/>
    <cellStyle name="注释 2 2 3 5 2 4" xfId="19010"/>
    <cellStyle name="强调文字颜色 6 2 2 3 4 2 2" xfId="19011"/>
    <cellStyle name="计算 2 2 5 3 3 2" xfId="19012"/>
    <cellStyle name="强调文字颜色 1 2 2 2 3 6" xfId="19013"/>
    <cellStyle name="汇总 2 2 14 2" xfId="19014"/>
    <cellStyle name="计算 2 3 3 3 2 2 2" xfId="19015"/>
    <cellStyle name="汇总 2 2 3 2 2 3 4 2" xfId="19016"/>
    <cellStyle name="计算 2 2 10 2 2 3" xfId="19017"/>
    <cellStyle name="差 2 4" xfId="19018"/>
    <cellStyle name="60% - 强调文字颜色 1 2 3 2 5 2" xfId="19019"/>
    <cellStyle name="计算 2 2 3 10" xfId="19020"/>
    <cellStyle name="输出 2 2 3 4 2" xfId="19021"/>
    <cellStyle name="注释 2 2 5 4 2 2" xfId="19022"/>
    <cellStyle name="20% - 强调文字颜色 4 2 4 2 2 2 2" xfId="19023"/>
    <cellStyle name="输出 2 8 2 6" xfId="19024"/>
    <cellStyle name="注释 5 5" xfId="19025"/>
    <cellStyle name="解释性文本 2 3 6 2" xfId="19026"/>
    <cellStyle name="常规 3 2 4 2 2 2 2" xfId="19027"/>
    <cellStyle name="汇总 2 2 3 2 2 8" xfId="19028"/>
    <cellStyle name="适中 2 2 3 6 2" xfId="19029"/>
    <cellStyle name="差 2 2 2 6 3" xfId="19030"/>
    <cellStyle name="常规 9 2 2 2 5" xfId="19031"/>
    <cellStyle name="计算 2 5 7" xfId="19032"/>
    <cellStyle name="汇总 2 4 3 6 3" xfId="19033"/>
    <cellStyle name="常规 4 9 2" xfId="19034"/>
    <cellStyle name="60% - 强调文字颜色 4 2 3 2 3 2 2 2" xfId="19035"/>
    <cellStyle name="输出 2 3 2 2 3 2" xfId="19036"/>
    <cellStyle name="输入 2 2 5 2 2 6" xfId="19037"/>
    <cellStyle name="汇总 2 2 6 2 3 3 2" xfId="19038"/>
    <cellStyle name="解释性文本 2 3 3 2 2 2" xfId="19039"/>
    <cellStyle name="注释 2 5 2 2" xfId="19040"/>
    <cellStyle name="20% - 强调文字颜色 3 2 2 3 2 2 2 2 2" xfId="19041"/>
    <cellStyle name="注释 2 4 3 5 2" xfId="19042"/>
    <cellStyle name="计算 2 6 3 4" xfId="19043"/>
    <cellStyle name="常规 5 3 3 2 3 2" xfId="19044"/>
    <cellStyle name="40% - 强调文字颜色 1 2 2 2 2 4 2 2 2" xfId="19045"/>
    <cellStyle name="计算 2 2 2 2 2 8" xfId="19046"/>
    <cellStyle name="计算 2 5 2 2 7" xfId="19047"/>
    <cellStyle name="注释 2 2 3 2 12" xfId="19048"/>
    <cellStyle name="汇总 2 2 5 2 4 5" xfId="19049"/>
    <cellStyle name="计算 2 6 2 2 2 4 2" xfId="19050"/>
    <cellStyle name="计算 2 2 5 4 2 5 2" xfId="19051"/>
    <cellStyle name="标题 4 2 3 3" xfId="19052"/>
    <cellStyle name="强调文字颜色 5 2 2 2 2 4 2 3" xfId="19053"/>
    <cellStyle name="注释 2 6 3 4" xfId="19054"/>
    <cellStyle name="常规 3 3 5 2 2 2" xfId="19055"/>
    <cellStyle name="常规 2 5 2" xfId="19056"/>
    <cellStyle name="标题 3 2 3 2 3 3 3" xfId="19057"/>
    <cellStyle name="输出 2 8 2 4" xfId="19058"/>
    <cellStyle name="20% - 强调文字颜色 3 3 2 2 2 2 2" xfId="19059"/>
    <cellStyle name="注释 2 9 6" xfId="19060"/>
    <cellStyle name="40% - 强调文字颜色 1 2 3 7 2" xfId="19061"/>
    <cellStyle name="解释性文本 2 4 2 3" xfId="19062"/>
    <cellStyle name="常规 5 6 3 3 2" xfId="19063"/>
    <cellStyle name="汇总 2 2 4 2 4 2 3 3" xfId="19064"/>
    <cellStyle name="60% - 强调文字颜色 2 2 3 2 3 2 2" xfId="19065"/>
    <cellStyle name="百分比 2 2 2 4 2" xfId="19066"/>
    <cellStyle name="20% - 强调文字颜色 1 2 2 6 2 2" xfId="19067"/>
    <cellStyle name="汇总 3 3 6 2" xfId="19068"/>
    <cellStyle name="40% - 强调文字颜色 3 2 2 8 2" xfId="19069"/>
    <cellStyle name="链接单元格 2 5 2 2" xfId="19070"/>
    <cellStyle name="强调文字颜色 1 2 2 6 4" xfId="19071"/>
    <cellStyle name="计算 4" xfId="19072"/>
    <cellStyle name="输出 2 4 2 2 5 2 2" xfId="19073"/>
    <cellStyle name="输入 2 2 6 4 3" xfId="19074"/>
    <cellStyle name="汇总 2 5 3 2 2 3 2" xfId="19075"/>
    <cellStyle name="60% - 强调文字颜色 3 2 4 3 2 2" xfId="19076"/>
    <cellStyle name="计算 2 4 4 5 2" xfId="19077"/>
    <cellStyle name="注释 2 2 3 4 4" xfId="19078"/>
    <cellStyle name="汇总 2 2 3 2 3 7" xfId="19079"/>
    <cellStyle name="20% - 强调文字颜色 4 2 3 6 2 2" xfId="19080"/>
    <cellStyle name="强调文字颜色 5 2 4 8" xfId="19081"/>
    <cellStyle name="输入 2 4 2" xfId="19082"/>
    <cellStyle name="计算 2 5 2 12 2" xfId="19083"/>
    <cellStyle name="标题 1 2 4 4 4" xfId="19084"/>
    <cellStyle name="好 2 4 10" xfId="19085"/>
    <cellStyle name="40% - 强调文字颜色 5 2 3 2 3 3 2" xfId="19086"/>
    <cellStyle name="强调文字颜色 2 2 2 3 3 2 2 2" xfId="19087"/>
    <cellStyle name="计算 2 5 2 3 2 5" xfId="19088"/>
    <cellStyle name="输出 2 2 9 3 3" xfId="19089"/>
    <cellStyle name="60% - 强调文字颜色 3 2 2 2 4 2 2" xfId="19090"/>
    <cellStyle name="常规 8 3 5 2 2" xfId="19091"/>
    <cellStyle name="注释 2 2 3 3" xfId="19092"/>
    <cellStyle name="百分比 2 2 2 3 2 3" xfId="19093"/>
    <cellStyle name="计算 2 2 3 7 2 2" xfId="19094"/>
    <cellStyle name="计算 2 2 8" xfId="19095"/>
    <cellStyle name="汇总 2 4 3 3 4" xfId="19096"/>
    <cellStyle name="计算 2 2 7 2 2 5" xfId="19097"/>
    <cellStyle name="60% - 强调文字颜色 3 2 4 3 3" xfId="19098"/>
    <cellStyle name="汇总 2 5 3 2 2 4" xfId="19099"/>
    <cellStyle name="40% - 强调文字颜色 2 2 2 4 2 3" xfId="19100"/>
    <cellStyle name="60% - 强调文字颜色 6 3 2 2 2 2 2" xfId="19101"/>
    <cellStyle name="计算 2 2 4 2 3 2 3 2" xfId="19102"/>
    <cellStyle name="标题 2 3 2 2 3 3" xfId="19103"/>
    <cellStyle name="适中 2 9 2" xfId="19104"/>
    <cellStyle name="强调文字颜色 5 2 2 2 2 2 2 2 2" xfId="19105"/>
    <cellStyle name="Normal 2 3 2 2" xfId="19106"/>
    <cellStyle name="注释 2 5 3 3 3" xfId="19107"/>
    <cellStyle name="好 4 3 2 2" xfId="19108"/>
    <cellStyle name="注释 2 2 4 2 2 2 2" xfId="19109"/>
    <cellStyle name="20% - 强调文字颜色 3 2 7 3" xfId="19110"/>
    <cellStyle name="输入 2 6 2 2 2 2 2 2" xfId="19111"/>
    <cellStyle name="40% - 强调文字颜色 4 2 2 4 2 3 2" xfId="19112"/>
    <cellStyle name="汇总 2 2 5 4 2" xfId="19113"/>
    <cellStyle name="计算 2 9 6 2" xfId="19114"/>
    <cellStyle name="40% - 强调文字颜色 5 2 3 2 2 3 2 2" xfId="19115"/>
    <cellStyle name="40% - 强调文字颜色 1 3 2 2 4" xfId="19116"/>
    <cellStyle name="标题 1 3 2" xfId="19117"/>
    <cellStyle name="计算 2 5 2 5 3 3" xfId="19118"/>
    <cellStyle name="常规 9 12" xfId="19119"/>
    <cellStyle name="注释 2 3 2 9" xfId="19120"/>
    <cellStyle name="标题 3 2 4 2 2 2 3" xfId="19121"/>
    <cellStyle name="强调文字颜色 6 2 2 6" xfId="19122"/>
    <cellStyle name="汇总 2 7 4" xfId="19123"/>
    <cellStyle name="常规 2 3 3 6" xfId="19124"/>
    <cellStyle name="输出 2 2 3 12" xfId="19125"/>
    <cellStyle name="60% - 强调文字颜色 4 2 3 2 3 2 2" xfId="19126"/>
    <cellStyle name="常规 2 2 4 4 2" xfId="19127"/>
    <cellStyle name="输出 2 7" xfId="19128"/>
    <cellStyle name="超链接 2 2 3 5" xfId="19129"/>
    <cellStyle name="输入 2 2 2 2 2 7" xfId="19130"/>
    <cellStyle name="适中 2 3 3 7" xfId="19131"/>
    <cellStyle name="标题 1 2 9" xfId="19132"/>
    <cellStyle name="超链接 3 3 4 2 4" xfId="19133"/>
    <cellStyle name="计算 2 2 4 2 2 2 3 3" xfId="19134"/>
    <cellStyle name="常规 5 5 2" xfId="19135"/>
    <cellStyle name="解释性文本 2 2 2 2 2 2 2 3" xfId="19136"/>
    <cellStyle name="常规 3 2 2 2 2 3 3" xfId="19137"/>
    <cellStyle name="注释 2 2 6 2 4 2" xfId="19138"/>
    <cellStyle name="注释 2 4 2 2 4 2" xfId="19139"/>
    <cellStyle name="汇总 2 2 4 4 3 5" xfId="19140"/>
    <cellStyle name="输入 2 4 2 2 2 3" xfId="19141"/>
    <cellStyle name="标题 5 3 5 2 2 2" xfId="19142"/>
    <cellStyle name="常规 7 2 2 4 3" xfId="19143"/>
    <cellStyle name="汇总 2 10 6 2" xfId="19144"/>
    <cellStyle name="20% - 强调文字颜色 3 2 6 2" xfId="19145"/>
    <cellStyle name="计算 2 8 3 2 3 3" xfId="19146"/>
    <cellStyle name="注释 2 2 4 2 10" xfId="19147"/>
    <cellStyle name="强调文字颜色 1 2 4 4 4" xfId="19148"/>
    <cellStyle name="注释 4 2 2 4" xfId="19149"/>
    <cellStyle name="适中 2 2 2 2 7" xfId="19150"/>
    <cellStyle name="好 2 3 2 4 2" xfId="19151"/>
    <cellStyle name="计算 2 5 8 3" xfId="19152"/>
    <cellStyle name="输出 2 2 4 4 7" xfId="19153"/>
    <cellStyle name="汇总 2 2 7 4" xfId="19154"/>
    <cellStyle name="差 5 2 2 2" xfId="19155"/>
    <cellStyle name="常规 7 2 3 2 3" xfId="19156"/>
    <cellStyle name="60% - 强调文字颜色 2 3 2 2 4 2" xfId="19157"/>
    <cellStyle name="标题 3 2 2 4" xfId="19158"/>
    <cellStyle name="计算 2 2 5 3 2 4 3" xfId="19159"/>
    <cellStyle name="汇总 2 2 2 7 3" xfId="19160"/>
    <cellStyle name="计算 2 6 3 6 2" xfId="19161"/>
    <cellStyle name="计算 3 2 4 3" xfId="19162"/>
    <cellStyle name="20% - 强调文字颜色 4 2 2 2 5" xfId="19163"/>
    <cellStyle name="40% - 强调文字颜色 4 2 2 2 3 3 2 2" xfId="19164"/>
    <cellStyle name="汇总 2 2 7" xfId="19165"/>
    <cellStyle name="汇总 2 2 7 2 4 2" xfId="19166"/>
    <cellStyle name="标题 4 6 2 2" xfId="19167"/>
    <cellStyle name="好 2 2 6 2 2 2" xfId="19168"/>
    <cellStyle name="汇总 3 2 2 6" xfId="19169"/>
    <cellStyle name="输出 2 2 4 4 2 2 2 2" xfId="19170"/>
    <cellStyle name="计算 2 2 5 11" xfId="19171"/>
    <cellStyle name="常规 7 4 3 3" xfId="19172"/>
    <cellStyle name="20% - 强调文字颜色 1 2 2 2 6" xfId="19173"/>
    <cellStyle name="注释 2 2 3 3 2 3 2 2" xfId="19174"/>
    <cellStyle name="注释 2 7 3 5" xfId="19175"/>
    <cellStyle name="强调文字颜色 3 2 2 2 2 5 2" xfId="19176"/>
    <cellStyle name="输出 2 2 3 8 3" xfId="19177"/>
    <cellStyle name="汇总 2 2 3 2 2 2 4 2 2" xfId="19178"/>
    <cellStyle name="计算 2 2 5 2 3 2 2" xfId="19179"/>
    <cellStyle name="强调文字颜色 6 2 2 3 3 2 2 2" xfId="19180"/>
    <cellStyle name="输入 2 7 4 2 2 2" xfId="19181"/>
    <cellStyle name="强调文字颜色 4 2 3 2 2 3 2" xfId="19182"/>
    <cellStyle name="强调文字颜色 1 2 2 2 2 2 2 2" xfId="19183"/>
    <cellStyle name="强调文字颜色 4 2 2 2 4" xfId="19184"/>
    <cellStyle name="计算 2 2 5 2 2 3 3 3" xfId="19185"/>
    <cellStyle name="超链接 2 3 6 2" xfId="19186"/>
    <cellStyle name="汇总 2 2 2 2 2 3 5" xfId="19187"/>
    <cellStyle name="解释性文本 3 2 5" xfId="19188"/>
    <cellStyle name="检查单元格 2 2 7 3" xfId="19189"/>
    <cellStyle name="标题 4 2 3 2 2 2 2" xfId="19190"/>
    <cellStyle name="40% - 强调文字颜色 4 2 2 2 6" xfId="19191"/>
    <cellStyle name="汇总 2 2 2 11 2" xfId="19192"/>
    <cellStyle name="超链接 3 4 3" xfId="19193"/>
    <cellStyle name="警告文本 3 2 4 2" xfId="19194"/>
    <cellStyle name="计算 2 4 3" xfId="19195"/>
    <cellStyle name="输出 2 2 4 2 2 3 3" xfId="19196"/>
    <cellStyle name="60% - 强调文字颜色 6 2 2 3 3 4" xfId="19197"/>
    <cellStyle name="常规 11 2 2 2 2 2" xfId="19198"/>
    <cellStyle name="计算 2 3 4 3 3" xfId="19199"/>
    <cellStyle name="强调文字颜色 6 2 3 2 4 2" xfId="19200"/>
    <cellStyle name="输出 2 2 3 4 4 3" xfId="19201"/>
    <cellStyle name="计算 2 6 2 2 2 3 2 2" xfId="19202"/>
    <cellStyle name="20% - 强调文字颜色 3 2 2 2 2 2 2 2 2" xfId="19203"/>
    <cellStyle name="汇总 2 5 4 7" xfId="19204"/>
    <cellStyle name="汇总 2 2 5 2 3 5 2" xfId="19205"/>
    <cellStyle name="60% - 强调文字颜色 3 2 2 4 5 2 2" xfId="19206"/>
    <cellStyle name="解释性文本 2 2 3 4 2 3" xfId="19207"/>
    <cellStyle name="超链接 3 4 2 2" xfId="19208"/>
    <cellStyle name="强调文字颜色 4 2 3 2 4" xfId="19209"/>
    <cellStyle name="强调文字颜色 4 2 3 2 3 3 2" xfId="19210"/>
    <cellStyle name="强调文字颜色 1 2 2 2 2 3 2 2" xfId="19211"/>
    <cellStyle name="20% - 强调文字颜色 3 2 2 2 3 3 2 2" xfId="19212"/>
    <cellStyle name="差 2 3 2 3 2 3" xfId="19213"/>
    <cellStyle name="输出 2 2 7 3 2" xfId="19214"/>
    <cellStyle name="计算 4 2 5 2" xfId="19215"/>
    <cellStyle name="标题 3 2 2 3 2 2 2 2 2" xfId="19216"/>
    <cellStyle name="输入 2 2 4 3 2 2 4" xfId="19217"/>
    <cellStyle name="警告文本 2 7" xfId="19218"/>
    <cellStyle name="20% - 强调文字颜色 2 2 2 2 2 2 2 3" xfId="19219"/>
    <cellStyle name="警告文本 2 2 3 6 3" xfId="19220"/>
    <cellStyle name="计算 2 4 3 2 2 3" xfId="19221"/>
    <cellStyle name="强调文字颜色 3 3 4 3" xfId="19222"/>
    <cellStyle name="输出 2 2 2 2 2 4 3" xfId="19223"/>
    <cellStyle name="强调文字颜色 5 2 6 2" xfId="19224"/>
    <cellStyle name="警告文本 2 4 6 3" xfId="19225"/>
    <cellStyle name="20% - 强调文字颜色 6 4 3 2 2" xfId="19226"/>
    <cellStyle name="差 2 2 3 5" xfId="19227"/>
    <cellStyle name="计算 2 3 2 4 2 3" xfId="19228"/>
    <cellStyle name="强调文字颜色 3 2 3 2 3 2" xfId="19229"/>
    <cellStyle name="20% - 强调文字颜色 1 2 2 2 2 2 4 2 2" xfId="19230"/>
    <cellStyle name="汇总 2 4 3 7" xfId="19231"/>
    <cellStyle name="标题 2 2 2 2 2 6 3" xfId="19232"/>
    <cellStyle name="计算 2 6 3 2 3 2" xfId="19233"/>
    <cellStyle name="百分比 2 4 4" xfId="19234"/>
    <cellStyle name="强调文字颜色 5 2 2 5 3 2 2" xfId="19235"/>
    <cellStyle name="注释 2 4 2 9 2" xfId="19236"/>
    <cellStyle name="好 2 3 2 3 3" xfId="19237"/>
    <cellStyle name="输入 2 6 2 2 8" xfId="19238"/>
    <cellStyle name="注释 2 2 4 8" xfId="19239"/>
    <cellStyle name="常规 4 8 2 2" xfId="19240"/>
    <cellStyle name="警告文本 2 2 4 3 2 2 2" xfId="19241"/>
    <cellStyle name="检查单元格 2 3 2 3 3" xfId="19242"/>
    <cellStyle name="强调文字颜色 1 2 3 3 2 3" xfId="19243"/>
    <cellStyle name="40% - 强调文字颜色 5 2 2 3 5" xfId="19244"/>
    <cellStyle name="计算 2 7 4 2" xfId="19245"/>
    <cellStyle name="输入 2 2 4 2 2 3 2 3" xfId="19246"/>
    <cellStyle name="标题 3 2 3 6 3" xfId="19247"/>
    <cellStyle name="强调文字颜色 2 2 4 5" xfId="19248"/>
    <cellStyle name="强调文字颜色 5 2 3 4 3 2" xfId="19249"/>
    <cellStyle name="60% - 强调文字颜色 6 2 2 2 2 3 3 2" xfId="19250"/>
    <cellStyle name="检查单元格 5 2" xfId="19251"/>
    <cellStyle name="检查单元格 2 2 3 2 2 2 2" xfId="19252"/>
    <cellStyle name="警告文本 2 2 3 2" xfId="19253"/>
    <cellStyle name="20% - 强调文字颜色 5 2 3 2 3" xfId="19254"/>
    <cellStyle name="汇总 2 2 2 11 2 2" xfId="19255"/>
    <cellStyle name="输出 2 4 2 2 5" xfId="19256"/>
    <cellStyle name="40% - 强调文字颜色 4 2 2 2 6 2" xfId="19257"/>
    <cellStyle name="注释 3 6 3" xfId="19258"/>
    <cellStyle name="解释性文本 2 3 4 3 3" xfId="19259"/>
    <cellStyle name="好 3 3" xfId="19260"/>
    <cellStyle name="输出 3 2 7 2" xfId="19261"/>
    <cellStyle name="40% - 强调文字颜色 4 2 2 2 7" xfId="19262"/>
    <cellStyle name="汇总 2 2 2 11 3" xfId="19263"/>
    <cellStyle name="20% - 强调文字颜色 6 3 5 2" xfId="19264"/>
    <cellStyle name="汇总 2 4 2 2 9" xfId="19265"/>
    <cellStyle name="超链接 3 2 5 3" xfId="19266"/>
    <cellStyle name="计算 2 10 3 2" xfId="19267"/>
    <cellStyle name="40% - 强调文字颜色 1 2 4 3 3" xfId="19268"/>
    <cellStyle name="输入 3 2 5 3" xfId="19269"/>
    <cellStyle name="常规 5 3 3 2 2" xfId="19270"/>
    <cellStyle name="警告文本 2 6 2" xfId="19271"/>
    <cellStyle name="输入 2 2 4 3 2 2 3 2" xfId="19272"/>
    <cellStyle name="60% - 强调文字颜色 6 2 8 3" xfId="19273"/>
    <cellStyle name="警告文本 2 2 3 6 2 2" xfId="19274"/>
    <cellStyle name="标题 2 3 2 3" xfId="19275"/>
    <cellStyle name="计算 2 2 5 2 3 4 2" xfId="19276"/>
    <cellStyle name="常规 3 2 4 2 3 3 2" xfId="19277"/>
    <cellStyle name="适中 3 2 5 3" xfId="19278"/>
    <cellStyle name="汇总 2 6 2 2 6" xfId="19279"/>
    <cellStyle name="60% - 强调文字颜色 6 2 8 2" xfId="19280"/>
    <cellStyle name="标题 5 2 3 6 3" xfId="19281"/>
    <cellStyle name="链接单元格 2 3 2 3 2 3" xfId="19282"/>
    <cellStyle name="汇总 2 2 5 5 2" xfId="19283"/>
    <cellStyle name="常规 5 2 6 5" xfId="19284"/>
    <cellStyle name="输出 2 2 7 6 3" xfId="19285"/>
    <cellStyle name="60% - 强调文字颜色 3 2 2 2 2 5 2" xfId="19286"/>
    <cellStyle name="输出 4 2 3 2 2" xfId="19287"/>
    <cellStyle name="计算 2 8 2 2 2" xfId="19288"/>
    <cellStyle name="适中 2 2 4 2 2" xfId="19289"/>
    <cellStyle name="20% - 强调文字颜色 6 2 2 3" xfId="19290"/>
    <cellStyle name="20% - 强调文字颜色 5 5" xfId="19291"/>
    <cellStyle name="汇总 5 4 3" xfId="19292"/>
    <cellStyle name="汇总 2 3 2 2 3 4 2" xfId="19293"/>
    <cellStyle name="汇总 3 2 2 2 2" xfId="19294"/>
    <cellStyle name="检查单元格 2 3 2 6 2 2" xfId="19295"/>
    <cellStyle name="强调文字颜色 1 2 2 2 2 2 4" xfId="19296"/>
    <cellStyle name="输入 2 7 4 2 4" xfId="19297"/>
    <cellStyle name="强调文字颜色 4 2 3 2 2 5" xfId="19298"/>
    <cellStyle name="标题 4 2 2 2 2 3 3 3" xfId="19299"/>
    <cellStyle name="标题 3 2 5 3 2" xfId="19300"/>
    <cellStyle name="常规 11 3 3 3" xfId="19301"/>
    <cellStyle name="输入 2 5 4 9" xfId="19302"/>
    <cellStyle name="汇总 2 2 4 3 5 2 2" xfId="19303"/>
    <cellStyle name="注释 2 2 4 3 2 4" xfId="19304"/>
    <cellStyle name="常规 9 6" xfId="19305"/>
    <cellStyle name="汇总 2 2 4 4 2 8" xfId="19306"/>
    <cellStyle name="常规 5 2 8 3" xfId="19307"/>
    <cellStyle name="输出 2 2 2 2 7 2" xfId="19308"/>
    <cellStyle name="60% - 强调文字颜色 3 3 2 2 3 2" xfId="19309"/>
    <cellStyle name="标题 3 2 2 4 3" xfId="19310"/>
    <cellStyle name="常规 10 9" xfId="19311"/>
    <cellStyle name="汇总 2 2 7 2 5 3" xfId="19312"/>
    <cellStyle name="汇总 2 2 14 3" xfId="19313"/>
    <cellStyle name="强调文字颜色 1 2 2 2 3 7" xfId="19314"/>
    <cellStyle name="计算 2 7 2 2 2 3 2 2" xfId="19315"/>
    <cellStyle name="汇总 2 3 2 4 2 3" xfId="19316"/>
    <cellStyle name="计算 2 2 4 2 3 2 4 3" xfId="19317"/>
    <cellStyle name="60% - 强调文字颜色 5 4 3 2" xfId="19318"/>
    <cellStyle name="常规 5 2 2 2 3" xfId="19319"/>
    <cellStyle name="计算 2 5 2 9 2" xfId="19320"/>
    <cellStyle name="40% - 强调文字颜色 4 3 2 2 2 2" xfId="19321"/>
    <cellStyle name="计算 2 2 4 2 2 2 4" xfId="19322"/>
    <cellStyle name="差 2 2 2 2 8" xfId="19323"/>
    <cellStyle name="输入 3 12" xfId="19324"/>
    <cellStyle name="20% - 强调文字颜色 4 3 2 2" xfId="19325"/>
    <cellStyle name="60% - 强调文字颜色 1 2 2 2 3 2" xfId="19326"/>
    <cellStyle name="注释 2 2 2 10" xfId="19327"/>
    <cellStyle name="注释 2 2 5 2 2 3 2" xfId="19328"/>
    <cellStyle name="计算 2 5 2 4 2 3 3" xfId="19329"/>
    <cellStyle name="计算 2 5 2 2 7 2" xfId="19330"/>
    <cellStyle name="60% - 强调文字颜色 6 2 2 5 3 2 2" xfId="19331"/>
    <cellStyle name="输入 2 2 3 9" xfId="19332"/>
    <cellStyle name="40% - 强调文字颜色 5 3 2 2 3 2 2 2" xfId="19333"/>
    <cellStyle name="计算 2 6 2 2 4 2 2" xfId="19334"/>
    <cellStyle name="60% - 强调文字颜色 3 2 4 2 2" xfId="19335"/>
    <cellStyle name="计算 2 2 5 2 7 2 2" xfId="19336"/>
    <cellStyle name="计算 2 2 2 3 2 4 2 2" xfId="19337"/>
    <cellStyle name="汇总 2 2 2 2 2 7" xfId="19338"/>
    <cellStyle name="解释性文本 3 6" xfId="19339"/>
    <cellStyle name="计算 2 4 2 5 2 2" xfId="19340"/>
    <cellStyle name="输出 2 4 4 8" xfId="19341"/>
    <cellStyle name="40% - 强调文字颜色 5 4 2 3 2 2 2" xfId="19342"/>
    <cellStyle name="计算 2 4 6 3" xfId="19343"/>
    <cellStyle name="汇总 2 7 3 9" xfId="19344"/>
    <cellStyle name="输出 2 2 6 6 2 2" xfId="19345"/>
    <cellStyle name="常规 10 4 3 2 2" xfId="19346"/>
    <cellStyle name="标题 3 2 2 2 2 2 3 2" xfId="19347"/>
    <cellStyle name="60% - 强调文字颜色 3 2 3 2 4 2" xfId="19348"/>
    <cellStyle name="输出 2 2 3 5 4 2 2" xfId="19349"/>
    <cellStyle name="汇总 2 2 8 2 3" xfId="19350"/>
    <cellStyle name="60% - 强调文字颜色 4 3 10" xfId="19351"/>
    <cellStyle name="注释 2 2 2 2 2 2 2 2 2" xfId="19352"/>
    <cellStyle name="输入 2 7 3 5" xfId="19353"/>
    <cellStyle name="注释 3 3 7" xfId="19354"/>
    <cellStyle name="汇总 3 4 3 2 2" xfId="19355"/>
    <cellStyle name="常规 6 2 3 3 3 2" xfId="19356"/>
    <cellStyle name="40% - 强调文字颜色 6 2 3 2 2 2 2 2 2" xfId="19357"/>
    <cellStyle name="输入 2 2 5 2 3 6" xfId="19358"/>
    <cellStyle name="40% - 强调文字颜色 2 2 2 5" xfId="19359"/>
    <cellStyle name="输入 2 2 2 9 2 2" xfId="19360"/>
    <cellStyle name="输入 2 2 16" xfId="19361"/>
    <cellStyle name="输出 2 3 2 2 4 2" xfId="19362"/>
    <cellStyle name="汇总 2 2 2 2 2 7 2" xfId="19363"/>
    <cellStyle name="解释性文本 3 6 2" xfId="19364"/>
    <cellStyle name="常规 6 2 6" xfId="19365"/>
    <cellStyle name="注释 2 5 4 3 3" xfId="19366"/>
    <cellStyle name="20% - 强调文字颜色 4 3 5 2 2 2" xfId="19367"/>
    <cellStyle name="注释 2 6 7 2 2" xfId="19368"/>
    <cellStyle name="汇总 2 2 2 2 4 2 3" xfId="19369"/>
    <cellStyle name="常规 13 2 2 2 2 3" xfId="19370"/>
    <cellStyle name="计算 3 3 3 3" xfId="19371"/>
    <cellStyle name="汇总 2 6 4 2 4 2 2" xfId="19372"/>
    <cellStyle name="计算 2 2 2 4 2 4 2 2" xfId="19373"/>
    <cellStyle name="解释性文本 4 4 2" xfId="19374"/>
    <cellStyle name="汇总 2 2 2 2 3 5 2" xfId="19375"/>
    <cellStyle name="标题 3 2 2 2 5 2 2 3" xfId="19376"/>
    <cellStyle name="标题 5 3 2 6 2 2" xfId="19377"/>
    <cellStyle name="注释 2 3 2 2 5" xfId="19378"/>
    <cellStyle name="20% - 强调文字颜色 2 2 3 6" xfId="19379"/>
    <cellStyle name="标题 1 2 2 3 2" xfId="19380"/>
    <cellStyle name="标题 5 2 3 6 2 2" xfId="19381"/>
    <cellStyle name="链接单元格 2 3 2 3 2 2 2" xfId="19382"/>
    <cellStyle name="计算 2 2 4 2 3 2 7" xfId="19383"/>
    <cellStyle name="汇总 2 3 2 4 5" xfId="19384"/>
    <cellStyle name="常规 9 2 2 2 3 4" xfId="19385"/>
    <cellStyle name="强调文字颜色 1 5 3" xfId="19386"/>
    <cellStyle name="20% - 强调文字颜色 4 2 2 3 4 2 2 2" xfId="19387"/>
    <cellStyle name="标题 3 2 3 2 2 2 3" xfId="19388"/>
    <cellStyle name="差 2 2 2 3 2 2" xfId="19389"/>
    <cellStyle name="超链接 3 2 2 4 3" xfId="19390"/>
    <cellStyle name="计算 2 2 3 5 2 2" xfId="19391"/>
    <cellStyle name="适中 2 3 2 2 3" xfId="19392"/>
    <cellStyle name="差 2 2 2 9" xfId="19393"/>
    <cellStyle name="注释 2 3 2 2 2 7" xfId="19394"/>
    <cellStyle name="20% - 强调文字颜色 3 2 3 3 2 2" xfId="19395"/>
    <cellStyle name="标题 1 3 2 4" xfId="19396"/>
    <cellStyle name="常规 9 4 3 2" xfId="19397"/>
    <cellStyle name="注释 2 4 2 2 2 2 2" xfId="19398"/>
    <cellStyle name="40% - 强调文字颜色 4 2 2 3 2 2 2 2" xfId="19399"/>
    <cellStyle name="标题 4 3 4 2 2 2" xfId="19400"/>
    <cellStyle name="输出 2 2 4 3 2 6" xfId="19401"/>
    <cellStyle name="常规 8 5 2" xfId="19402"/>
    <cellStyle name="注释 2 5 2 7 2" xfId="19403"/>
    <cellStyle name="常规 9 2 2 6" xfId="19404"/>
    <cellStyle name="注释 2 2 10" xfId="19405"/>
    <cellStyle name="计算 2 3 2 2 3 3" xfId="19406"/>
    <cellStyle name="常规 4 6 3 2" xfId="19407"/>
    <cellStyle name="常规 5 2 2 2 2 5" xfId="19408"/>
    <cellStyle name="强调文字颜色 2 4 3" xfId="19409"/>
    <cellStyle name="常规 10 5 4" xfId="19410"/>
    <cellStyle name="60% - 强调文字颜色 5 4 3 2 2 2" xfId="19411"/>
    <cellStyle name="常规 5 2 2 2 3 2 2" xfId="19412"/>
    <cellStyle name="计算 2 4 2 2 2 2 2 2" xfId="19413"/>
    <cellStyle name="输出 2 2 6 7" xfId="19414"/>
    <cellStyle name="常规 5 4 3 4 2" xfId="19415"/>
    <cellStyle name="计算 2 7 2 5 3" xfId="19416"/>
    <cellStyle name="输出 2 2 4 4 4" xfId="19417"/>
    <cellStyle name="计算 2 2 8 12" xfId="19418"/>
    <cellStyle name="输出 2 2 3 2 2 3" xfId="19419"/>
    <cellStyle name="汇总 2 2 3 4 6" xfId="19420"/>
    <cellStyle name="常规 9 2 2 5 2" xfId="19421"/>
    <cellStyle name="计算 2 2 8 2 2 2 2 2" xfId="19422"/>
    <cellStyle name="汇总 3 2 4 3 3" xfId="19423"/>
    <cellStyle name="计算 2 2 4 5 2 4" xfId="19424"/>
    <cellStyle name="汇总 2 7 3 3" xfId="19425"/>
    <cellStyle name="40% - 强调文字颜色 1 5" xfId="19426"/>
    <cellStyle name="强调文字颜色 6 2 2 5 3" xfId="19427"/>
    <cellStyle name="60% - 强调文字颜色 6 3 2 5" xfId="19428"/>
    <cellStyle name="输出 2 6 9" xfId="19429"/>
    <cellStyle name="输出 2 5 4 2 2 2 2" xfId="19430"/>
    <cellStyle name="20% - 强调文字颜色 4 2 2 4 4 2" xfId="19431"/>
    <cellStyle name="计算 3 2 6 2 2" xfId="19432"/>
    <cellStyle name="汇总 2 2 4 2 3 2 5" xfId="19433"/>
    <cellStyle name="标题 4 2 2 3 3" xfId="19434"/>
    <cellStyle name="注释 2 6" xfId="19435"/>
    <cellStyle name="40% - 强调文字颜色 1 2 2 8 2" xfId="19436"/>
    <cellStyle name="解释性文本 2 3 3 3" xfId="19437"/>
    <cellStyle name="强调文字颜色 3 2 2 2 2 3 3 3" xfId="19438"/>
    <cellStyle name="标题 3 3 3 3 2 3" xfId="19439"/>
    <cellStyle name="计算 2 2 5 2 4 3 2 2" xfId="19440"/>
    <cellStyle name="汇总 2 6 4 5 3" xfId="19441"/>
    <cellStyle name="注释 2 2 2 2 2 4 2" xfId="19442"/>
    <cellStyle name="差 3 2 2 2 2" xfId="19443"/>
    <cellStyle name="强调文字颜色 4 2 2 2 2 2 2 3" xfId="19444"/>
    <cellStyle name="输入 2 2 9 2 2" xfId="19445"/>
    <cellStyle name="汇总 2 2 8 2 2 3 2 2" xfId="19446"/>
    <cellStyle name="输出 2 3 4 3 2 2" xfId="19447"/>
    <cellStyle name="40% - 强调文字颜色 2 2 3 2 2 4 2 2" xfId="19448"/>
    <cellStyle name="汇总 2 4 6 2 2" xfId="19449"/>
    <cellStyle name="标题 1 2 2 3 3 3 3" xfId="19450"/>
    <cellStyle name="强调文字颜色 3 2 2 6 3" xfId="19451"/>
    <cellStyle name="40% - 强调文字颜色 2 2 5 5 2 2" xfId="19452"/>
    <cellStyle name="汇总 2 2 2 2 4 3 3" xfId="19453"/>
    <cellStyle name="汇总 2 2 2 5 4 2" xfId="19454"/>
    <cellStyle name="标题 2 2 2 3 6 3" xfId="19455"/>
    <cellStyle name="强调文字颜色 5 2 2 4 5" xfId="19456"/>
    <cellStyle name="40% - 强调文字颜色 2 2 2 2 4 3 2" xfId="19457"/>
    <cellStyle name="汇总 2 6 2 2 2 3 2" xfId="19458"/>
    <cellStyle name="警告文本 2 2 4" xfId="19459"/>
    <cellStyle name="计算 4 2 3 2 2 2" xfId="19460"/>
    <cellStyle name="注释 2 2 3 5 3 2" xfId="19461"/>
    <cellStyle name="计算 2 2 2 2 3 2 2 2" xfId="19462"/>
    <cellStyle name="计算 2 2 4 3 5 2 2" xfId="19463"/>
    <cellStyle name="计算 3 3 4" xfId="19464"/>
    <cellStyle name="强调文字颜色 1 2 7 2" xfId="19465"/>
    <cellStyle name="差 4 6" xfId="19466"/>
    <cellStyle name="输出 3 3 2 2 2" xfId="19467"/>
    <cellStyle name="链接单元格 2 2 3 10" xfId="19468"/>
    <cellStyle name="强调文字颜色 6 2 2 2 5" xfId="19469"/>
    <cellStyle name="常规 3 3 6 2 2 2" xfId="19470"/>
    <cellStyle name="强调文字颜色 3 2 4 9" xfId="19471"/>
    <cellStyle name="标题 4 4 3" xfId="19472"/>
    <cellStyle name="强调文字颜色 1 2 3 2 6" xfId="19473"/>
    <cellStyle name="强调文字颜色 1 2 4 2 2 2 2 2" xfId="19474"/>
    <cellStyle name="常规 6 4 4 2 2 2" xfId="19475"/>
    <cellStyle name="注释 2 3 2 2" xfId="19476"/>
    <cellStyle name="汇总 2 2 4 2 2 3 3 2 2" xfId="19477"/>
    <cellStyle name="汇总 2 2 7 5 5" xfId="19478"/>
    <cellStyle name="百分比 2 2 4 3 3" xfId="19479"/>
    <cellStyle name="标题 2 3 2 5" xfId="19480"/>
    <cellStyle name="汇总 2 2 2 2 7" xfId="19481"/>
    <cellStyle name="注释 2 2 4 3 4 2" xfId="19482"/>
    <cellStyle name="强调文字颜色 6 3 4 3" xfId="19483"/>
    <cellStyle name="汇总 2 2 4 5 5 2" xfId="19484"/>
    <cellStyle name="适中 2 2 6 2" xfId="19485"/>
    <cellStyle name="输出 4 2 5 2" xfId="19486"/>
    <cellStyle name="计算 2 8 4 2" xfId="19487"/>
    <cellStyle name="60% - 强调文字颜色 6 2 2 2 2 4 3 2" xfId="19488"/>
    <cellStyle name="强调文字颜色 4 2 5 3" xfId="19489"/>
    <cellStyle name="60% - 强调文字颜色 2 2 2 2 2 3 3" xfId="19490"/>
    <cellStyle name="汇总 2 2 2 4 6 2" xfId="19491"/>
    <cellStyle name="输出 2 6 8 3" xfId="19492"/>
    <cellStyle name="40% - 强调文字颜色 5 2 3 3 5" xfId="19493"/>
    <cellStyle name="标题 5 3 2 2 2 2 2 2" xfId="19494"/>
    <cellStyle name="强调文字颜色 1 2 3 4 2 3" xfId="19495"/>
    <cellStyle name="强调文字颜色 6 2 3 2 2 2 2 3" xfId="19496"/>
    <cellStyle name="差 2 2 3" xfId="19497"/>
    <cellStyle name="输入 2 2 5 3 5 2" xfId="19498"/>
    <cellStyle name="强调文字颜色 6 6" xfId="19499"/>
    <cellStyle name="强调文字颜色 2 2 4 9" xfId="19500"/>
    <cellStyle name="强调文字颜色 1 2 3 4 4" xfId="19501"/>
    <cellStyle name="强调文字颜色 4 2 2 2 3 2" xfId="19502"/>
    <cellStyle name="检查单元格 2 3 3 5" xfId="19503"/>
    <cellStyle name="汇总 3 2 7 2" xfId="19504"/>
    <cellStyle name="20% - 强调文字颜色 1 2 2 5 3 2" xfId="19505"/>
    <cellStyle name="20% - 强调文字颜色 4 2 3 5 2 2 2" xfId="19506"/>
    <cellStyle name="常规 10 4 2 3 2" xfId="19507"/>
    <cellStyle name="注释 2 2 3 2 2 2 4" xfId="19508"/>
    <cellStyle name="输入 2 2 5 3 3" xfId="19509"/>
    <cellStyle name="汇总 2 2 5 2 2 2 5 2" xfId="19510"/>
    <cellStyle name="输出 2 4 2 7" xfId="19511"/>
    <cellStyle name="注释 2 2 7 3 5" xfId="19512"/>
    <cellStyle name="计算 2 2 3 3 4" xfId="19513"/>
    <cellStyle name="输入 2 2 3 7 2" xfId="19514"/>
    <cellStyle name="20% - 强调文字颜色 3 2 4 3 3" xfId="19515"/>
    <cellStyle name="20% - 强调文字颜色 2 2 3 2 2 4 2 2" xfId="19516"/>
    <cellStyle name="20% - 强调文字颜色 1 2 2 2 2 4 2" xfId="19517"/>
    <cellStyle name="注释 2 4 2 3 2 3" xfId="19518"/>
    <cellStyle name="注释 2 2 2 2 2 3 2 2" xfId="19519"/>
    <cellStyle name="常规 7 2 2 2 4 3" xfId="19520"/>
    <cellStyle name="20% - 强调文字颜色 3 2 4 2 2 2 2 2" xfId="19521"/>
    <cellStyle name="40% - 强调文字颜色 6 3 2 2 3" xfId="19522"/>
    <cellStyle name="20% - 强调文字颜色 1 2 3 3 3 2 2" xfId="19523"/>
    <cellStyle name="计算 2 2 6 8 2" xfId="19524"/>
    <cellStyle name="汇总 2 5 2 3 2 6" xfId="19525"/>
    <cellStyle name="好 2 2 4 2 2 2 2" xfId="19526"/>
    <cellStyle name="计算 2 6 4 9" xfId="19527"/>
    <cellStyle name="强调文字颜色 6 2 4 2 2 2 3" xfId="19528"/>
    <cellStyle name="计算 2 3 3 3 2" xfId="19529"/>
    <cellStyle name="20% - 强调文字颜色 3 2 5 3" xfId="19530"/>
    <cellStyle name="输出 2 6 2 2 2" xfId="19531"/>
    <cellStyle name="汇总 2 10 5 3" xfId="19532"/>
    <cellStyle name="计算 2 5 3 2 2 4 2 2" xfId="19533"/>
    <cellStyle name="好 2 2 4 4 2 2" xfId="19534"/>
    <cellStyle name="60% - 强调文字颜色 5 2 3 2 3 2" xfId="19535"/>
    <cellStyle name="强调文字颜色 5 2 3 2 5 2 2" xfId="19536"/>
    <cellStyle name="输出 2 2 3 2 3 4" xfId="19537"/>
    <cellStyle name="注释 2 2 10 3" xfId="19538"/>
    <cellStyle name="计算 2 6 2 2 2 5" xfId="19539"/>
    <cellStyle name="20% - 强调文字颜色 3 2 7 2" xfId="19540"/>
    <cellStyle name="20% - 强调文字颜色 6 2 5 4 2" xfId="19541"/>
    <cellStyle name="60% - 强调文字颜色 3 2 3 2 3 2 2" xfId="19542"/>
    <cellStyle name="输出 9" xfId="19543"/>
    <cellStyle name="超链接 2 3 2 2 2 2 2" xfId="19544"/>
    <cellStyle name="强调文字颜色 6 2 3 3 5" xfId="19545"/>
    <cellStyle name="输出 2 3 3 2 6" xfId="19546"/>
    <cellStyle name="60% - 强调文字颜色 3 4 3 2 2" xfId="19547"/>
    <cellStyle name="汇总 2 10" xfId="19548"/>
    <cellStyle name="计算 2 4 4 4 2 2" xfId="19549"/>
    <cellStyle name="标题 4 2 4 5" xfId="19550"/>
    <cellStyle name="20% - 强调文字颜色 3 4 3 2 2" xfId="19551"/>
    <cellStyle name="汇总 2 12 3 2 2" xfId="19552"/>
    <cellStyle name="超链接 2 5 4 2 2" xfId="19553"/>
    <cellStyle name="标题 2 2 3 2 3 2" xfId="19554"/>
    <cellStyle name="汇总 2 2 4 2 4 4" xfId="19555"/>
    <cellStyle name="计算 2 2 11 4" xfId="19556"/>
    <cellStyle name="40% - 强调文字颜色 2 2 2 2 2 2 4 3 2" xfId="19557"/>
    <cellStyle name="强调文字颜色 5 2 7 2 2 2" xfId="19558"/>
    <cellStyle name="计算 2 3 2 2 2 2 4 2" xfId="19559"/>
    <cellStyle name="输入 2 2 4 2 3 2 2 2" xfId="19560"/>
    <cellStyle name="输入 2 5 5 2 2 2" xfId="19561"/>
    <cellStyle name="20% - 强调文字颜色 5 2 2 2 4 2" xfId="19562"/>
    <cellStyle name="输出 2 2 3 2 3 8" xfId="19563"/>
    <cellStyle name="60% - 强调文字颜色 6 2 3 4 3 2" xfId="19564"/>
    <cellStyle name="计算 2 2 3 4 2" xfId="19565"/>
    <cellStyle name="标题 6 3 3 2 2 2" xfId="19566"/>
    <cellStyle name="好 2 4 2 3" xfId="19567"/>
    <cellStyle name="注释 4 3 3 2" xfId="19568"/>
    <cellStyle name="适中 3 11" xfId="19569"/>
    <cellStyle name="常规 5 2 5 2 3" xfId="19570"/>
    <cellStyle name="20% - 强调文字颜色 4 2 2 4 3 2 2" xfId="19571"/>
    <cellStyle name="链接单元格 2 2 3 4" xfId="19572"/>
    <cellStyle name="标题 4 2 2 2 2 4 3 2" xfId="19573"/>
    <cellStyle name="40% - 强调文字颜色 2 3 4 2 2" xfId="19574"/>
    <cellStyle name="强调文字颜色 1 2 2 2 3 2 3" xfId="19575"/>
    <cellStyle name="输入 2 20" xfId="19576"/>
    <cellStyle name="输入 2 15" xfId="19577"/>
    <cellStyle name="输入 2 7 2 2 3 2" xfId="19578"/>
    <cellStyle name="汇总 5 2 3 3" xfId="19579"/>
    <cellStyle name="计算 2 3" xfId="19580"/>
    <cellStyle name="40% - 强调文字颜色 6 2 2 4 3 2" xfId="19581"/>
    <cellStyle name="适中 2 2 4 4 2" xfId="19582"/>
    <cellStyle name="计算 2 8 2 4 2" xfId="19583"/>
    <cellStyle name="40% - 强调文字颜色 5 2 3 2 2 5 2 2" xfId="19584"/>
    <cellStyle name="计算 2 2 4 2 12 2" xfId="19585"/>
    <cellStyle name="40% - 强调文字颜色 6 2 2 2 2 2 3 2" xfId="19586"/>
    <cellStyle name="20% - 强调文字颜色 6 2 3 2 4 3 2" xfId="19587"/>
    <cellStyle name="检查单元格 2 5 4" xfId="19588"/>
    <cellStyle name="20% - 强调文字颜色 4 2 5 3 3" xfId="19589"/>
    <cellStyle name="常规 10 2 4 2 3 2 2" xfId="19590"/>
    <cellStyle name="常规 9 2 2 3" xfId="19591"/>
    <cellStyle name="计算 2 7 6 4 2" xfId="19592"/>
    <cellStyle name="计算 2 8 3 2 3 2" xfId="19593"/>
    <cellStyle name="注释 4 2 2 3" xfId="19594"/>
    <cellStyle name="强调文字颜色 1 2 4 4 3" xfId="19595"/>
    <cellStyle name="输入 2 4 5 2 2" xfId="19596"/>
    <cellStyle name="差 2 2 3 4 2 2 2" xfId="19597"/>
    <cellStyle name="汇总 2 2 2 4 3 2 2" xfId="19598"/>
    <cellStyle name="强调文字颜色 4 2 3 5 2 2" xfId="19599"/>
    <cellStyle name="强调文字颜色 4 2 2 3 2" xfId="19600"/>
    <cellStyle name="常规 7 4 4 2 2" xfId="19601"/>
    <cellStyle name="60% - 强调文字颜色 5 2 3 8" xfId="19602"/>
    <cellStyle name="输入 2 2 2 2 2 2" xfId="19603"/>
    <cellStyle name="输出 4 3 2 2" xfId="19604"/>
    <cellStyle name="适中 2 3 3 2" xfId="19605"/>
    <cellStyle name="标题 1 2 4" xfId="19606"/>
    <cellStyle name="汇总 2 2 2 6 3 2 2" xfId="19607"/>
    <cellStyle name="强调文字颜色 4 4 2 3 2" xfId="19608"/>
    <cellStyle name="60% - 强调文字颜色 3 2 2 3 4" xfId="19609"/>
    <cellStyle name="常规 9 2 2 2 2" xfId="19610"/>
    <cellStyle name="20% - 强调文字颜色 4 2 5 3 2 2" xfId="19611"/>
    <cellStyle name="计算 2 2 4 8 3" xfId="19612"/>
    <cellStyle name="汇总 2 8 2" xfId="19613"/>
    <cellStyle name="强调文字颜色 6 2 3 4" xfId="19614"/>
    <cellStyle name="输入 2 2 5 4 2 2 2" xfId="19615"/>
    <cellStyle name="计算 2 5 5 7" xfId="19616"/>
    <cellStyle name="60% - 强调文字颜色 1 3 2 4 2 2" xfId="19617"/>
    <cellStyle name="输入 2 2 6 6 3" xfId="19618"/>
    <cellStyle name="汇总 2 2 2 8 2 2" xfId="19619"/>
    <cellStyle name="60% - 强调文字颜色 1 2 2 2 2 5 2 2" xfId="19620"/>
    <cellStyle name="计算 2 2 8 3 2 2" xfId="19621"/>
    <cellStyle name="输入 2 2 2 4 3 2" xfId="19622"/>
    <cellStyle name="输出 2 2 3 2 3 5 3" xfId="19623"/>
    <cellStyle name="强调文字颜色 3 2 6" xfId="19624"/>
    <cellStyle name="常规 3 2 3 3" xfId="19625"/>
    <cellStyle name="注释 3 2" xfId="19626"/>
    <cellStyle name="计算 2 6 2 2 7" xfId="19627"/>
    <cellStyle name="注释 2 2 5 10 2" xfId="19628"/>
    <cellStyle name="计算 2 3 2 3 3 2 2" xfId="19629"/>
    <cellStyle name="注释 3 2 3 2 2 2" xfId="19630"/>
    <cellStyle name="汇总 2 3 4 6 2" xfId="19631"/>
    <cellStyle name="常规 7 3 2 2 2" xfId="19632"/>
    <cellStyle name="计算 2 2 4 4 2 8" xfId="19633"/>
    <cellStyle name="计算 3 5 2 2 2" xfId="19634"/>
    <cellStyle name="强调文字颜色 6 2 3 2 2 3 2" xfId="19635"/>
    <cellStyle name="计算 2 3 2 2 2 5 2 2" xfId="19636"/>
    <cellStyle name="汇总 2 2 3 9 2 2" xfId="19637"/>
    <cellStyle name="注释 2 4 2 2 2 5" xfId="19638"/>
    <cellStyle name="输出 2 12 3" xfId="19639"/>
    <cellStyle name="计算 2 2 2 2 2 2 2 3 3" xfId="19640"/>
    <cellStyle name="20% - 强调文字颜色 3 2 3 3 5" xfId="19641"/>
    <cellStyle name="40% - 强调文字颜色 2 2 3 2 3 2 2 2" xfId="19642"/>
    <cellStyle name="常规 3 3 8" xfId="19643"/>
    <cellStyle name="60% - 强调文字颜色 3 2 2 2 6 2" xfId="19644"/>
    <cellStyle name="强调文字颜色 1 2 2 3 9" xfId="19645"/>
    <cellStyle name="标题 2 2 2 7 3" xfId="19646"/>
    <cellStyle name="汇总 2 2 6" xfId="19647"/>
    <cellStyle name="警告文本" xfId="19648" builtinId="11"/>
    <cellStyle name="强调文字颜色 2 2 2 2 3 2 3" xfId="19649"/>
    <cellStyle name="60% - 强调文字颜色 4 2 2 3 4 3" xfId="19650"/>
    <cellStyle name="汇总 2 3 2 2 2 4" xfId="19651"/>
    <cellStyle name="40% - 强调文字颜色 3 3 4 2 2" xfId="19652"/>
    <cellStyle name="强调文字颜色 1 2 3 2 3 2 3" xfId="19653"/>
    <cellStyle name="解释性文本 2 2 4 2 2 3" xfId="19654"/>
    <cellStyle name="汇总 4 2 2 2" xfId="19655"/>
    <cellStyle name="常规 12 4 2 3 2 2" xfId="19656"/>
    <cellStyle name="60% - 强调文字颜色 4 3 2 2 4" xfId="19657"/>
    <cellStyle name="40% - 强调文字颜色 6 2 2 2 6 2 2 2" xfId="19658"/>
    <cellStyle name="常规 9 6 2 2 2" xfId="19659"/>
    <cellStyle name="标题 3 2 4 3 3 3" xfId="19660"/>
    <cellStyle name="输入 2 2 4 3 2 7" xfId="19661"/>
    <cellStyle name="常规 3 7 6" xfId="19662"/>
    <cellStyle name="链接单元格 2 2 3 2 2 2 2 2" xfId="19663"/>
    <cellStyle name="警告文本 2 6 2 3" xfId="19664"/>
    <cellStyle name="差 2 4 6" xfId="19665"/>
    <cellStyle name="标题 5 4 6 2" xfId="19666"/>
    <cellStyle name="60% - 强调文字颜色 3 2 2 7 2 2" xfId="19667"/>
    <cellStyle name="计算 2 4 8 2 2" xfId="19668"/>
    <cellStyle name="输入 2 4 2 3 3" xfId="19669"/>
    <cellStyle name="汇总 2 2 9 4 2 2" xfId="19670"/>
    <cellStyle name="差 2 6 2 3" xfId="19671"/>
    <cellStyle name="标题 3 2 3 3 7" xfId="19672"/>
    <cellStyle name="解释性文本 2 2 2 2 4 2 3" xfId="19673"/>
    <cellStyle name="计算 2 5 5 8" xfId="19674"/>
    <cellStyle name="常规 4 6 3 2 2" xfId="19675"/>
    <cellStyle name="40% - 强调文字颜色 5 2 5 4 2 2" xfId="19676"/>
    <cellStyle name="汇总 2 5 2 2 3 3 3" xfId="19677"/>
    <cellStyle name="超链接 3 2 2 2 3 3" xfId="19678"/>
    <cellStyle name="20% - 强调文字颜色 6 2 3 2 2 4 2 2" xfId="19679"/>
    <cellStyle name="检查单元格 2 2 2 2 4 2" xfId="19680"/>
    <cellStyle name="20% - 强调文字颜色 2 2 2 3 3 2 2 2" xfId="19681"/>
    <cellStyle name="强调文字颜色 5 3 5 2" xfId="19682"/>
    <cellStyle name="输入 2 2 7 4 5" xfId="19683"/>
    <cellStyle name="汇总 2 2 7 3 2 5" xfId="19684"/>
    <cellStyle name="标题 3 2 2 2 3 2 2 2 3" xfId="19685"/>
    <cellStyle name="输入 2 16" xfId="19686"/>
    <cellStyle name="输入 2 7 2 2 3 3" xfId="19687"/>
    <cellStyle name="20% - 强调文字颜色 4 4 2 2 2 2" xfId="19688"/>
    <cellStyle name="强调文字颜色 6 2 2 4 4" xfId="19689"/>
    <cellStyle name="汇总 2 7 2 4" xfId="19690"/>
    <cellStyle name="40% - 强调文字颜色 5 2 2 4 2 2 2" xfId="19691"/>
    <cellStyle name="汇总 2 2 7 4 2 3" xfId="19692"/>
    <cellStyle name="计算 2 2 7 3 2 3 2 2" xfId="19693"/>
    <cellStyle name="汇总 2 6 2 3 3" xfId="19694"/>
    <cellStyle name="计算 2 2 6 2 4" xfId="19695"/>
    <cellStyle name="强调文字颜色 6 2 2 4 3 3" xfId="19696"/>
    <cellStyle name="汇总 2 7 2 3 3" xfId="19697"/>
    <cellStyle name="汇总 2 2 6 2 2 2" xfId="19698"/>
    <cellStyle name="解释性文本 3 7 2" xfId="19699"/>
    <cellStyle name="强调文字颜色 1 2 2 2 4 3 2 2" xfId="19700"/>
    <cellStyle name="汇总 2 2 3 2 2 2 3" xfId="19701"/>
    <cellStyle name="检查单元格 2 2 3" xfId="19702"/>
    <cellStyle name="常规 5 3 3 5 2" xfId="19703"/>
    <cellStyle name="计算 2 6 4 4 2 2" xfId="19704"/>
    <cellStyle name="计算 2 2 2 2 2 5 2 2" xfId="19705"/>
    <cellStyle name="计算 2 2 4 2 8 2 2" xfId="19706"/>
    <cellStyle name="警告文本 2 6 3 3" xfId="19707"/>
    <cellStyle name="计算 2 2 4 3 2 4" xfId="19708"/>
    <cellStyle name="计算 2 2 2 2 8 2" xfId="19709"/>
    <cellStyle name="40% - 强调文字颜色 3 2 3 2 2 5 2" xfId="19710"/>
    <cellStyle name="适中 2 2 4 4 3" xfId="19711"/>
    <cellStyle name="计算 2 8 2 4 3" xfId="19712"/>
    <cellStyle name="警告文本 2 2 7 2 2" xfId="19713"/>
    <cellStyle name="标题 4 3 5 2 2" xfId="19714"/>
    <cellStyle name="适中 3 12" xfId="19715"/>
    <cellStyle name="强调文字颜色 5 2 2 4 3 2 2 2" xfId="19716"/>
    <cellStyle name="检查单元格 2 4 4 3 2" xfId="19717"/>
    <cellStyle name="常规 5 4 6" xfId="19718"/>
    <cellStyle name="强调文字颜色 3 2 2 6 3 2 2" xfId="19719"/>
    <cellStyle name="标题 1 2 2 2 4 2 3" xfId="19720"/>
    <cellStyle name="汇总 2 2 4 2 5 4" xfId="19721"/>
    <cellStyle name="标题 3 2 3 2 4" xfId="19722"/>
    <cellStyle name="40% - 强调文字颜色 5 3 5" xfId="19723"/>
    <cellStyle name="40% - 强调文字颜色 5 2 2 4 3 2" xfId="19724"/>
    <cellStyle name="强调文字颜色 5 2 3 2 3" xfId="19725"/>
    <cellStyle name="输出 2 2 4 7 2 2" xfId="19726"/>
    <cellStyle name="计算 2 2 4 2 16" xfId="19727"/>
    <cellStyle name="输出 5 2 2 3" xfId="19728"/>
    <cellStyle name="常规 2 2 4 5 2 2" xfId="19729"/>
    <cellStyle name="注释 2 2 2 2 2 2 6" xfId="19730"/>
    <cellStyle name="计算 2 8 3 3 3" xfId="19731"/>
    <cellStyle name="适中 2 2 5 3 3" xfId="19732"/>
    <cellStyle name="20% - 强调文字颜色 3 2 5 3 2 2" xfId="19733"/>
    <cellStyle name="计算 2 5 2 4 2 2" xfId="19734"/>
    <cellStyle name="注释 2 4 2 4 2 2 2" xfId="19735"/>
    <cellStyle name="计算 2 2 8 4 3 2 2" xfId="19736"/>
    <cellStyle name="输入 2 2 4 5 2 3 2" xfId="19737"/>
    <cellStyle name="20% - 强调文字颜色 2 2 2 7 2" xfId="19738"/>
    <cellStyle name="标题 1 2 2 2 3 2" xfId="19739"/>
    <cellStyle name="常规 7 6 3" xfId="19740"/>
    <cellStyle name="常规 4 2 3 4 3" xfId="19741"/>
    <cellStyle name="好 2 3 2 3 3 2 2" xfId="19742"/>
    <cellStyle name="差 2 3 3" xfId="19743"/>
    <cellStyle name="输入 2 2 5 3 6 2" xfId="19744"/>
    <cellStyle name="输出 2 2 5 3" xfId="19745"/>
    <cellStyle name="60% - 强调文字颜色 1 2 2 2 2 4 3 2" xfId="19746"/>
    <cellStyle name="常规 6 8" xfId="19747"/>
    <cellStyle name="差 2 3 2 6" xfId="19748"/>
    <cellStyle name="20% - 强调文字颜色 1 2 3 5 2 2 2" xfId="19749"/>
    <cellStyle name="解释性文本 2 2 6 3 2" xfId="19750"/>
    <cellStyle name="40% - 强调文字颜色 3 3 2 2 3 2 2" xfId="19751"/>
    <cellStyle name="注释 2 2 6 2 3 2 2" xfId="19752"/>
    <cellStyle name="好 2 2 3 3 3 2" xfId="19753"/>
    <cellStyle name="输入 2 3 3 3 3" xfId="19754"/>
    <cellStyle name="计算 2 3 9 2 2" xfId="19755"/>
    <cellStyle name="计算 2 2 9 2 7" xfId="19756"/>
    <cellStyle name="60% - 强调文字颜色 4 2 2 2 2 4 2" xfId="19757"/>
    <cellStyle name="输入 2 2 3 4 2 3 2" xfId="19758"/>
    <cellStyle name="输入 2 2 3 3 8" xfId="19759"/>
    <cellStyle name="汇总 2 5 2 3 4" xfId="19760"/>
    <cellStyle name="警告文本 2 6 3 2 2" xfId="19761"/>
    <cellStyle name="计算 2 4 2 7" xfId="19762"/>
    <cellStyle name="汇总 2 7 3 5" xfId="19763"/>
    <cellStyle name="汇总 2 6 2 6" xfId="19764"/>
    <cellStyle name="强调文字颜色 5 3 10" xfId="19765"/>
    <cellStyle name="输出 2 2 3 2 8 2" xfId="19766"/>
    <cellStyle name="常规 6 3 2 2 5 2" xfId="19767"/>
    <cellStyle name="计算 2 8 2 7" xfId="19768"/>
    <cellStyle name="链接单元格 2 3 2 5 3" xfId="19769"/>
    <cellStyle name="20% - 强调文字颜色 5 2 5 5 2" xfId="19770"/>
    <cellStyle name="60% - 强调文字颜色 3 2 2 2 3 3 2" xfId="19771"/>
    <cellStyle name="常规 5 2 2 2 7" xfId="19772"/>
    <cellStyle name="40% - 强调文字颜色 6 2 3 5" xfId="19773"/>
    <cellStyle name="输出 2 2 3 2 2 2 7" xfId="19774"/>
    <cellStyle name="汇总 2 2 3 3 3 3 2" xfId="19775"/>
    <cellStyle name="差 2 2 2 2 4 2 2 2" xfId="19776"/>
    <cellStyle name="常规 4 4 3 2 2" xfId="19777"/>
    <cellStyle name="输出 2 2 3 5 5 2" xfId="19778"/>
    <cellStyle name="常规 6 3 2 5 2 2" xfId="19779"/>
    <cellStyle name="计算 2 2 7 3 5 2" xfId="19780"/>
    <cellStyle name="计算 2 2 2 5 3 2 2" xfId="19781"/>
    <cellStyle name="汇总 3 10" xfId="19782"/>
    <cellStyle name="汇总 2 2 2 3 3" xfId="19783"/>
    <cellStyle name="差 2 2 3 3 2" xfId="19784"/>
    <cellStyle name="计算 2 2 4 2 5 3" xfId="19785"/>
    <cellStyle name="计算 2 2 2 2 2 2 3" xfId="19786"/>
    <cellStyle name="输入 2 4 4 3" xfId="19787"/>
    <cellStyle name="输入 2 2 2" xfId="19788"/>
    <cellStyle name="汇总 2 2 11 3 2 2" xfId="19789"/>
    <cellStyle name="输入 2 3 10" xfId="19790"/>
    <cellStyle name="汇总 3 9 2" xfId="19791"/>
    <cellStyle name="常规 6 2 3 2 2 2" xfId="19792"/>
    <cellStyle name="警告文本 2 2 4 2 2 2 2" xfId="19793"/>
    <cellStyle name="强调文字颜色 2 3 4 3" xfId="19794"/>
    <cellStyle name="输出 2 4 2 5 3" xfId="19795"/>
    <cellStyle name="好 2 3 2 6" xfId="19796"/>
    <cellStyle name="强调文字颜色 1 6 2" xfId="19797"/>
    <cellStyle name="常规 9 2 2 2 4 3" xfId="19798"/>
    <cellStyle name="强调文字颜色 6 2 2 2 2 3 3 3" xfId="19799"/>
    <cellStyle name="注释 2 2 4 2 2 3 2 2" xfId="19800"/>
    <cellStyle name="强调文字颜色 3 4 2 4" xfId="19801"/>
    <cellStyle name="差 2 2 2 6 2 3" xfId="19802"/>
    <cellStyle name="20% - 强调文字颜色 1 2 5 4 2 2" xfId="19803"/>
    <cellStyle name="汇总 2 8 5 3 3" xfId="19804"/>
    <cellStyle name="计算 2 5 4 5 3" xfId="19805"/>
    <cellStyle name="汇总 2 3" xfId="19806"/>
    <cellStyle name="标题 3 2 3 2 7" xfId="19807"/>
    <cellStyle name="20% - 强调文字颜色 4 2 3 2 2 3 3 2 2" xfId="19808"/>
    <cellStyle name="20% - 强调文字颜色 6 2 2 7 2" xfId="19809"/>
    <cellStyle name="计算 2 2 4 2 2 2 2 4 2 2" xfId="19810"/>
    <cellStyle name="60% - 强调文字颜色 2 2 3 2 6" xfId="19811"/>
    <cellStyle name="汇总 2 2 3 10 2 2" xfId="19812"/>
    <cellStyle name="超链接 2 2 2 2 4" xfId="19813"/>
    <cellStyle name="汇总 2 5 2 11 3" xfId="19814"/>
    <cellStyle name="检查单元格 2 3 6 2" xfId="19815"/>
    <cellStyle name="强调文字颜色 1 3 4 3" xfId="19816"/>
    <cellStyle name="输入 2 5 2 3 3 2 2" xfId="19817"/>
    <cellStyle name="强调文字颜色 5 2 2 3 3 2 2" xfId="19818"/>
    <cellStyle name="标题 4 4 2 2 2 2 2" xfId="19819"/>
    <cellStyle name="输出 2 4 2 7 2" xfId="19820"/>
    <cellStyle name="40% - 强调文字颜色 4 2 4 3" xfId="19821"/>
    <cellStyle name="计算 2 5 2 10 2" xfId="19822"/>
    <cellStyle name="常规 12 2 3 2" xfId="19823"/>
    <cellStyle name="40% - 强调文字颜色 3 2 4 4 2 2" xfId="19824"/>
    <cellStyle name="常规 11 2 2 4 2" xfId="19825"/>
    <cellStyle name="适中 2 2 2 4 3" xfId="19826"/>
    <cellStyle name="注释 2 4 5 2 2 3" xfId="19827"/>
    <cellStyle name="汇总 2 3 2 11" xfId="19828"/>
    <cellStyle name="警告文本 2 2 2 3 2 3" xfId="19829"/>
    <cellStyle name="强调文字颜色 5 2 2 2 3 2" xfId="19830"/>
    <cellStyle name="输出 2 3 2 2 2 6" xfId="19831"/>
    <cellStyle name="强调文字颜色 4 2 7 2" xfId="19832"/>
    <cellStyle name="20% - 强调文字颜色 1 2 2 2 2 3 2" xfId="19833"/>
    <cellStyle name="强调文字颜色 3 2 2 5 2 3" xfId="19834"/>
    <cellStyle name="常规 5 3 4 2 5" xfId="19835"/>
    <cellStyle name="汇总 3 7 2 2" xfId="19836"/>
    <cellStyle name="强调文字颜色 6 3 2 4 2" xfId="19837"/>
    <cellStyle name="60% - 强调文字颜色 3 2 3 2 5" xfId="19838"/>
    <cellStyle name="超链接 2 2 4 2 2 2" xfId="19839"/>
    <cellStyle name="常规 5 4 2 2 3 2" xfId="19840"/>
    <cellStyle name="60% - 强调文字颜色 5 4 3" xfId="19841"/>
    <cellStyle name="常规 5 3 4 4" xfId="19842"/>
    <cellStyle name="强调文字颜色 5 2 4 7" xfId="19843"/>
    <cellStyle name="40% - 强调文字颜色 1 2 2 3 5 2 2" xfId="19844"/>
    <cellStyle name="计算 3 13" xfId="19845"/>
    <cellStyle name="40% - 强调文字颜色 1 2 2 3 5" xfId="19846"/>
    <cellStyle name="汇总 3 7" xfId="19847"/>
    <cellStyle name="计算 2 2 2 4 2 5 2" xfId="19848"/>
    <cellStyle name="20% - 强调文字颜色 4 2 4 2 2 2 2 2" xfId="19849"/>
    <cellStyle name="汇总 2 2 2 2 4 5" xfId="19850"/>
    <cellStyle name="汇总 2 2 7 2 5 2" xfId="19851"/>
    <cellStyle name="常规 10 8" xfId="19852"/>
    <cellStyle name="计算 2 2 4 2 3 2 2" xfId="19853"/>
    <cellStyle name="强调文字颜色 6 2 2 2 3 2 2 2" xfId="19854"/>
    <cellStyle name="标题 1 2 3 2 2 3 2" xfId="19855"/>
    <cellStyle name="强调文字颜色 1 2 2 2 2 7" xfId="19856"/>
    <cellStyle name="汇总 2 2 13 3" xfId="19857"/>
    <cellStyle name="汇总 2 2 2 3 2 5 2" xfId="19858"/>
    <cellStyle name="60% - 强调文字颜色 6 2 2 2 4" xfId="19859"/>
    <cellStyle name="强调文字颜色 5 2 2 3 2 2 2 3" xfId="19860"/>
    <cellStyle name="输入 2 2 5 2 4 2" xfId="19861"/>
    <cellStyle name="40% - 强调文字颜色 5 4 2 2" xfId="19862"/>
    <cellStyle name="输入 2 2 2 5" xfId="19863"/>
    <cellStyle name="注释 7" xfId="19864"/>
    <cellStyle name="常规 3 3 2" xfId="19865"/>
    <cellStyle name="差 2 2 2 2 2 2 3" xfId="19866"/>
    <cellStyle name="计算 2 2 7 3 2 2 3" xfId="19867"/>
    <cellStyle name="60% - 强调文字颜色 2 5 2 2 2 2" xfId="19868"/>
    <cellStyle name="差 2 2 2 4 3 2" xfId="19869"/>
    <cellStyle name="强调文字颜色 3 2 3 3" xfId="19870"/>
    <cellStyle name="计算 2 10 5 3" xfId="19871"/>
    <cellStyle name="60% - 强调文字颜色 2 2 2 5 2 2 2" xfId="19872"/>
    <cellStyle name="汇总 2 4 12" xfId="19873"/>
    <cellStyle name="输出 2 2 9 2 2" xfId="19874"/>
    <cellStyle name="汇总 2 2 5 14" xfId="19875"/>
    <cellStyle name="差 2 4 9" xfId="19876"/>
    <cellStyle name="20% - 强调文字颜色 3 2 2 6 2 2 2" xfId="19877"/>
    <cellStyle name="注释 4 2 2 3 2" xfId="19878"/>
    <cellStyle name="计算 2 8 3 2 3 2 2" xfId="19879"/>
    <cellStyle name="强调文字颜色 1 2 4 4 3 2" xfId="19880"/>
    <cellStyle name="常规 4 5 6" xfId="19881"/>
    <cellStyle name="常规 10 2 2 2 3 4 2" xfId="19882"/>
    <cellStyle name="60% - 强调文字颜色 5 2 3 2 2" xfId="19883"/>
    <cellStyle name="计算 2 7 2 2 6" xfId="19884"/>
    <cellStyle name="强调文字颜色 3 3 2 4" xfId="19885"/>
    <cellStyle name="输出 2 2 2 2 2 2 4" xfId="19886"/>
    <cellStyle name="百分比 2" xfId="19887"/>
    <cellStyle name="常规 5 3 2 4 2 2" xfId="19888"/>
    <cellStyle name="40% - 强调文字颜色 5 2 2 9 2" xfId="19889"/>
    <cellStyle name="计算 2 2 5 3 2 5" xfId="19890"/>
    <cellStyle name="标题 3 2 5 2 3" xfId="19891"/>
    <cellStyle name="汇总 2 2 6 2 3 2 2" xfId="19892"/>
    <cellStyle name="20% - 强调文字颜色 4 2 2 2 2 2 3 2 2 2" xfId="19893"/>
    <cellStyle name="输入 2 2 4 9" xfId="19894"/>
    <cellStyle name="输入 2 4 2 2" xfId="19895"/>
    <cellStyle name="检查单元格 2 3 5" xfId="19896"/>
    <cellStyle name="计算 2 2 4 2 10 3" xfId="19897"/>
    <cellStyle name="计算 2 2 3 2 11" xfId="19898"/>
    <cellStyle name="60% - 强调文字颜色 3 2 2 6 2 2 2" xfId="19899"/>
    <cellStyle name="强调文字颜色 1 2 2 2 2 5 2" xfId="19900"/>
    <cellStyle name="强调文字颜色 4 2 3 2 5 3" xfId="19901"/>
    <cellStyle name="40% - 强调文字颜色 3 2 2 2 2 2 4 3" xfId="19902"/>
    <cellStyle name="计算 2 7 2 2 4 3" xfId="19903"/>
    <cellStyle name="强调文字颜色 3 3 2 2 3" xfId="19904"/>
    <cellStyle name="输出 2 2 2 2 2 2 2 3" xfId="19905"/>
    <cellStyle name="常规 10 2 3 3 3 3" xfId="19906"/>
    <cellStyle name="常规 5 2 2 2 2 2 3" xfId="19907"/>
    <cellStyle name="输出 2 10 2 2" xfId="19908"/>
    <cellStyle name="警告文本 2 3 3 2 2 2" xfId="19909"/>
    <cellStyle name="汇总 2 2 2 3 4 2" xfId="19910"/>
    <cellStyle name="输出 2 5 6 3" xfId="19911"/>
    <cellStyle name="差 2 2 3 3 3 2" xfId="19912"/>
    <cellStyle name="汇总 2 2 3 2 7 2" xfId="19913"/>
    <cellStyle name="汇总 2 2 3 2 8" xfId="19914"/>
    <cellStyle name="计算 2 4 2 2 7 2" xfId="19915"/>
    <cellStyle name="20% - 强调文字颜色 2 3 2" xfId="19916"/>
    <cellStyle name="检查单元格 2 2 2 2 2" xfId="19917"/>
    <cellStyle name="汇总 2 2 4 4 4 3" xfId="19918"/>
    <cellStyle name="注释 2 2 4 2 3 3" xfId="19919"/>
    <cellStyle name="注释 6 2" xfId="19920"/>
    <cellStyle name="计算 2 5 2 3 3 2 2 2" xfId="19921"/>
    <cellStyle name="计算 2 2 4 2 13" xfId="19922"/>
    <cellStyle name="注释 2 2 4 3 2 2" xfId="19923"/>
    <cellStyle name="输入 2 6 2 2 3 2 2" xfId="19924"/>
    <cellStyle name="常规 9 4" xfId="19925"/>
    <cellStyle name="汇总 2 2 5 3 2 3 3" xfId="19926"/>
    <cellStyle name="20% - 强调文字颜色 1 2 3 2 3 3 2" xfId="19927"/>
    <cellStyle name="20% - 强调文字颜色 4 2 5 2 3" xfId="19928"/>
    <cellStyle name="20% - 强调文字颜色 5 2 2 3 3 3 2" xfId="19929"/>
    <cellStyle name="适中 2 2 3 3 2 2" xfId="19930"/>
    <cellStyle name="40% - 强调文字颜色 2 2 2 2 2 2 4 2 2 2" xfId="19931"/>
    <cellStyle name="汇总 2 2 3 3 2 5 2" xfId="19932"/>
    <cellStyle name="汇总 2 5 2 6 2" xfId="19933"/>
    <cellStyle name="20% - 强调文字颜色 3 2 6 3 2 2" xfId="19934"/>
    <cellStyle name="汇总 2 2 2 2 2 2 5 3" xfId="19935"/>
    <cellStyle name="常规 9 6 2 2" xfId="19936"/>
    <cellStyle name="20% - 强调文字颜色 1 2 5 3" xfId="19937"/>
    <cellStyle name="注释 2 2 2 4 2" xfId="19938"/>
    <cellStyle name="强调文字颜色 2 2 2 2 6" xfId="19939"/>
    <cellStyle name="输出 2 3 9" xfId="19940"/>
    <cellStyle name="注释 2 2 4 3 5" xfId="19941"/>
    <cellStyle name="强调文字颜色 3" xfId="19942" builtinId="37"/>
    <cellStyle name="60% - 强调文字颜色 1 2 3 6 2" xfId="19943"/>
    <cellStyle name="60% - 强调文字颜色 2 2 2 3 2 2" xfId="19944"/>
    <cellStyle name="计算 2 2 4 3 3 2 3" xfId="19945"/>
    <cellStyle name="常规 3 3 2 2 2 2 2 2 2" xfId="19946"/>
    <cellStyle name="汇总 2 5 2 6 3" xfId="19947"/>
    <cellStyle name="计算 2 5 2 6 3 2" xfId="19948"/>
    <cellStyle name="链接单元格 3 8" xfId="19949"/>
    <cellStyle name="输入 2 2 3 10" xfId="19950"/>
    <cellStyle name="计算 2 5 2 4 2 2 2 2" xfId="19951"/>
    <cellStyle name="好 2 5" xfId="19952"/>
    <cellStyle name="汇总 2 5 2 16" xfId="19953"/>
    <cellStyle name="常规 2 8 2" xfId="19954"/>
    <cellStyle name="输出 2 9 4" xfId="19955"/>
    <cellStyle name="输出 2 2 3 3 2 2 4" xfId="19956"/>
    <cellStyle name="强调文字颜色 5 2 4 5 3" xfId="19957"/>
    <cellStyle name="标题 1 2 2 4 5" xfId="19958"/>
    <cellStyle name="强调文字颜色 1 2 4 2" xfId="19959"/>
    <cellStyle name="输出 2 5 2 2 4" xfId="19960"/>
    <cellStyle name="标题 2 3 8" xfId="19961"/>
    <cellStyle name="汇总 2 4 3 2 5" xfId="19962"/>
    <cellStyle name="标题 3 2 2 3 4 2" xfId="19963"/>
    <cellStyle name="计算 4 2 2 5" xfId="19964"/>
    <cellStyle name="检查单元格 2 3 2 3 2 2 2" xfId="19965"/>
    <cellStyle name="超链接 2 3 4 4" xfId="19966"/>
    <cellStyle name="强调文字颜色 4 2 2 5 3" xfId="19967"/>
    <cellStyle name="标题 3 4 2 4 2" xfId="19968"/>
    <cellStyle name="注释 2 5 7" xfId="19969"/>
    <cellStyle name="计算 2 2 3 10 2" xfId="19970"/>
    <cellStyle name="注释 2 2 5 4 2 2 2" xfId="19971"/>
    <cellStyle name="输出 2 2 3 4 2 2" xfId="19972"/>
    <cellStyle name="汇总 2 2 4 5 5 3" xfId="19973"/>
    <cellStyle name="输入 2 9 4 2" xfId="19974"/>
    <cellStyle name="强调文字颜色 1 2 2 4 2 2" xfId="19975"/>
    <cellStyle name="检查单元格 2 2 3 3 2" xfId="19976"/>
    <cellStyle name="汇总 2 3 6 3 2 2" xfId="19977"/>
    <cellStyle name="适中 2 4 9" xfId="19978"/>
    <cellStyle name="汇总 2 4 3 2" xfId="19979"/>
    <cellStyle name="注释 2 2 8 2 3" xfId="19980"/>
    <cellStyle name="输出 2 5 8 2" xfId="19981"/>
    <cellStyle name="强调文字颜色 2 2 2 4 5 2" xfId="19982"/>
    <cellStyle name="解释性文本 2 2 3 3 2 3" xfId="19983"/>
    <cellStyle name="超链接 3 3 2 2" xfId="19984"/>
    <cellStyle name="输入 5 4 2" xfId="19985"/>
    <cellStyle name="输入 2 10 3 3" xfId="19986"/>
    <cellStyle name="汇总 2 2 2 2 2 2 4 2" xfId="19987"/>
    <cellStyle name="计算 2 2 5 2 2 3 2 2 2" xfId="19988"/>
    <cellStyle name="注释 3 3 4" xfId="19989"/>
    <cellStyle name="输入 2 7 3 2" xfId="19990"/>
    <cellStyle name="汇总 2 2 3 3 6 2" xfId="19991"/>
    <cellStyle name="常规 9 2 2 4 2 2" xfId="19992"/>
    <cellStyle name="输入 2 8 4 5" xfId="19993"/>
    <cellStyle name="常规 3 2 2 3" xfId="19994"/>
    <cellStyle name="40% - 强调文字颜色 1 3 2 4 2 2" xfId="19995"/>
    <cellStyle name="汇总 2 2 3 3 7 2" xfId="19996"/>
    <cellStyle name="差 2 9" xfId="19997"/>
    <cellStyle name="强调文字颜色 2 2 5 3" xfId="19998"/>
    <cellStyle name="60% - 强调文字颜色 4 2 3 2 2 2 2 2" xfId="19999"/>
    <cellStyle name="强调文字颜色 5 2 2 2 2 2 4" xfId="20000"/>
    <cellStyle name="好 2 2 3 6" xfId="20001"/>
    <cellStyle name="常规 7 2 2 2 3" xfId="20002"/>
    <cellStyle name="常规 2 2 5 3 2" xfId="20003"/>
    <cellStyle name="汇总 2 9 5 2" xfId="20004"/>
    <cellStyle name="20% - 强调文字颜色 4 2 3 2" xfId="20005"/>
    <cellStyle name="40% - 强调文字颜色 6 2 2 4 2" xfId="20006"/>
    <cellStyle name="汇总 3 2 2 2 3 2 2" xfId="20007"/>
    <cellStyle name="汇总 2 2 4 2 2 3 6" xfId="20008"/>
    <cellStyle name="输出 4 2 3 3" xfId="20009"/>
    <cellStyle name="适中 2 2 4 3" xfId="20010"/>
    <cellStyle name="计算 2 8 2 3" xfId="20011"/>
    <cellStyle name="检查单元格 2 2 2 5 3" xfId="20012"/>
    <cellStyle name="计算 2 2 2 5 2" xfId="20013"/>
    <cellStyle name="标题 5 2 9 2" xfId="20014"/>
    <cellStyle name="链接单元格 2 2 3 3 3" xfId="20015"/>
    <cellStyle name="输出 2 5 2 2" xfId="20016"/>
    <cellStyle name="链接单元格 2 2 4 3 2 3" xfId="20017"/>
    <cellStyle name="输入 2 2 6 2 2 3 3" xfId="20018"/>
    <cellStyle name="汇总 2 2 6 12" xfId="20019"/>
    <cellStyle name="适中 2 5 3" xfId="20020"/>
    <cellStyle name="输出 4 5 2" xfId="20021"/>
    <cellStyle name="好 2 3 3 2 2 2 2" xfId="20022"/>
    <cellStyle name="40% - 强调文字颜色 2 2 7" xfId="20023"/>
    <cellStyle name="输入 3 3 5 2" xfId="20024"/>
    <cellStyle name="计算 3 3 2 3 3" xfId="20025"/>
    <cellStyle name="计算 2 8 4 5" xfId="20026"/>
    <cellStyle name="标题 6 4" xfId="20027"/>
    <cellStyle name="标题 5 2 3 3" xfId="20028"/>
    <cellStyle name="警告文本 2 2 2 8" xfId="20029"/>
    <cellStyle name="汇总 2 3 3 3 5" xfId="20030"/>
    <cellStyle name="警告文本 2 4 4 2 3" xfId="20031"/>
    <cellStyle name="计算 2 5 3 2 2 3 2 2" xfId="20032"/>
    <cellStyle name="强调文字颜色 5 2 3 2 4 2 2" xfId="20033"/>
    <cellStyle name="汇总 2 7 2 6 3" xfId="20034"/>
    <cellStyle name="计算 2 2 6 5 4" xfId="20035"/>
    <cellStyle name="强调文字颜色 5 2 3 2 2 2 2 2" xfId="20036"/>
    <cellStyle name="汇总 2 6" xfId="20037"/>
    <cellStyle name="强调文字颜色 4 2 2 2 2 4 2 2" xfId="20038"/>
    <cellStyle name="注释 2 4 4 3 2 2" xfId="20039"/>
    <cellStyle name="60% - 强调文字颜色 6 3 2 4" xfId="20040"/>
    <cellStyle name="警告文本 2 4 10" xfId="20041"/>
    <cellStyle name="注释 2 2 3 3 5" xfId="20042"/>
    <cellStyle name="常规 10 7 2 2" xfId="20043"/>
    <cellStyle name="计算 2 4 2 3 3 3" xfId="20044"/>
    <cellStyle name="输出 2 2 5 9" xfId="20045"/>
    <cellStyle name="标题 2 2 2 2 9" xfId="20046"/>
    <cellStyle name="汇总 3 2 3 2 2" xfId="20047"/>
    <cellStyle name="好 2 3 3 6" xfId="20048"/>
    <cellStyle name="输出 2 4 2 6 3" xfId="20049"/>
    <cellStyle name="注释 2 2 2 4 2 3" xfId="20050"/>
    <cellStyle name="40% - 强调文字颜色 5 2 5 4" xfId="20051"/>
    <cellStyle name="计算 2 5 3 7 2" xfId="20052"/>
    <cellStyle name="输出 2 3 2 2 9" xfId="20053"/>
    <cellStyle name="输入 2 2 4 3 2 3" xfId="20054"/>
    <cellStyle name="常规 5 2 3 4 2 2" xfId="20055"/>
    <cellStyle name="输入 2 2 7 3 2" xfId="20056"/>
    <cellStyle name="常规 2" xfId="20057"/>
    <cellStyle name="60% - 强调文字颜色 4 3 3 2 2" xfId="20058"/>
    <cellStyle name="计算 2 2 7 2 2 4 2" xfId="20059"/>
    <cellStyle name="汇总 2 2 4 2 12" xfId="20060"/>
    <cellStyle name="计算 2 2 5 4 2 2 2" xfId="20061"/>
    <cellStyle name="强调文字颜色 3 2 3 2 2" xfId="20062"/>
    <cellStyle name="常规 5 4 3 2 3" xfId="20063"/>
    <cellStyle name="汇总 2 2 4 2 2 2 2 4" xfId="20064"/>
    <cellStyle name="输入 2 2 8 9" xfId="20065"/>
    <cellStyle name="超链接 2 2 5 2 2" xfId="20066"/>
    <cellStyle name="计算 2 4 2 3 2 2" xfId="20067"/>
    <cellStyle name="输出 2 2 4 8" xfId="20068"/>
    <cellStyle name="输出 2 2 2 2 2 8" xfId="20069"/>
    <cellStyle name="60% - 强调文字颜色 6 2 2 4 2 2" xfId="20070"/>
    <cellStyle name="强调文字颜色 3 3 8" xfId="20071"/>
    <cellStyle name="20% - 强调文字颜色 3" xfId="20072" builtinId="38"/>
    <cellStyle name="常规 13 2 2 2 2 3 2" xfId="20073"/>
    <cellStyle name="强调文字颜色 1 2 2 4 3 2" xfId="20074"/>
    <cellStyle name="输入 2 9 5 2" xfId="20075"/>
    <cellStyle name="注释 2 6 3 3" xfId="20076"/>
    <cellStyle name="检查单元格 2 2 2 2 2 3" xfId="20077"/>
    <cellStyle name="标题 5 4 3 3 2" xfId="20078"/>
    <cellStyle name="汇总 2 8 2 3" xfId="20079"/>
    <cellStyle name="强调文字颜色 6 2 3 4 3" xfId="20080"/>
    <cellStyle name="60% - 强调文字颜色 6 4 3 2 3" xfId="20081"/>
    <cellStyle name="常规 5 3 2 2 3 3" xfId="20082"/>
    <cellStyle name="20% - 强调文字颜色 3 2 3 7 2" xfId="20083"/>
    <cellStyle name="汇总 2 2 2 2 14" xfId="20084"/>
    <cellStyle name="超链接 3 2 3 2 4" xfId="20085"/>
    <cellStyle name="输出 2 3 2 2 8" xfId="20086"/>
    <cellStyle name="计算 2 2 4 6 3" xfId="20087"/>
    <cellStyle name="输入 2 2 3 2 2 2 2" xfId="20088"/>
    <cellStyle name="汇总 2 5 5 2 6" xfId="20089"/>
    <cellStyle name="标题 1 2 2 8 3" xfId="20090"/>
    <cellStyle name="计算 2 6 3 2 4 2" xfId="20091"/>
    <cellStyle name="百分比 2 5 4" xfId="20092"/>
    <cellStyle name="常规 2 3 5 2" xfId="20093"/>
    <cellStyle name="汇总 2 2 6 3 4 2 2" xfId="20094"/>
    <cellStyle name="计算 2 2 4 2 2 2 9" xfId="20095"/>
    <cellStyle name="汇总 2 4 2 11" xfId="20096"/>
    <cellStyle name="汇总 3 2 8 3" xfId="20097"/>
    <cellStyle name="强调文字颜色 2 4 2 4" xfId="20098"/>
    <cellStyle name="计算 2 3 2 2 2 4 2 2" xfId="20099"/>
    <cellStyle name="汇总 2 2 3 8 2 2" xfId="20100"/>
    <cellStyle name="适中 2 4 6 2" xfId="20101"/>
    <cellStyle name="注释 3 4 3" xfId="20102"/>
    <cellStyle name="链接单元格 2 2 2 2 4 2 2" xfId="20103"/>
    <cellStyle name="输入 2 5 2 5" xfId="20104"/>
    <cellStyle name="标题 4 2 2 3 2 2 2 3" xfId="20105"/>
    <cellStyle name="60% - 强调文字颜色 5 4 2 2 2 2 2" xfId="20106"/>
    <cellStyle name="差 3 4 2 3" xfId="20107"/>
    <cellStyle name="常规 4 2 2 2 2 4 2" xfId="20108"/>
    <cellStyle name="适中 2 3 2 5 2" xfId="20109"/>
    <cellStyle name="注释 2 2 3 2 2 3 4" xfId="20110"/>
    <cellStyle name="常规 10 4 2 4 2" xfId="20111"/>
    <cellStyle name="注释 2 3 3 3" xfId="20112"/>
    <cellStyle name="20% - 强调文字颜色 4 2 3 2 5 2 2" xfId="20113"/>
    <cellStyle name="汇总 2 4 3 2 2 2" xfId="20114"/>
    <cellStyle name="强调文字颜色 3 2 3 2 4 4" xfId="20115"/>
    <cellStyle name="60% - 强调文字颜色 2 2 5 2 2" xfId="20116"/>
    <cellStyle name="计算 2 2 5 3" xfId="20117"/>
    <cellStyle name="超链接 3 5 4 3" xfId="20118"/>
    <cellStyle name="计算 2 13 2 2" xfId="20119"/>
    <cellStyle name="20% - 强调文字颜色 5 2 3 4 2 2" xfId="20120"/>
    <cellStyle name="输出 2 2 6 3 3 2" xfId="20121"/>
    <cellStyle name="强调文字颜色 3 2 7 2 3" xfId="20122"/>
    <cellStyle name="40% - 强调文字颜色 3 2 2 3 3 2 2 2" xfId="20123"/>
    <cellStyle name="60% - 强调文字颜色 3 2 3 3 3" xfId="20124"/>
    <cellStyle name="汇总 2 2 8 2 7" xfId="20125"/>
    <cellStyle name="计算 2 6 2 3 4 3" xfId="20126"/>
    <cellStyle name="40% - 强调文字颜色 2 2 5 2" xfId="20127"/>
    <cellStyle name="计算 3 2 7 2 2" xfId="20128"/>
    <cellStyle name="计算 2 2 4 2 2 2 2 2 3" xfId="20129"/>
    <cellStyle name="适中 2 3 2 6 3" xfId="20130"/>
    <cellStyle name="链接单元格 2 3" xfId="20131"/>
    <cellStyle name="检查单元格 2 2 2 2 4 2 2" xfId="20132"/>
    <cellStyle name="汇总 2 2 5 3 4 2 2" xfId="20133"/>
    <cellStyle name="强调文字颜色 1 2 9" xfId="20134"/>
    <cellStyle name="60% - 强调文字颜色 1 2 2 2 3 2 2 2 2 2" xfId="20135"/>
    <cellStyle name="好 2 4 6 3" xfId="20136"/>
    <cellStyle name="输入 2 2 4 2 2 2 3 2 2" xfId="20137"/>
    <cellStyle name="常规 8 3 2 3 2" xfId="20138"/>
    <cellStyle name="强调文字颜色 5 2 5 2" xfId="20139"/>
    <cellStyle name="超链接 3 2 2 6" xfId="20140"/>
    <cellStyle name="40% - 强调文字颜色 6 6 2 2 2" xfId="20141"/>
    <cellStyle name="标题 3 2 3 2 2 4" xfId="20142"/>
    <cellStyle name="解释性文本 2 7 4" xfId="20143"/>
    <cellStyle name="60% - 强调文字颜色 6 3 3 2 2 3" xfId="20144"/>
    <cellStyle name="强调文字颜色 6 2 2 2 4 3 3" xfId="20145"/>
    <cellStyle name="计算 2 2 4 3 4 3" xfId="20146"/>
    <cellStyle name="计算 2 2 5 2 10" xfId="20147"/>
    <cellStyle name="60% - 强调文字颜色 5 2 4 8" xfId="20148"/>
    <cellStyle name="40% - 强调文字颜色 1" xfId="20149" builtinId="31"/>
    <cellStyle name="40% - 强调文字颜色 3 4 2 3 2" xfId="20150"/>
    <cellStyle name="常规 5 8 2 2" xfId="20151"/>
    <cellStyle name="汇总 2 4 14" xfId="20152"/>
    <cellStyle name="汇总 2 2 5 4 5 3" xfId="20153"/>
    <cellStyle name="输出 2 2 4 3 2 2" xfId="20154"/>
    <cellStyle name="汇总 2 2 8 3 6" xfId="20155"/>
    <cellStyle name="计算 2 9" xfId="20156"/>
    <cellStyle name="60% - 强调文字颜色 5 2 2 2 2 2 3" xfId="20157"/>
    <cellStyle name="注释 2 4 2 2 6 2" xfId="20158"/>
    <cellStyle name="输出 2 2 3 3 2 4" xfId="20159"/>
    <cellStyle name="汇总 2 2 2 9 2" xfId="20160"/>
    <cellStyle name="强调文字颜色 5 2 2 2 2 4 2 2" xfId="20161"/>
    <cellStyle name="计算 2 7 3 2 7" xfId="20162"/>
    <cellStyle name="20% - 强调文字颜色 1 2 2 5 3 2 2" xfId="20163"/>
    <cellStyle name="60% - 强调文字颜色 6 2 3 5 2 2" xfId="20164"/>
    <cellStyle name="输出 2 2 3 3 2 8" xfId="20165"/>
    <cellStyle name="标题 5 2 2 2 2 3 3" xfId="20166"/>
    <cellStyle name="常规 5 2 4 2 4 2" xfId="20167"/>
    <cellStyle name="40% - 强调文字颜色 5 3 2 3" xfId="20168"/>
    <cellStyle name="计算 2 6 2 8 2" xfId="20169"/>
    <cellStyle name="输出 2 2 5 5 4" xfId="20170"/>
    <cellStyle name="20% - 强调文字颜色 5 2 2 6 3" xfId="20171"/>
    <cellStyle name="输出 2 2 3 2 3 3 2 2" xfId="20172"/>
    <cellStyle name="常规 5 2 4 3 4" xfId="20173"/>
    <cellStyle name="汇总 2 2 19" xfId="20174"/>
    <cellStyle name="标题 2 3 2 6" xfId="20175"/>
    <cellStyle name="输入 3 2 2 3 2" xfId="20176"/>
    <cellStyle name="常规 6 2 3 3 2 2 2" xfId="20177"/>
    <cellStyle name="差 5 2 3" xfId="20178"/>
    <cellStyle name="计算 2 2 4 4 2 4 2" xfId="20179"/>
    <cellStyle name="常规 4 2 5 2" xfId="20180"/>
    <cellStyle name="注释 3 3 5 2" xfId="20181"/>
    <cellStyle name="输入 2 7 3 3 2" xfId="20182"/>
    <cellStyle name="汇总 2 4 2 3 4" xfId="20183"/>
    <cellStyle name="警告文本 2 5 3 2 2" xfId="20184"/>
    <cellStyle name="差 2 4 3 3 3" xfId="20185"/>
    <cellStyle name="计算 2 2 4 2 2 3 2" xfId="20186"/>
    <cellStyle name="好 2 3 3 2 2 3" xfId="20187"/>
    <cellStyle name="汇总 2 2 4 2 4 2 2 2 2" xfId="20188"/>
    <cellStyle name="60% - 强调文字颜色 3 2 3 2 2" xfId="20189"/>
    <cellStyle name="60% - 强调文字颜色 4 4 2 2 2 2 2" xfId="20190"/>
    <cellStyle name="计算 2 2 2 3 2 3 2 2" xfId="20191"/>
    <cellStyle name="计算 2 2 5 2 6 2 2" xfId="20192"/>
    <cellStyle name="常规 3 3 6 2 2" xfId="20193"/>
    <cellStyle name="检查单元格 2 4 2 2 2 2 2" xfId="20194"/>
    <cellStyle name="汇总 3 2 3 4" xfId="20195"/>
    <cellStyle name="输入 2 2 4 2 3 4 2" xfId="20196"/>
    <cellStyle name="40% - 强调文字颜色 2 2 3 2 2 4" xfId="20197"/>
    <cellStyle name="强调文字颜色 4 2 2 2 2 4 4" xfId="20198"/>
    <cellStyle name="计算 2 2 2 3 3 5" xfId="20199"/>
    <cellStyle name="计算 2 2 5 3 8" xfId="20200"/>
    <cellStyle name="60% - 强调文字颜色 3 2" xfId="20201"/>
    <cellStyle name="汇总 2 4 6" xfId="20202"/>
    <cellStyle name="标题 5 4 4" xfId="20203"/>
    <cellStyle name="计算 2 5 2 2 3 4" xfId="20204"/>
    <cellStyle name="链接单元格 2 3 7" xfId="20205"/>
    <cellStyle name="40% - 强调文字颜色 5 2 2 2 2 2 3" xfId="20206"/>
    <cellStyle name="标题 5 2 2 3 4" xfId="20207"/>
    <cellStyle name="汇总 2 3 2 4 3 2 2" xfId="20208"/>
    <cellStyle name="计算 2 5 2 8 3" xfId="20209"/>
    <cellStyle name="注释 2 5 4 4" xfId="20210"/>
    <cellStyle name="40% - 强调文字颜色 3 2 2 2 2 3 2 2 2 2" xfId="20211"/>
    <cellStyle name="计算 2 8 3 2 2 2 2" xfId="20212"/>
    <cellStyle name="强调文字颜色 1 2 4 3 3 2" xfId="20213"/>
    <cellStyle name="计算 2 7 6 3 2 2" xfId="20214"/>
    <cellStyle name="常规 2 3 6 2 2" xfId="20215"/>
    <cellStyle name="适中 3 3 3" xfId="20216"/>
    <cellStyle name="输出 5 3 2" xfId="20217"/>
    <cellStyle name="汇总 2 2 5 2 2 3 3" xfId="20218"/>
    <cellStyle name="计算 2 2 3 2" xfId="20219"/>
    <cellStyle name="警告文本 3 2 2 2 2" xfId="20220"/>
    <cellStyle name="强调文字颜色 3 2 3 2 2 3" xfId="20221"/>
    <cellStyle name="汇总 2 4 2 8" xfId="20222"/>
    <cellStyle name="20% - 强调文字颜色 3 2 3 2 2 5" xfId="20223"/>
    <cellStyle name="解释性文本 2 2 5 3 2 2" xfId="20224"/>
    <cellStyle name="输出 2 6 4 2" xfId="20225"/>
    <cellStyle name="40% - 强调文字颜色 5 3 2 2 2 2 2" xfId="20226"/>
    <cellStyle name="20% - 强调文字颜色 4 2 4 5 2" xfId="20227"/>
    <cellStyle name="40% - 强调文字颜色 1 2 3 2 2 2 2 2" xfId="20228"/>
    <cellStyle name="标题 5 3 6" xfId="20229"/>
    <cellStyle name="标题 5 2 2 2 6" xfId="20230"/>
    <cellStyle name="汇总 2 2 2 2 2 2 5 2" xfId="20231"/>
    <cellStyle name="超链接 2 3 5 2 2" xfId="20232"/>
    <cellStyle name="强调文字颜色 6 2 3 2 3 2 2" xfId="20233"/>
    <cellStyle name="计算 2 3 4 2 3 2" xfId="20234"/>
    <cellStyle name="汇总 2 2 8 3 2 2" xfId="20235"/>
    <cellStyle name="20% - 强调文字颜色 1 2 4 7" xfId="20236"/>
    <cellStyle name="常规 7 5 2 2 2" xfId="20237"/>
    <cellStyle name="强调文字颜色 5 3 4" xfId="20238"/>
    <cellStyle name="输出 2 2 2 4 2 4" xfId="20239"/>
    <cellStyle name="强调文字颜色 6 2 2 2 2 3" xfId="20240"/>
    <cellStyle name="注释 2 5 3 6" xfId="20241"/>
    <cellStyle name="汇总 2 5 2 3 3 4 2" xfId="20242"/>
    <cellStyle name="60% - 强调文字颜色 3 2 3 5" xfId="20243"/>
    <cellStyle name="输入 3 5 2" xfId="20244"/>
    <cellStyle name="汇总 2 2 4 4 2 3 2 2" xfId="20245"/>
    <cellStyle name="检查单元格 2" xfId="20246"/>
    <cellStyle name="适中 2 4 2 2 3" xfId="20247"/>
    <cellStyle name="链接单元格 5 2" xfId="20248"/>
    <cellStyle name="计算 3 2 5 2 2" xfId="20249"/>
    <cellStyle name="40% - 强调文字颜色 1 2 2 2 2 4 3" xfId="20250"/>
    <cellStyle name="输入 2 5 2 3 5 3" xfId="20251"/>
    <cellStyle name="20% - 强调文字颜色 4 2 2 3 4 2" xfId="20252"/>
    <cellStyle name="20% - 强调文字颜色 1 2 3 2 4 2" xfId="20253"/>
    <cellStyle name="汇总 2 6 3 5 3" xfId="20254"/>
    <cellStyle name="强调文字颜色 6 2 4 3 3 2" xfId="20255"/>
    <cellStyle name="标题 5 4 4 2 2 2" xfId="20256"/>
    <cellStyle name="60% - 强调文字颜色 2 2 4 4 3 2" xfId="20257"/>
    <cellStyle name="40% - 强调文字颜色 1 2 3 3 5" xfId="20258"/>
    <cellStyle name="强调文字颜色 3 2 6 2 2 2" xfId="20259"/>
    <cellStyle name="好 2 2 3 4" xfId="20260"/>
    <cellStyle name="强调文字颜色 5 2 2 2 2 2 2" xfId="20261"/>
    <cellStyle name="汇总 2 2 7 2 2 5" xfId="20262"/>
    <cellStyle name="标题 2 4 2 3" xfId="20263"/>
    <cellStyle name="计算 2 2 5 2 4 4 2" xfId="20264"/>
    <cellStyle name="注释 2 2 6 10" xfId="20265"/>
    <cellStyle name="强调文字颜色 3 2 2 4 5 2" xfId="20266"/>
    <cellStyle name="20% - 强调文字颜色 5 2 2 2 2 2 3 3 2 2" xfId="20267"/>
    <cellStyle name="标题 2 2 2 2 5 2" xfId="20268"/>
    <cellStyle name="检查单元格 3 3 3 2" xfId="20269"/>
    <cellStyle name="输出 2 2 5 10" xfId="20270"/>
    <cellStyle name="20% - 强调文字颜色 1 2 5 5" xfId="20271"/>
    <cellStyle name="注释 2 2 2 4 4" xfId="20272"/>
    <cellStyle name="计算 2 2 11 3 3" xfId="20273"/>
    <cellStyle name="汇总 2 2 4 2 4 3 3" xfId="20274"/>
    <cellStyle name="注释 2 12 3" xfId="20275"/>
    <cellStyle name="计算 2 7 3 5 3" xfId="20276"/>
    <cellStyle name="强调文字颜色 1 3 5" xfId="20277"/>
    <cellStyle name="常规 2 2 4 3" xfId="20278"/>
    <cellStyle name="计算 2 2 9 2 6" xfId="20279"/>
    <cellStyle name="40% - 强调文字颜色 5 2 2 2 5 2" xfId="20280"/>
    <cellStyle name="输入 2 2 3 3 7" xfId="20281"/>
    <cellStyle name="注释 3 15" xfId="20282"/>
    <cellStyle name="常规 13 4 2 3 3" xfId="20283"/>
    <cellStyle name="汇总 2 3 3 2 2 2 2" xfId="20284"/>
    <cellStyle name="强调文字颜色 3 2 2 6 3 3" xfId="20285"/>
    <cellStyle name="强调文字颜色 5 3 3 2 2" xfId="20286"/>
    <cellStyle name="常规 13 2 2 2 2 2" xfId="20287"/>
    <cellStyle name="无色 2 3 2 2" xfId="20288"/>
    <cellStyle name="输出 2 2 3 4 2 4" xfId="20289"/>
    <cellStyle name="常规 7 6 2 2 2" xfId="20290"/>
    <cellStyle name="强调文字颜色 6 2 3 2 2 3" xfId="20291"/>
    <cellStyle name="汇总 2 6 5 2 2 2" xfId="20292"/>
    <cellStyle name="汇总 2 2 3 9 2" xfId="20293"/>
    <cellStyle name="注释 2 3 2 2 6" xfId="20294"/>
    <cellStyle name="计算 2 3 2 2 2 5 2" xfId="20295"/>
    <cellStyle name="汇总 2 2 5 7 2" xfId="20296"/>
    <cellStyle name="汇总 2 2 6 2 3 3 2 2" xfId="20297"/>
    <cellStyle name="汇总 2 9 5 3" xfId="20298"/>
    <cellStyle name="20% - 强调文字颜色 4 2 3 3" xfId="20299"/>
    <cellStyle name="注释 2 5 2 2 2" xfId="20300"/>
    <cellStyle name="标题 1 2 3 6 2 3" xfId="20301"/>
    <cellStyle name="40% - 强调文字颜色 2 2 3 2 2 3 3 2" xfId="20302"/>
    <cellStyle name="输出 2 3 4 2 3 2" xfId="20303"/>
    <cellStyle name="注释 2 6 3 4 2" xfId="20304"/>
    <cellStyle name="20% - 强调文字颜色 1 2 3 2 2 4 2" xfId="20305"/>
    <cellStyle name="20% - 强调文字颜色 4 2 4 3 3" xfId="20306"/>
    <cellStyle name="注释 2 5 2 3 2 3" xfId="20307"/>
    <cellStyle name="标题 2 2 2 2 2 5" xfId="20308"/>
    <cellStyle name="40% - 强调文字颜色 6 2 3 5 2 2" xfId="20309"/>
    <cellStyle name="适中 6 2" xfId="20310"/>
    <cellStyle name="计算 2 2 6 2 2 5 2" xfId="20311"/>
    <cellStyle name="计算 2 2 3 3 2 2" xfId="20312"/>
    <cellStyle name="常规 5 2 4" xfId="20313"/>
    <cellStyle name="常规 10 2 2 4 3" xfId="20314"/>
    <cellStyle name="20% - 强调文字颜色 4 2 2 6 3 2" xfId="20315"/>
    <cellStyle name="输入 3 2 2 2 3" xfId="20316"/>
    <cellStyle name="汇总 3 2 4 2 2 2" xfId="20317"/>
    <cellStyle name="汇总 2 2 5 3 3 2 3" xfId="20318"/>
    <cellStyle name="常规 3 6" xfId="20319"/>
    <cellStyle name="常规 3 2 2" xfId="20320"/>
    <cellStyle name="标题 5 2 2 2 3 2 2 3" xfId="20321"/>
    <cellStyle name="差 2 2 4 4" xfId="20322"/>
    <cellStyle name="标题 5 3 3 2 2 3" xfId="20323"/>
    <cellStyle name="超链接 3 2 2 2 4 2" xfId="20324"/>
    <cellStyle name="汇总 2 2 3 3 3 3 3" xfId="20325"/>
    <cellStyle name="汇总 2 2 4 2 2 11" xfId="20326"/>
    <cellStyle name="强调文字颜色 6 2 2 3 5" xfId="20327"/>
    <cellStyle name="输入 2 3 2 4" xfId="20328"/>
    <cellStyle name="计算 2 2 2 2 7 2 2" xfId="20329"/>
    <cellStyle name="汇总 2 2 4 3 2" xfId="20330"/>
    <cellStyle name="强调文字颜色 3 2 8" xfId="20331"/>
    <cellStyle name="常规 13 2 2 2 2 2 2" xfId="20332"/>
    <cellStyle name="输出 2 2 2 2 4 2" xfId="20333"/>
    <cellStyle name="强调文字颜色 3 5 2" xfId="20334"/>
    <cellStyle name="输入 2 4 6 2 2" xfId="20335"/>
    <cellStyle name="计算 2 2 4 2 7 2 2" xfId="20336"/>
    <cellStyle name="警告文本 2 5 3 3" xfId="20337"/>
    <cellStyle name="计算 2 2 2 2 2 4 2 2" xfId="20338"/>
    <cellStyle name="20% - 强调文字颜色 4 2 2 2 2 2 2 2 2" xfId="20339"/>
    <cellStyle name="强调文字颜色 3 2 2 2 2 3 2 3" xfId="20340"/>
    <cellStyle name="输出 2 2 5 3 3 2 2" xfId="20341"/>
    <cellStyle name="20% - 强调文字颜色 2 5 2 2 2" xfId="20342"/>
    <cellStyle name="汇总 2 2 3 3 2 8" xfId="20343"/>
    <cellStyle name="常规 3 2 4 2 3 2 2" xfId="20344"/>
    <cellStyle name="标题 6 2 4 2" xfId="20345"/>
    <cellStyle name="汇总 2 2 3 2 2 2 7" xfId="20346"/>
    <cellStyle name="60% - 强调文字颜色 3 3 4 2" xfId="20347"/>
    <cellStyle name="20% - 强调文字颜色 2 2 2 4 3 3 2" xfId="20348"/>
    <cellStyle name="汇总 2 2 6 15" xfId="20349"/>
    <cellStyle name="60% - 强调文字颜色 2 2 4 2 2" xfId="20350"/>
    <cellStyle name="计算 2 6 4 3 2 2" xfId="20351"/>
    <cellStyle name="计算 2 2 6 10 2" xfId="20352"/>
    <cellStyle name="检查单元格 2 3 2 2 3 2" xfId="20353"/>
    <cellStyle name="汇总 2 4 2 12" xfId="20354"/>
    <cellStyle name="常规 13 4 2 3 2" xfId="20355"/>
    <cellStyle name="强调文字颜色 2 2 2 3 5" xfId="20356"/>
    <cellStyle name="输出 2 4 8" xfId="20357"/>
    <cellStyle name="注释 2 2 11 2 2" xfId="20358"/>
    <cellStyle name="60% - 强调文字颜色 3 2 9" xfId="20359"/>
    <cellStyle name="计算 2 6 5 2 2" xfId="20360"/>
    <cellStyle name="强调文字颜色 5 2 3 4 3 3" xfId="20361"/>
    <cellStyle name="输出 2 2 3 2 10" xfId="20362"/>
    <cellStyle name="注释 2 2 5 3 3 2" xfId="20363"/>
    <cellStyle name="强调文字颜色 6 3" xfId="20364"/>
    <cellStyle name="输出 2 2 2 5 2" xfId="20365"/>
    <cellStyle name="注释 2 2 4 2 9" xfId="20366"/>
    <cellStyle name="计算 2 3 3 2 2 2 2" xfId="20367"/>
    <cellStyle name="40% - 强调文字颜色 3 2 3" xfId="20368"/>
    <cellStyle name="输入 2 3 2 7" xfId="20369"/>
    <cellStyle name="计算 2 3 3 8" xfId="20370"/>
    <cellStyle name="汇总 6 2" xfId="20371"/>
    <cellStyle name="常规 12 4 4 3" xfId="20372"/>
    <cellStyle name="强调文字颜色 2 2 2 6 3 3" xfId="20373"/>
    <cellStyle name="注释 2 2 2 8" xfId="20374"/>
    <cellStyle name="输出 2 7 6 3" xfId="20375"/>
    <cellStyle name="强调文字颜色 4 3 3 3" xfId="20376"/>
    <cellStyle name="汇总 4 2 2 4 3" xfId="20377"/>
    <cellStyle name="超链接 3 3 3" xfId="20378"/>
    <cellStyle name="计算 2 5 4 3 2 2 2" xfId="20379"/>
    <cellStyle name="输入 2 2 7 9" xfId="20380"/>
    <cellStyle name="计算 2 2 5 2 2 2 2 2 2" xfId="20381"/>
    <cellStyle name="解释性文本 2 2 2 2 5 2 2" xfId="20382"/>
    <cellStyle name="注释 2 2 3 2 4" xfId="20383"/>
    <cellStyle name="汇总 2 4 2 2 6 2 2" xfId="20384"/>
    <cellStyle name="标题 3 2 2 2 4 3 2 2" xfId="20385"/>
    <cellStyle name="警告文本 2 2 2 2" xfId="20386"/>
    <cellStyle name="强调文字颜色 2 4 3 2" xfId="20387"/>
    <cellStyle name="常规 5 2 2 2 2 5 2" xfId="20388"/>
    <cellStyle name="强调文字颜色 5 2 2 4 5 3" xfId="20389"/>
    <cellStyle name="汇总 2 4 10" xfId="20390"/>
    <cellStyle name="40% - 强调文字颜色 4 2 2 2 2 3 2 2 2 2" xfId="20391"/>
    <cellStyle name="计算 2 4 2 3 5" xfId="20392"/>
    <cellStyle name="常规 2 5 4" xfId="20393"/>
    <cellStyle name="计算 2 2 10 3 2" xfId="20394"/>
    <cellStyle name="计算 2 8 2 6 2" xfId="20395"/>
    <cellStyle name="汇总 2 4 9" xfId="20396"/>
    <cellStyle name="链接单元格 2 3 2 5 2 2" xfId="20397"/>
    <cellStyle name="40% - 强调文字颜色 4 4 4" xfId="20398"/>
    <cellStyle name="输入 2 2 4 2 6" xfId="20399"/>
    <cellStyle name="注释 2 4 2 7 2 2" xfId="20400"/>
    <cellStyle name="计算 2 5 5 4 2" xfId="20401"/>
    <cellStyle name="输入 2 3 4 2 4" xfId="20402"/>
    <cellStyle name="汇总 2 8 6 2 2" xfId="20403"/>
    <cellStyle name="汇总 2 2 4 3 3 4 2" xfId="20404"/>
    <cellStyle name="常规 6 2 6 2" xfId="20405"/>
    <cellStyle name="40% - 强调文字颜色 1 2 2 2 2 2 4 3" xfId="20406"/>
    <cellStyle name="40% - 强调文字颜色 2 2 2 2 2 2" xfId="20407"/>
    <cellStyle name="注释 2 3 4 3 2" xfId="20408"/>
    <cellStyle name="输入 2 6 3 2 3 2" xfId="20409"/>
    <cellStyle name="强调文字颜色 1 3 3 2" xfId="20410"/>
    <cellStyle name="标题 1 2 3 3 5" xfId="20411"/>
    <cellStyle name="标题 2 6 2 3" xfId="20412"/>
    <cellStyle name="输出 4 2 2 2 2" xfId="20413"/>
    <cellStyle name="适中 2 2 3 2 2" xfId="20414"/>
    <cellStyle name="60% - 强调文字颜色 3 2 3 3 2 2 2 2 2" xfId="20415"/>
    <cellStyle name="汇总 4 4 2 2" xfId="20416"/>
    <cellStyle name="超链接 3 2 3 5" xfId="20417"/>
    <cellStyle name="强调文字颜色 6 2 2 6 2 3" xfId="20418"/>
    <cellStyle name="汇总 2 7 4 2 3" xfId="20419"/>
    <cellStyle name="输入 2 2 2 2 5" xfId="20420"/>
    <cellStyle name="40% - 强调文字颜色 2 4 3" xfId="20421"/>
    <cellStyle name="检查单元格 3 4 2" xfId="20422"/>
    <cellStyle name="注释 2 4 4 4 2 2" xfId="20423"/>
    <cellStyle name="强调文字颜色 4 2 2 2 2 5 2 2" xfId="20424"/>
    <cellStyle name="计算 2 7 2 4 2" xfId="20425"/>
    <cellStyle name="60% - 强调文字颜色 5 3 2 2 4" xfId="20426"/>
    <cellStyle name="汇总 2 3 2 2 5" xfId="20427"/>
    <cellStyle name="差 2 2 4 3 4" xfId="20428"/>
    <cellStyle name="说明文本 2 5" xfId="20429"/>
    <cellStyle name="汇总 2 2 3 3 5" xfId="20430"/>
    <cellStyle name="警告文本 2 3 4 2 3" xfId="20431"/>
    <cellStyle name="汇总 3 2 4 2 2" xfId="20432"/>
    <cellStyle name="标题 5 6 3 2" xfId="20433"/>
    <cellStyle name="汇总 4 2 4 3" xfId="20434"/>
    <cellStyle name="汇总 2 3 2 2 2 2 3 3" xfId="20435"/>
    <cellStyle name="标题 2 2 3 2 5 2" xfId="20436"/>
    <cellStyle name="注释 2 4 5 2 2 2" xfId="20437"/>
    <cellStyle name="汇总 2 3 2 10" xfId="20438"/>
    <cellStyle name="适中 2 2 2 4 2" xfId="20439"/>
    <cellStyle name="汇总 4 4 5" xfId="20440"/>
    <cellStyle name="汇总 2 4 2 2 3 3" xfId="20441"/>
    <cellStyle name="无色 3 2" xfId="20442"/>
    <cellStyle name="强调文字颜色 2 2 3 2 3 3 2" xfId="20443"/>
    <cellStyle name="注释 2 3 3 2 2 2" xfId="20444"/>
    <cellStyle name="20% - 强调文字颜色 2 3 3 3 2" xfId="20445"/>
    <cellStyle name="汇总 2 2 6 2 6 2 2" xfId="20446"/>
    <cellStyle name="超链接 2 2 2 2 2 2 2 2" xfId="20447"/>
    <cellStyle name="解释性文本 2 2 2 2 3" xfId="20448"/>
    <cellStyle name="链接单元格 2 3 3 2" xfId="20449"/>
    <cellStyle name="汇总 2 2 4 2 11 2" xfId="20450"/>
    <cellStyle name="汇总 2 2 5 3 3 2 2" xfId="20451"/>
    <cellStyle name="常规 3 3 5 3 2" xfId="20452"/>
    <cellStyle name="常规 3 5" xfId="20453"/>
    <cellStyle name="汇总 2 2 6 3 9" xfId="20454"/>
    <cellStyle name="常规 5 2 2 2 5" xfId="20455"/>
    <cellStyle name="输入 2 2 6 2 3 3" xfId="20456"/>
    <cellStyle name="链接单元格 2 2 4 4 2" xfId="20457"/>
    <cellStyle name="常规 5 2 5 3 3 2" xfId="20458"/>
    <cellStyle name="差 2 2 2 2 2 4" xfId="20459"/>
    <cellStyle name="20% - 强调文字颜色 5 2 3 2 3 2 2" xfId="20460"/>
    <cellStyle name="汇总 2 8 3 3 2" xfId="20461"/>
    <cellStyle name="输出 2 2 4 2 8" xfId="20462"/>
    <cellStyle name="输入 2 2 8 2 4 2" xfId="20463"/>
    <cellStyle name="强调文字颜色 1 2 2 6 3" xfId="20464"/>
    <cellStyle name="检查单元格 2 2 5 4" xfId="20465"/>
    <cellStyle name="汇总 2 2 6 4 2 4" xfId="20466"/>
    <cellStyle name="常规 2 2 2 2 2 4 2" xfId="20467"/>
    <cellStyle name="汇总 2 2 7 3 3 3" xfId="20468"/>
    <cellStyle name="常规 9 3 2 3 2 3" xfId="20469"/>
    <cellStyle name="超链接 2 5 2 3 2" xfId="20470"/>
    <cellStyle name="常规 11 2 6" xfId="20471"/>
    <cellStyle name="注释 2 4 3 6 2" xfId="20472"/>
    <cellStyle name="汇总 2 5 2 3 2 4 2 2" xfId="20473"/>
    <cellStyle name="计算 2 6 4 4" xfId="20474"/>
    <cellStyle name="强调文字颜色 3 2 2 4 2 2 2" xfId="20475"/>
    <cellStyle name="常规 5 3 3 2 4 2" xfId="20476"/>
    <cellStyle name="计算 2 2 2 2 3 8" xfId="20477"/>
    <cellStyle name="标题 4 4" xfId="20478"/>
    <cellStyle name="60% - 强调文字颜色 5 2 2 2 4 2 2 2" xfId="20479"/>
    <cellStyle name="注释 2 2 2 3 2 6" xfId="20480"/>
    <cellStyle name="输入 2 2 4 2 4 2 4" xfId="20481"/>
    <cellStyle name="计算 2 6 2 3 2 2 2" xfId="20482"/>
    <cellStyle name="强调文字颜色 1 2 3 2 2 5" xfId="20483"/>
    <cellStyle name="常规 11 2 6 2" xfId="20484"/>
    <cellStyle name="汇总 2 11 5" xfId="20485"/>
    <cellStyle name="20% - 强调文字颜色 3 3 5" xfId="20486"/>
    <cellStyle name="强调文字颜色 2 5 3" xfId="20487"/>
    <cellStyle name="汇总 3 13" xfId="20488"/>
    <cellStyle name="计算 2 8 2 5 2" xfId="20489"/>
    <cellStyle name="适中 2 2 4 5 2" xfId="20490"/>
    <cellStyle name="计算 3 3" xfId="20491"/>
    <cellStyle name="40% - 强调文字颜色 6 2 2 4 4 2" xfId="20492"/>
    <cellStyle name="强调文字颜色 1 2 2 2 3 3 2" xfId="20493"/>
    <cellStyle name="计算 2 2 2 3 7" xfId="20494"/>
    <cellStyle name="汇总 3 2 3 4 3" xfId="20495"/>
    <cellStyle name="40% - 强调文字颜色 3 4 4 2 2 2" xfId="20496"/>
    <cellStyle name="60% - 强调文字颜色 1 2 2 2 2 3 3" xfId="20497"/>
    <cellStyle name="20% - 强调文字颜色 2" xfId="20498" builtinId="34"/>
    <cellStyle name="输入 2 5 4 8" xfId="20499"/>
    <cellStyle name="40% - 强调文字颜色 2 2 3 2 2 3 3 2 2" xfId="20500"/>
    <cellStyle name="计算 2 6 4 2 6" xfId="20501"/>
    <cellStyle name="输出 2 3 9 2" xfId="20502"/>
    <cellStyle name="计算 2 2 6 2 2 3" xfId="20503"/>
    <cellStyle name="汇总 2 5 2 2 2 2" xfId="20504"/>
    <cellStyle name="强调文字颜色 2 2 2 2 6 2" xfId="20505"/>
    <cellStyle name="20% - 强调文字颜色 3 3 3 4 2" xfId="20506"/>
    <cellStyle name="汇总 2 2 5 4 2 5" xfId="20507"/>
    <cellStyle name="注释 2 4 3 2 3 2" xfId="20508"/>
    <cellStyle name="标题 1 3 4 2 2 2" xfId="20509"/>
    <cellStyle name="强调文字颜色 2 2 2 3 4 2 3" xfId="20510"/>
    <cellStyle name="强调文字颜色 1 2 3 5 2 2" xfId="20511"/>
    <cellStyle name="强调文字颜色 5 2 2 4 2 2 2 2" xfId="20512"/>
    <cellStyle name="注释 2 2 7 6 2 2" xfId="20513"/>
    <cellStyle name="输出 2 4 5 4 2" xfId="20514"/>
    <cellStyle name="解释性文本 4 2 2" xfId="20515"/>
    <cellStyle name="汇总 2 2 2 2 3 3 2" xfId="20516"/>
    <cellStyle name="20% - 强调文字颜色 4 2 2 2 2 2 3 2 2" xfId="20517"/>
    <cellStyle name="输出 2 2 3 2 4 5" xfId="20518"/>
    <cellStyle name="标题 3 2 4 4 2 2 2" xfId="20519"/>
    <cellStyle name="计算 2 4 2 2 3 5" xfId="20520"/>
    <cellStyle name="60% - 强调文字颜色 2 2 2 2 2 2" xfId="20521"/>
    <cellStyle name="计算 2 2 4 3 2 2 3" xfId="20522"/>
    <cellStyle name="解释性文本 2 9 2" xfId="20523"/>
    <cellStyle name="常规 5 2 3 2 3 3" xfId="20524"/>
    <cellStyle name="20% - 强调文字颜色 3 2 2 2 2 2 2 2 2 2 2" xfId="20525"/>
    <cellStyle name="标题 1 2 3 3 2 2 2 2" xfId="20526"/>
    <cellStyle name="适中 2 4 3 3" xfId="20527"/>
    <cellStyle name="标题 2 2 5" xfId="20528"/>
    <cellStyle name="汇总 5 4 2 2" xfId="20529"/>
    <cellStyle name="计算 2 4 3 2 3 2" xfId="20530"/>
    <cellStyle name="百分比 2 2 3" xfId="20531"/>
    <cellStyle name="汇总 2 2 2 3 3 3 2" xfId="20532"/>
    <cellStyle name="输入 2 8 2 7" xfId="20533"/>
    <cellStyle name="汇总 3 3 6 2 2" xfId="20534"/>
    <cellStyle name="20% - 强调文字颜色 1 3 2 2 2 2 2" xfId="20535"/>
    <cellStyle name="汇总 2 3 4 2 3 3" xfId="20536"/>
    <cellStyle name="汇总 2 2 2 3 4 2 2" xfId="20537"/>
    <cellStyle name="60% - 强调文字颜色 1 4" xfId="20538"/>
    <cellStyle name="常规 4" xfId="20539"/>
    <cellStyle name="输入 2 2 7 3 4" xfId="20540"/>
    <cellStyle name="汇总 2 7 5 3 2 2" xfId="20541"/>
    <cellStyle name="标题 4 2 2 3 4 2 3" xfId="20542"/>
    <cellStyle name="计算 2 2 9 2 3 2" xfId="20543"/>
    <cellStyle name="40% - 强调文字颜色 3 5 2 2" xfId="20544"/>
    <cellStyle name="输入 2 2 3 3 4 2" xfId="20545"/>
    <cellStyle name="标题 4 2 3 8" xfId="20546"/>
    <cellStyle name="链接单元格 2 2 2 3 4" xfId="20547"/>
    <cellStyle name="40% - 强调文字颜色 3 2 3 3 5" xfId="20548"/>
    <cellStyle name="计算 2 4 2 2 6" xfId="20549"/>
    <cellStyle name="20% - 强调文字颜色 2 2" xfId="20550"/>
    <cellStyle name="输出 2 2 6 3 6" xfId="20551"/>
    <cellStyle name="计算 2 16 2 2" xfId="20552"/>
    <cellStyle name="40% - 强调文字颜色 3 5" xfId="20553"/>
    <cellStyle name="强调文字颜色 6 2 2 7 3" xfId="20554"/>
    <cellStyle name="链接单元格 2 3 4 2 2 2" xfId="20555"/>
    <cellStyle name="汇总 2 7 5 3" xfId="20556"/>
    <cellStyle name="警告文本 2 2 4 6" xfId="20557"/>
    <cellStyle name="汇总 2 3 3 5 3" xfId="20558"/>
    <cellStyle name="60% - 强调文字颜色 4 2 2 4 3 3" xfId="20559"/>
    <cellStyle name="计算 2 6 3 9" xfId="20560"/>
    <cellStyle name="超链接 3 2 2 2 2 2 2 2" xfId="20561"/>
    <cellStyle name="汇总 2 2 8 4 3 3" xfId="20562"/>
    <cellStyle name="标题 2 2 3 3 7" xfId="20563"/>
    <cellStyle name="标题 2 2 2 2 5" xfId="20564"/>
    <cellStyle name="40% - 强调文字颜色 4 2 2 2 2 5 2 2" xfId="20565"/>
    <cellStyle name="60% - 强调文字颜色 1 4 2 3 2 2 2" xfId="20566"/>
    <cellStyle name="常规 2 2 2 2 2 2 3 2" xfId="20567"/>
    <cellStyle name="40% - 强调文字颜色 2 2 2 4 4" xfId="20568"/>
    <cellStyle name="汇总 2 8 3 2 3 2" xfId="20569"/>
    <cellStyle name="计算 2 6 5 2" xfId="20570"/>
    <cellStyle name="输入 2 2 4 2 2 2 3 3" xfId="20571"/>
    <cellStyle name="40% - 强调文字颜色 6 2 6 2 2 2" xfId="20572"/>
    <cellStyle name="强调文字颜色 6 3 2 2 3 2" xfId="20573"/>
    <cellStyle name="计算 3 2 4 2 3" xfId="20574"/>
    <cellStyle name="20% - 强调文字颜色 4 2 2 2 4 3" xfId="20575"/>
    <cellStyle name="常规 5 2 2 2 2 3 4 2" xfId="20576"/>
    <cellStyle name="输入 2 2 5 2 2 4 2 2" xfId="20577"/>
    <cellStyle name="常规 10 2 2 2 5" xfId="20578"/>
    <cellStyle name="汇总 2 2 7 5 2 2 2" xfId="20579"/>
    <cellStyle name="40% - 强调文字颜色 3 2 3 2 5" xfId="20580"/>
    <cellStyle name="差 2 2 3 4 2 2" xfId="20581"/>
    <cellStyle name="60% - 强调文字颜色 2 2 2 3 3" xfId="20582"/>
    <cellStyle name="注释 2 2 4 2 4 2 2" xfId="20583"/>
    <cellStyle name="强调文字颜色 1 2 3 2 2 2 2 2 2" xfId="20584"/>
    <cellStyle name="计算 3 4 3 2 2" xfId="20585"/>
    <cellStyle name="强调文字颜色 4 2 4 4 3 2" xfId="20586"/>
    <cellStyle name="20% - 强调文字颜色 3 2 2 2 3 2 2 2 2 2" xfId="20587"/>
    <cellStyle name="标题 3 3 5 2" xfId="20588"/>
    <cellStyle name="汇总 2 4 3 4 2" xfId="20589"/>
    <cellStyle name="60% - 强调文字颜色 2 2 2 4 2 3" xfId="20590"/>
    <cellStyle name="计算 2 3 6" xfId="20591"/>
    <cellStyle name="解释性文本 2 7 2 3" xfId="20592"/>
    <cellStyle name="汇总 2 10 2" xfId="20593"/>
    <cellStyle name="20% - 强调文字颜色 3 2 2" xfId="20594"/>
    <cellStyle name="40% - 强调文字颜色 3 2 6 3 2" xfId="20595"/>
    <cellStyle name="标题 4 3 2 3 3" xfId="20596"/>
    <cellStyle name="60% - 强调文字颜色 3 4 3 2 2 2" xfId="20597"/>
    <cellStyle name="计算 4 4 2 3" xfId="20598"/>
    <cellStyle name="20% - 强调文字颜色 1 2 3 2 2 2 2 2 2" xfId="20599"/>
    <cellStyle name="60% - 强调文字颜色 2 2 9 2" xfId="20600"/>
    <cellStyle name="汇总 2 5 2 5 2 3" xfId="20601"/>
    <cellStyle name="20% - 强调文字颜色 6 5 2 2" xfId="20602"/>
    <cellStyle name="20% - 强调文字颜色 6 2 3 3 2 2" xfId="20603"/>
    <cellStyle name="计算 2 9 2 2" xfId="20604"/>
    <cellStyle name="标题 1 3 4" xfId="20605"/>
    <cellStyle name="输出 4 3 3 2" xfId="20606"/>
    <cellStyle name="适中 2 3 4 2" xfId="20607"/>
    <cellStyle name="60% - 强调文字颜色 4 2 3 4 3 2 2" xfId="20608"/>
    <cellStyle name="20% - 强调文字颜色 3 2 2 2 4 2 2" xfId="20609"/>
    <cellStyle name="常规 4 2 4 5 3" xfId="20610"/>
    <cellStyle name="常规 2 6 2 2 2" xfId="20611"/>
    <cellStyle name="汇总 2 5 4 2 2 3" xfId="20612"/>
    <cellStyle name="输出 2 2 4 3 6" xfId="20613"/>
    <cellStyle name="20% - 强调文字颜色 1 2 2 2 2 5" xfId="20614"/>
    <cellStyle name="输入 2 2 6 2 2 7" xfId="20615"/>
    <cellStyle name="60% - 强调文字颜色 6 2 2 2 4 2 2" xfId="20616"/>
    <cellStyle name="计算 4 6 3" xfId="20617"/>
    <cellStyle name="注释 2 2 4 4 2 4" xfId="20618"/>
    <cellStyle name="汇总 2 7 2 3 2 2" xfId="20619"/>
    <cellStyle name="计算 2 2 6 2 3 2" xfId="20620"/>
    <cellStyle name="强调文字颜色 6 2 2 4 3 2 2" xfId="20621"/>
    <cellStyle name="常规 14 2 2 2" xfId="20622"/>
    <cellStyle name="常规 9 2 6" xfId="20623"/>
    <cellStyle name="汇总 2 2 4 2 3 2 2 2" xfId="20624"/>
    <cellStyle name="计算 2 2 10 2 2 2" xfId="20625"/>
    <cellStyle name="计算 2 2 4 10 3" xfId="20626"/>
    <cellStyle name="计算 2 2 2 14" xfId="20627"/>
    <cellStyle name="好 4 4 2 2 2" xfId="20628"/>
    <cellStyle name="强调文字颜色 6 4 2 4" xfId="20629"/>
    <cellStyle name="汇总 4 7 2" xfId="20630"/>
    <cellStyle name="注释 4 3 2 2" xfId="20631"/>
    <cellStyle name="60% - 强调文字颜色 2 2 2 2 2 2 4" xfId="20632"/>
    <cellStyle name="汇总 2 2 2 4 5 3" xfId="20633"/>
    <cellStyle name="60% - 强调文字颜色 6 2 2 3 4 2 2 2" xfId="20634"/>
    <cellStyle name="60% - 强调文字颜色 2 2 2 3 7" xfId="20635"/>
    <cellStyle name="输出 2 2 3 7 3" xfId="20636"/>
    <cellStyle name="差 2 3 3 3 2" xfId="20637"/>
    <cellStyle name="60% - 强调文字颜色 2 2 4 2" xfId="20638"/>
    <cellStyle name="计算 2 2 10 7" xfId="20639"/>
    <cellStyle name="20% - 强调文字颜色 2 2 2 6 3 2" xfId="20640"/>
    <cellStyle name="常规 5 2 9" xfId="20641"/>
    <cellStyle name="计算 2 12 2" xfId="20642"/>
    <cellStyle name="标题 1 2 2 2 2 3 2" xfId="20643"/>
    <cellStyle name="60% - 强调文字颜色 3 2 2 3 4 3" xfId="20644"/>
    <cellStyle name="标题 5 7" xfId="20645"/>
    <cellStyle name="汇总 2 5 2 3 2 5 2" xfId="20646"/>
    <cellStyle name="强调文字颜色 4 2 2 2 2 7" xfId="20647"/>
    <cellStyle name="注释 2 4 4 6" xfId="20648"/>
    <cellStyle name="40% - 强调文字颜色 2 2 3 2 5" xfId="20649"/>
    <cellStyle name="输出 3 2 2 7 2" xfId="20650"/>
    <cellStyle name="汇总 2 6 2 3 2 2 2" xfId="20651"/>
    <cellStyle name="汇总 2 5 2 5 6" xfId="20652"/>
    <cellStyle name="计算 2 2 7 3 2 3 2" xfId="20653"/>
    <cellStyle name="60% - 强调文字颜色 5 2 6 2 2 2" xfId="20654"/>
    <cellStyle name="60% - 强调文字颜色 5 2 2 2" xfId="20655"/>
    <cellStyle name="常规 5 3 2 3 2" xfId="20656"/>
    <cellStyle name="计算 2 8 2 2 2 2 2" xfId="20657"/>
    <cellStyle name="适中 2 2 4 2 2 2 2" xfId="20658"/>
    <cellStyle name="计算 2 2 2 5 2 2 2" xfId="20659"/>
    <cellStyle name="计算 2 2 7 2 5 2" xfId="20660"/>
    <cellStyle name="注释 3 2 2 2" xfId="20661"/>
    <cellStyle name="输出 2 2 2 2 2 2 2 2" xfId="20662"/>
    <cellStyle name="强调文字颜色 3 3 2 2 2" xfId="20663"/>
    <cellStyle name="解释性文本 2 7 3" xfId="20664"/>
    <cellStyle name="超链接 2 5 5" xfId="20665"/>
    <cellStyle name="常规 9 2 4 4" xfId="20666"/>
    <cellStyle name="汇总 2 5 5 2 2 2" xfId="20667"/>
    <cellStyle name="计算 2 2 4 4 2 2" xfId="20668"/>
    <cellStyle name="计算 2 2 3 2 2 7 2" xfId="20669"/>
    <cellStyle name="输出 2 4 2 3 3" xfId="20670"/>
    <cellStyle name="40% - 强调文字颜色 4 3 2 2 3 2 2" xfId="20671"/>
    <cellStyle name="输出 2 2 4 3 5 3" xfId="20672"/>
    <cellStyle name="计算 2 2 3 7 2" xfId="20673"/>
    <cellStyle name="差 3 2 3 2 2" xfId="20674"/>
    <cellStyle name="注释 2 4 4 2 2 3" xfId="20675"/>
    <cellStyle name="强调文字颜色 4 2 2 2 2 3 2 3" xfId="20676"/>
    <cellStyle name="汇总 2 4 4 2 3 2" xfId="20677"/>
    <cellStyle name="20% - 强调文字颜色 4 2 2 4 5" xfId="20678"/>
    <cellStyle name="计算 3 2 6 3" xfId="20679"/>
    <cellStyle name="超链接 3 2 3 3 2" xfId="20680"/>
    <cellStyle name="汇总 2 3 2 2 3 2 2 2" xfId="20681"/>
    <cellStyle name="汇总 5 2 3 2" xfId="20682"/>
    <cellStyle name="输出 2 2 6 3" xfId="20683"/>
    <cellStyle name="60% - 强调文字颜色 3 2 3 2" xfId="20684"/>
    <cellStyle name="强调文字颜色 2 2 2 2 2 3 3 2" xfId="20685"/>
    <cellStyle name="注释 4 7" xfId="20686"/>
    <cellStyle name="超链接 2 2 2 4 2 2" xfId="20687"/>
    <cellStyle name="标题 3 2 2 2 2 2 2 2" xfId="20688"/>
    <cellStyle name="20% - 强调文字颜色 2 3 5 2 2" xfId="20689"/>
    <cellStyle name="超链接 3 2 3 3 4" xfId="20690"/>
    <cellStyle name="标题 2 2 3 3 4" xfId="20691"/>
    <cellStyle name="检查单元格 2 2 2 4 2 2" xfId="20692"/>
    <cellStyle name="检查单元格 2 2 4 4 2 2" xfId="20693"/>
    <cellStyle name="强调文字颜色 1 2 2 5 3 2 2" xfId="20694"/>
    <cellStyle name="输入 2 2 6 3 2 2 2" xfId="20695"/>
    <cellStyle name="汇总 2 8 3 4 2 2" xfId="20696"/>
    <cellStyle name="计算 2 5 2 6 2 2" xfId="20697"/>
    <cellStyle name="计算 2 2 2 6 3" xfId="20698"/>
    <cellStyle name="计算 2 2 2 4 6" xfId="20699"/>
    <cellStyle name="标题 1 3 2 3 2" xfId="20700"/>
    <cellStyle name="标题 3 2 2 4 2 3" xfId="20701"/>
    <cellStyle name="标题 6 3" xfId="20702"/>
    <cellStyle name="标题 5 2 3 2" xfId="20703"/>
    <cellStyle name="输入 2 4 4 5" xfId="20704"/>
    <cellStyle name="警告文本 2 5 3 2" xfId="20705"/>
    <cellStyle name="警告文本 4 2 2 2" xfId="20706"/>
    <cellStyle name="注释 3 2 3 3" xfId="20707"/>
    <cellStyle name="计算 2 8 2 2 4 2" xfId="20708"/>
    <cellStyle name="强调文字颜色 4 3 2 2 2" xfId="20709"/>
    <cellStyle name="输出 2 2 2 3 2 2 2 2" xfId="20710"/>
    <cellStyle name="汇总 2 8 3 2 2 2 2" xfId="20711"/>
    <cellStyle name="强调文字颜色 3 2 2 4 2 2" xfId="20712"/>
    <cellStyle name="常规 5 3 3 2 4" xfId="20713"/>
    <cellStyle name="40% - 强调文字颜色 6 4 5 2" xfId="20714"/>
    <cellStyle name="计算 2 6 4 2 2" xfId="20715"/>
    <cellStyle name="输入 2 2 4 2 2 2 2 3 2" xfId="20716"/>
    <cellStyle name="计算 2 2 5 3 2 6" xfId="20717"/>
    <cellStyle name="汇总 2 2 4 3 2 2 3" xfId="20718"/>
    <cellStyle name="检查单元格 2 2 2 2 2 4" xfId="20719"/>
    <cellStyle name="输出 2 2 5 11" xfId="20720"/>
    <cellStyle name="标题 3 3 6" xfId="20721"/>
    <cellStyle name="强调文字颜色 4 2 4 4 4" xfId="20722"/>
    <cellStyle name="计算 2 5 8 2" xfId="20723"/>
    <cellStyle name="适中 2 2 2 2 6" xfId="20724"/>
    <cellStyle name="计算 2 2 5 2 2 2 2" xfId="20725"/>
    <cellStyle name="解释性文本 2 2 2 2 5" xfId="20726"/>
    <cellStyle name="计算 2 5 4 2 5 2" xfId="20727"/>
    <cellStyle name="20% - 强调文字颜色 1 2 3 2 2 2 3 2" xfId="20728"/>
    <cellStyle name="60% - 强调文字颜色 6 2 2 2 3" xfId="20729"/>
    <cellStyle name="强调文字颜色 5 2 2 3 2 2 2 2" xfId="20730"/>
    <cellStyle name="计算 2 5 5 5 3" xfId="20731"/>
    <cellStyle name="60% - 强调文字颜色 2 2 3 5 2 2" xfId="20732"/>
    <cellStyle name="汇总 2 5 4 4 3" xfId="20733"/>
    <cellStyle name="40% - 强调文字颜色 4 2 4 4" xfId="20734"/>
    <cellStyle name="计算 2 5 2 10 3" xfId="20735"/>
    <cellStyle name="输入 2 2 3" xfId="20736"/>
    <cellStyle name="常规 9 2 3 4 3" xfId="20737"/>
    <cellStyle name="汇总 2 2 4 3 7" xfId="20738"/>
    <cellStyle name="警告文本 2 4 2 2 2 2" xfId="20739"/>
    <cellStyle name="好 4 3 2 3" xfId="20740"/>
    <cellStyle name="差 2 3 2 3 3 2" xfId="20741"/>
    <cellStyle name="输出 2 2 3" xfId="20742"/>
    <cellStyle name="输出 2 4 2 3 4 2 2" xfId="20743"/>
    <cellStyle name="汇总 2 2 2 8 2" xfId="20744"/>
    <cellStyle name="60% - 强调文字颜色 4 2 2 4 4 2 2" xfId="20745"/>
    <cellStyle name="输出 2 4 2 2 3 3" xfId="20746"/>
    <cellStyle name="汇总 2 2 4 4 2 2 2" xfId="20747"/>
    <cellStyle name="汇总 2 5 2 3 2 4" xfId="20748"/>
    <cellStyle name="链接单元格 3 3 3" xfId="20749"/>
    <cellStyle name="40% - 强调文字颜色 4 3 3 3 2 2" xfId="20750"/>
    <cellStyle name="汇总 2 4 2 4 2" xfId="20751"/>
    <cellStyle name="警告文本 2 3 3 7" xfId="20752"/>
    <cellStyle name="输出 2 15" xfId="20753"/>
    <cellStyle name="汇总 2 2 4 4 2 3" xfId="20754"/>
    <cellStyle name="20% - 强调文字颜色 3 2 5 2 3 2" xfId="20755"/>
    <cellStyle name="超链接 2 2 4 3 3" xfId="20756"/>
    <cellStyle name="汇总 2 5 3 10" xfId="20757"/>
    <cellStyle name="链接单元格 3 3 4" xfId="20758"/>
    <cellStyle name="汇总 2 2 6 2 6" xfId="20759"/>
    <cellStyle name="输出 2 2 4 5 2" xfId="20760"/>
    <cellStyle name="计算 2 2 6 3 2 6" xfId="20761"/>
    <cellStyle name="汇总 2 5 2 3 2 5" xfId="20762"/>
    <cellStyle name="常规 3 3 7 2 5" xfId="20763"/>
    <cellStyle name="输出 2 6 11" xfId="20764"/>
    <cellStyle name="输入 2 3 2 2 4 2" xfId="20765"/>
    <cellStyle name="标题 4 2 3 2 3 2 3" xfId="20766"/>
    <cellStyle name="汇总 2 8 4 2 2 2" xfId="20767"/>
    <cellStyle name="40% - 强调文字颜色 4 2 2 2 2 3 2" xfId="20768"/>
    <cellStyle name="计算 2 8 4 7" xfId="20769"/>
    <cellStyle name="20% - 强调文字颜色 6 3 3 2 2 2 2" xfId="20770"/>
    <cellStyle name="常规 9 5 2 4" xfId="20771"/>
    <cellStyle name="计算 2 7 4 4 2 2" xfId="20772"/>
    <cellStyle name="检查单元格 2 2 3 4 2" xfId="20773"/>
    <cellStyle name="60% - 强调文字颜色 4 6 2 2 2" xfId="20774"/>
    <cellStyle name="计算 2 2 4 2 4 3 2" xfId="20775"/>
    <cellStyle name="警告文本 2 2 4 3" xfId="20776"/>
    <cellStyle name="60% - 强调文字颜色 6 2 4 5 3" xfId="20777"/>
    <cellStyle name="输入 2 2 7 2 2 3" xfId="20778"/>
    <cellStyle name="链接单元格 2 3 4 3 2" xfId="20779"/>
    <cellStyle name="常规 5 2 6 3 2 2" xfId="20780"/>
    <cellStyle name="输出 2 4 4 4 3" xfId="20781"/>
    <cellStyle name="常规 16 4" xfId="20782"/>
    <cellStyle name="20% - 强调文字颜色 2 2 2 4 5 2 2" xfId="20783"/>
    <cellStyle name="40% - 强调文字颜色 6 2 3 4" xfId="20784"/>
    <cellStyle name="输出 2 5 2 4 3" xfId="20785"/>
    <cellStyle name="60% - 强调文字颜色 6 3 2 4 3" xfId="20786"/>
    <cellStyle name="60% - 强调文字颜色 5 2 2 4 4 2 2" xfId="20787"/>
    <cellStyle name="标题 2 2 3 2 2" xfId="20788"/>
    <cellStyle name="常规 4 2 6 2" xfId="20789"/>
    <cellStyle name="链接单元格 2 3 3 3 2" xfId="20790"/>
    <cellStyle name="标题 5 3 3 6" xfId="20791"/>
    <cellStyle name="20% - 强调文字颜色 1 2 3" xfId="20792"/>
    <cellStyle name="汇总 2 2 2 2 2 3 2 2" xfId="20793"/>
    <cellStyle name="解释性文本 3 2 2 2" xfId="20794"/>
    <cellStyle name="计算 2 2 8 5" xfId="20795"/>
    <cellStyle name="计算 2 2 8 5 2 2" xfId="20796"/>
    <cellStyle name="输出 2 9 5" xfId="20797"/>
    <cellStyle name="标题 4 2 4 2 2 2 2" xfId="20798"/>
    <cellStyle name="注释 2 4 2 3 3 3" xfId="20799"/>
    <cellStyle name="常规 4 3 2 5 2 2" xfId="20800"/>
    <cellStyle name="汇总 2 2 4 5 2 6" xfId="20801"/>
    <cellStyle name="注释 2 2 7 3 2 4" xfId="20802"/>
    <cellStyle name="输出 2 4 2 4 4" xfId="20803"/>
    <cellStyle name="常规 4 2 2 2 5 3" xfId="20804"/>
    <cellStyle name="输入 2 6 3 3" xfId="20805"/>
    <cellStyle name="注释 2 3 5" xfId="20806"/>
    <cellStyle name="计算 2 10 2 4 2" xfId="20807"/>
    <cellStyle name="强调文字颜色 6 3 3 3" xfId="20808"/>
    <cellStyle name="汇总 2 2 4 5 4 2" xfId="20809"/>
    <cellStyle name="注释 2 2 4 3 3 2 2" xfId="20810"/>
    <cellStyle name="40% - 强调文字颜色 5 2 5 2 2 2 2" xfId="20811"/>
    <cellStyle name="20% - 强调文字颜色 2 2 3 7 2" xfId="20812"/>
    <cellStyle name="标题 1 2 2 3 3 2" xfId="20813"/>
    <cellStyle name="强调文字颜色 3 2 2 5" xfId="20814"/>
    <cellStyle name="计算 2 2 3 2 2 2 2 3" xfId="20815"/>
    <cellStyle name="60% - 强调文字颜色 6 4 4 2 2 2" xfId="20816"/>
    <cellStyle name="差 2 3 2 2 2 2" xfId="20817"/>
    <cellStyle name="汇总 2 2 8 2 8" xfId="20818"/>
    <cellStyle name="解释性文本 2 2 2 2 2" xfId="20819"/>
    <cellStyle name="40% - 强调文字颜色 1 2 3 3 4" xfId="20820"/>
    <cellStyle name="40% - 强调文字颜色 2 2 2 2 2 2 4 2" xfId="20821"/>
    <cellStyle name="注释 2 2 9 2 4" xfId="20822"/>
    <cellStyle name="计算 2 2 6 3 2 3 2 2" xfId="20823"/>
    <cellStyle name="计算 2 4 4 4" xfId="20824"/>
    <cellStyle name="汇总 2 5 2 3 2 2 2 2" xfId="20825"/>
    <cellStyle name="60% - 强调文字颜色 1 4 2 2" xfId="20826"/>
    <cellStyle name="强调文字颜色 1 2 2 2 2 4 3" xfId="20827"/>
    <cellStyle name="强调文字颜色 4 2 3 2 4 4" xfId="20828"/>
    <cellStyle name="40% - 强调文字颜色 2 3 3 4 2" xfId="20829"/>
    <cellStyle name="标题 6 2 4 3" xfId="20830"/>
    <cellStyle name="汇总 2 2 3 2 2 2 8" xfId="20831"/>
    <cellStyle name="常规 9 3 3 3 2 2" xfId="20832"/>
    <cellStyle name="标题 1 2 2 5 2 2" xfId="20833"/>
    <cellStyle name="20% - 强调文字颜色 5 2 3 2 2 2 2" xfId="20834"/>
    <cellStyle name="标题 4 2 2 2 3 2 2 2" xfId="20835"/>
    <cellStyle name="40% - 强调文字颜色 6 2 2 3 2 2 2 2 2" xfId="20836"/>
    <cellStyle name="输入 2 2 2 2 2 4 2 2" xfId="20837"/>
    <cellStyle name="标题 1 2 6 2 2" xfId="20838"/>
    <cellStyle name="20% - 强调文字颜色 5 6 2 2 2" xfId="20839"/>
    <cellStyle name="20% - 强调文字颜色 2 2 3 2 2 3 2 2 2" xfId="20840"/>
    <cellStyle name="强调文字颜色 2 3 5 2" xfId="20841"/>
    <cellStyle name="强调文字颜色 5 2 2 2 3 2 3" xfId="20842"/>
    <cellStyle name="输出 2 4 2 6 2" xfId="20843"/>
    <cellStyle name="好 2 3 3 5" xfId="20844"/>
    <cellStyle name="计算 4 3 4 3" xfId="20845"/>
    <cellStyle name="强调文字颜色 6 2 3 2 2 2 3" xfId="20846"/>
    <cellStyle name="强调文字颜色 3 2 2 2 2 2 2 2 2" xfId="20847"/>
    <cellStyle name="输入 2 5 2 3 9" xfId="20848"/>
    <cellStyle name="强调文字颜色 5 2 2 2 2 4 3" xfId="20849"/>
    <cellStyle name="输出 2 7 9" xfId="20850"/>
    <cellStyle name="汇总 2 3 2 2 2 2 3 2" xfId="20851"/>
    <cellStyle name="汇总 2 2 4 3 2 2 4 2 2" xfId="20852"/>
    <cellStyle name="汇总 4 2 4 2" xfId="20853"/>
    <cellStyle name="标题 1 2 3 2 2 2 2 3" xfId="20854"/>
    <cellStyle name="计算 2 2 6 6 3 2 2" xfId="20855"/>
    <cellStyle name="注释 2 2 6 6 2" xfId="20856"/>
    <cellStyle name="链接单元格 2 2 3 3 2 2 2" xfId="20857"/>
    <cellStyle name="60% - 强调文字颜色 6 2 2 2 3 2 2 3" xfId="20858"/>
    <cellStyle name="汇总 2 2 7 3 2 2" xfId="20859"/>
    <cellStyle name="强调文字颜色 1 2 2 5 2" xfId="20860"/>
    <cellStyle name="检查单元格 2 2 4 3" xfId="20861"/>
    <cellStyle name="计算 2 2 5 2 2 2 4" xfId="20862"/>
    <cellStyle name="解释性文本 2 2 2 2 7" xfId="20863"/>
    <cellStyle name="40% - 强调文字颜色 4 4 2 2 2 2" xfId="20864"/>
    <cellStyle name="输入 2 2 4 2 4 2 2 2" xfId="20865"/>
    <cellStyle name="标题 4 2 2" xfId="20866"/>
    <cellStyle name="强调文字颜色 4 2 3 2 7" xfId="20867"/>
    <cellStyle name="输出 2 2 4 3 2 5" xfId="20868"/>
    <cellStyle name="计算 2 2 4 2 3 3 3 2 2" xfId="20869"/>
    <cellStyle name="20% - 强调文字颜色 3 3 2 3" xfId="20870"/>
    <cellStyle name="汇总 2 11 2 3" xfId="20871"/>
    <cellStyle name="计算 2 4 3 5 2" xfId="20872"/>
    <cellStyle name="60% - 强调文字颜色 2 2 3 2 2 2 2" xfId="20873"/>
    <cellStyle name="强调文字颜色 3 2 2 4 4" xfId="20874"/>
    <cellStyle name="标题 2 4 2 3 3" xfId="20875"/>
    <cellStyle name="计算 2 12 3" xfId="20876"/>
    <cellStyle name="60% - 强调文字颜色 3 2 4 2 2 2" xfId="20877"/>
    <cellStyle name="输出 2 4 4" xfId="20878"/>
    <cellStyle name="输出 2 2 7 6 2" xfId="20879"/>
    <cellStyle name="输出 2 2 3 3 2 4 3" xfId="20880"/>
    <cellStyle name="输入 2 2 5 3 2 2 3" xfId="20881"/>
    <cellStyle name="强调文字颜色 5 2 3 5" xfId="20882"/>
    <cellStyle name="常规 5 2 6" xfId="20883"/>
    <cellStyle name="汇总 2 2 6 6 3 3" xfId="20884"/>
    <cellStyle name="40% - 强调文字颜色 1 2 7 2 2" xfId="20885"/>
    <cellStyle name="超链接 3 5 4 2" xfId="20886"/>
    <cellStyle name="标题 2 3 3 2 3" xfId="20887"/>
    <cellStyle name="输出 2 4 2 12" xfId="20888"/>
    <cellStyle name="标题 1 2 2 3 3" xfId="20889"/>
    <cellStyle name="20% - 强调文字颜色 2 2 3 7" xfId="20890"/>
    <cellStyle name="输出 2 2 7 6" xfId="20891"/>
    <cellStyle name="40% - 强调文字颜色 6 2 4 4 2" xfId="20892"/>
    <cellStyle name="输入 2 2 4 5 3 3" xfId="20893"/>
    <cellStyle name="计算 2 5 2 4 2 5" xfId="20894"/>
    <cellStyle name="输出 4 2 2 2" xfId="20895"/>
    <cellStyle name="适中 2 2 3 2" xfId="20896"/>
    <cellStyle name="汇总 2 2 5 4 8" xfId="20897"/>
    <cellStyle name="输出 2 5 3 2 3 2" xfId="20898"/>
    <cellStyle name="40% - 强调文字颜色 4 2 6 2" xfId="20899"/>
    <cellStyle name="常规 11 2" xfId="20900"/>
    <cellStyle name="汇总 2 3 4 5 3" xfId="20901"/>
    <cellStyle name="汇总 2 8 5 3" xfId="20902"/>
    <cellStyle name="链接单元格 2 3 4 3 2 2" xfId="20903"/>
    <cellStyle name="汇总 2 8 2 2 5" xfId="20904"/>
    <cellStyle name="输入 2 4 2 6 2" xfId="20905"/>
    <cellStyle name="差 3 3 2 2 2 2" xfId="20906"/>
    <cellStyle name="超链接 2 4 2 2 3" xfId="20907"/>
    <cellStyle name="输出 2 5 4 2" xfId="20908"/>
    <cellStyle name="60% - 强调文字颜色 6 3 4 2 2 2" xfId="20909"/>
    <cellStyle name="常规 2 3 2 2 5 2" xfId="20910"/>
    <cellStyle name="输出 2 2 7 7 2 2" xfId="20911"/>
    <cellStyle name="20% - 强调文字颜色 1 3 3 3 2" xfId="20912"/>
    <cellStyle name="注释 2 2 3 2 2 2" xfId="20913"/>
    <cellStyle name="常规 10 3 3 3" xfId="20914"/>
    <cellStyle name="40% - 强调文字颜色 4 2 2 2 2 3 2 2 2" xfId="20915"/>
    <cellStyle name="计算 2 2 6 14" xfId="20916"/>
    <cellStyle name="汇总 2 2 4 3 2 5" xfId="20917"/>
    <cellStyle name="60% - 强调文字颜色 4 2 3 4 2 2 2" xfId="20918"/>
    <cellStyle name="20% - 强调文字颜色 3 2 2 2 3 2 2" xfId="20919"/>
    <cellStyle name="计算 2 2 4 2 3 10" xfId="20920"/>
    <cellStyle name="解释性文本 3 2 2 4" xfId="20921"/>
    <cellStyle name="汇总 2 7 3 2 4 2" xfId="20922"/>
    <cellStyle name="40% - 强调文字颜色 1 4 4 2" xfId="20923"/>
    <cellStyle name="计算 2 2 5 2 2 6" xfId="20924"/>
    <cellStyle name="强调文字颜色 5 2 3 4 2 2" xfId="20925"/>
    <cellStyle name="标题 3 2 3 5 3" xfId="20926"/>
    <cellStyle name="强调文字颜色 2 2 3 5" xfId="20927"/>
    <cellStyle name="无色 2 5" xfId="20928"/>
    <cellStyle name="强调文字颜色 5 2" xfId="20929"/>
    <cellStyle name="输入 2 3 3 2 2 2 2" xfId="20930"/>
    <cellStyle name="汇总 2 2 10 2" xfId="20931"/>
    <cellStyle name="Normal 4 4" xfId="20932"/>
    <cellStyle name="输出 2 2 3 3 6" xfId="20933"/>
    <cellStyle name="60% - 强调文字颜色 3 3 3 3 2" xfId="20934"/>
    <cellStyle name="输入 2 7 10 2" xfId="20935"/>
    <cellStyle name="好 2 4 2 2 2 3" xfId="20936"/>
    <cellStyle name="汇总 2 2 4 4 7" xfId="20937"/>
    <cellStyle name="输入 2 5 2 2 3 4" xfId="20938"/>
    <cellStyle name="20% - 强调文字颜色 4 2 2 2 2 3" xfId="20939"/>
    <cellStyle name="汇总 2 4 2 2 5 2" xfId="20940"/>
    <cellStyle name="标题 3 2 2 2 4 2 2" xfId="20941"/>
    <cellStyle name="汇总 2 4 2 8 2" xfId="20942"/>
    <cellStyle name="汇总 2 2 5 2 2 3 3 2" xfId="20943"/>
    <cellStyle name="强调文字颜色 3 2 2 2 2 6" xfId="20944"/>
    <cellStyle name="强调文字颜色 1 2 2 5 3 2" xfId="20945"/>
    <cellStyle name="检查单元格 2 2 4 4 2" xfId="20946"/>
    <cellStyle name="输出 2 2 4 2 3 5" xfId="20947"/>
    <cellStyle name="汇总 2 3 2 2 2 3 2 2" xfId="20948"/>
    <cellStyle name="汇总 4 3 3 2" xfId="20949"/>
    <cellStyle name="20% - 强调文字颜色 1 2 2 3 4 2" xfId="20950"/>
    <cellStyle name="常规 6 3 2 3 3" xfId="20951"/>
    <cellStyle name="汇总 2 3 2 2 2 5 2" xfId="20952"/>
    <cellStyle name="汇总 4 5 3" xfId="20953"/>
    <cellStyle name="解释性文本 5 3" xfId="20954"/>
    <cellStyle name="汇总 2 2 2 2 4 4" xfId="20955"/>
    <cellStyle name="强调文字颜色 5 2 5 2 2 2" xfId="20956"/>
    <cellStyle name="输出 2 2 3 3 4 2" xfId="20957"/>
    <cellStyle name="输入 2 2 2 2 2 2 3 2 2" xfId="20958"/>
    <cellStyle name="强调文字颜色 2 2 2 2 2 3 3 3" xfId="20959"/>
    <cellStyle name="60% - 强调文字颜色 3 2 3 3" xfId="20960"/>
    <cellStyle name="解释性文本 2 4 10" xfId="20961"/>
    <cellStyle name="40% - 强调文字颜色 4 2 2 2 2 5" xfId="20962"/>
    <cellStyle name="计算 2 2 3 2 2 2 7" xfId="20963"/>
    <cellStyle name="输出 2 2 3 2 5 4" xfId="20964"/>
    <cellStyle name="输出 2 3 2 4 3" xfId="20965"/>
    <cellStyle name="注释 2 2 6 3 2 3" xfId="20966"/>
    <cellStyle name="好 2 2 4 2 4" xfId="20967"/>
    <cellStyle name="常规 13 4 3 4" xfId="20968"/>
    <cellStyle name="汇总 2 2 5 10 2" xfId="20969"/>
    <cellStyle name="汇总 2 6 2 5 2 2" xfId="20970"/>
    <cellStyle name="输入 2 2 3 6" xfId="20971"/>
    <cellStyle name="计算 5 3 2 2" xfId="20972"/>
    <cellStyle name="计算 2 7 5" xfId="20973"/>
    <cellStyle name="检查单元格 6" xfId="20974"/>
    <cellStyle name="40% - 强调文字颜色 2 3 4" xfId="20975"/>
    <cellStyle name="强调文字颜色 6 2 5" xfId="20976"/>
    <cellStyle name="计算 2 4 2 7 3" xfId="20977"/>
    <cellStyle name="输入 2 5 4 4" xfId="20978"/>
    <cellStyle name="计算 2 5 5 2 4 3" xfId="20979"/>
    <cellStyle name="汇总 2 8 4 3 2 2" xfId="20980"/>
    <cellStyle name="标题 4 2 3 2 4 2 3" xfId="20981"/>
    <cellStyle name="计算 2 2 4 3 2 6 2" xfId="20982"/>
    <cellStyle name="解释性文本 2 3 3 5" xfId="20983"/>
    <cellStyle name="注释 2 8" xfId="20984"/>
    <cellStyle name="计算 2 2 17 2" xfId="20985"/>
    <cellStyle name="标题 2 2 3 2 4 2 2" xfId="20986"/>
    <cellStyle name="60% - 强调文字颜色 1 2 2 4 3 2" xfId="20987"/>
    <cellStyle name="计算 2 5 2 3 6 2" xfId="20988"/>
    <cellStyle name="输出 2" xfId="20989"/>
    <cellStyle name="计算 3 4 2 2 2" xfId="20990"/>
    <cellStyle name="强调文字颜色 4 2 2 4 2 2 2" xfId="20991"/>
    <cellStyle name="常规 5 2 2 3 2 2 2" xfId="20992"/>
    <cellStyle name="输入 2 2 3 2 2 3 2" xfId="20993"/>
    <cellStyle name="汇总 2 2 6 2 3 4 2" xfId="20994"/>
    <cellStyle name="汇总 2 5 5 2 4 2" xfId="20995"/>
    <cellStyle name="计算 2 2 4 4 4 2" xfId="20996"/>
    <cellStyle name="差 2 2 3 3 4" xfId="20997"/>
    <cellStyle name="汇总 2 2 2 3 5" xfId="20998"/>
    <cellStyle name="汇总 2 6 3 2 4 2 2" xfId="20999"/>
    <cellStyle name="输出 2 10 3" xfId="21000"/>
    <cellStyle name="警告文本 2 3 3 2 3" xfId="21001"/>
    <cellStyle name="常规 4 4 2 3" xfId="21002"/>
    <cellStyle name="常规 4 3 2 3 3" xfId="21003"/>
    <cellStyle name="标题 6 2 2 3 2" xfId="21004"/>
    <cellStyle name="20% - 强调文字颜色 5 2 2 9" xfId="21005"/>
    <cellStyle name="强调文字颜色 4 2 2 2" xfId="21006"/>
    <cellStyle name="计算 2 2 4 2" xfId="21007"/>
    <cellStyle name="强调文字颜色 3 2 3 2 3 3" xfId="21008"/>
    <cellStyle name="警告文本 3 2 2 3 2" xfId="21009"/>
    <cellStyle name="输出 2 6 5 2" xfId="21010"/>
    <cellStyle name="20% - 强调文字颜色 5 3 2 2 2 2 2 2" xfId="21011"/>
    <cellStyle name="强调文字颜色 5 2 4 5" xfId="21012"/>
    <cellStyle name="20% - 强调文字颜色 4 2 2 6 2" xfId="21013"/>
    <cellStyle name="链接单元格 2 2 2 2 6 2 2" xfId="21014"/>
    <cellStyle name="超链接 3 3 4 2 2 2" xfId="21015"/>
    <cellStyle name="计算 2 2 5 2" xfId="21016"/>
    <cellStyle name="强调文字颜色 3 2 3 2 4 3" xfId="21017"/>
    <cellStyle name="汇总 2 2 5 2 2 5 3" xfId="21018"/>
    <cellStyle name="汇总 2 4 4 8" xfId="21019"/>
    <cellStyle name="强调文字颜色 1 3 7" xfId="21020"/>
    <cellStyle name="标题 5 3 4 2 2" xfId="21021"/>
    <cellStyle name="标题 5 2 2 2 4 2 2" xfId="21022"/>
    <cellStyle name="计算 2 5 2 2 2 4 2 2" xfId="21023"/>
    <cellStyle name="链接单元格 2 2 7 2 2" xfId="21024"/>
    <cellStyle name="汇总 2 5 5 2 2 3" xfId="21025"/>
    <cellStyle name="强调文字颜色 6 2 3 2 2" xfId="21026"/>
    <cellStyle name="标题 6 2 3 2 3" xfId="21027"/>
    <cellStyle name="强调文字颜色 3 2 2 3 4 3" xfId="21028"/>
    <cellStyle name="常规 2 2 3 4 2" xfId="21029"/>
    <cellStyle name="差 2 3 7" xfId="21030"/>
    <cellStyle name="汇总 3 2 2 2 5 2" xfId="21031"/>
    <cellStyle name="输入 2 2 4 2 10" xfId="21032"/>
    <cellStyle name="标题 6 3 3 2" xfId="21033"/>
    <cellStyle name="汇总 5 5 2" xfId="21034"/>
    <cellStyle name="注释 2 6 7 2" xfId="21035"/>
    <cellStyle name="强调文字颜色 4 2 2 4 5 3" xfId="21036"/>
    <cellStyle name="计算 2 2 6 3 2 7" xfId="21037"/>
    <cellStyle name="输出 2 2 4 5 3" xfId="21038"/>
    <cellStyle name="输出 2 5 2 3 3" xfId="21039"/>
    <cellStyle name="链接单元格 2 2 2 5 3" xfId="21040"/>
    <cellStyle name="40% - 强调文字颜色 6 2 2 4" xfId="21041"/>
    <cellStyle name="40% - 强调文字颜色 2 2 3 2 2 3 3" xfId="21042"/>
    <cellStyle name="输出 2 2 2 9 2" xfId="21043"/>
    <cellStyle name="差 2 2 2 3 2" xfId="21044"/>
    <cellStyle name="检查单元格 2 2 2 2 5 3" xfId="21045"/>
    <cellStyle name="输出 2 2 2 2" xfId="21046"/>
    <cellStyle name="40% - 强调文字颜色 3 2 8 2" xfId="21047"/>
    <cellStyle name="标题 4 2 2 4 3 2 2" xfId="21048"/>
    <cellStyle name="常规 2 3 2 2 4 2 2 2" xfId="21049"/>
    <cellStyle name="60% - 强调文字颜色 1 2 2 4 5" xfId="21050"/>
    <cellStyle name="常规 2 3 2 3 2 2 2" xfId="21051"/>
    <cellStyle name="输入 2 2 11 3" xfId="21052"/>
    <cellStyle name="汇总 2 2 5 3 2 4 3" xfId="21053"/>
    <cellStyle name="汇总 4 4 2 2 2" xfId="21054"/>
    <cellStyle name="警告文本 2 8" xfId="21055"/>
    <cellStyle name="计算 2 6 2 4 2 2" xfId="21056"/>
    <cellStyle name="好 2 2 3 4 3 2" xfId="21057"/>
    <cellStyle name="60% - 强调文字颜色 5 2 2 2 4 2" xfId="21058"/>
    <cellStyle name="注释 5 5 2" xfId="21059"/>
    <cellStyle name="常规 4 2 6" xfId="21060"/>
    <cellStyle name="汇总 2 2 6 5 3 3" xfId="21061"/>
    <cellStyle name="差 2 3 2 6 3" xfId="21062"/>
    <cellStyle name="输入 2 13" xfId="21063"/>
    <cellStyle name="汇总 2 4 5 4" xfId="21064"/>
    <cellStyle name="注释 2 4 5 2 4" xfId="21065"/>
    <cellStyle name="适中 2 2 2 6" xfId="21066"/>
    <cellStyle name="汇总 2 2 5 4 2 2 2" xfId="21067"/>
    <cellStyle name="40% - 强调文字颜色 6 2 2 2 6" xfId="21068"/>
    <cellStyle name="40% - 强调文字颜色 2 2 3 3 2 2 2 2" xfId="21069"/>
    <cellStyle name="汇总 2 2 5 4 2 4 2" xfId="21070"/>
    <cellStyle name="注释 2 4 5 3 3" xfId="21071"/>
    <cellStyle name="适中 2 2 3 5" xfId="21072"/>
    <cellStyle name="输入 2 2 8 7 2" xfId="21073"/>
    <cellStyle name="常规 4 3 3 4 2 2" xfId="21074"/>
    <cellStyle name="汇总 2 2 5 4 2 6" xfId="21075"/>
    <cellStyle name="注释 2 4 3 2 3 3" xfId="21076"/>
    <cellStyle name="计算 2 2 3 2 4 3 2 2" xfId="21077"/>
    <cellStyle name="标题 1 3 3 3 2 3" xfId="21078"/>
    <cellStyle name="好 2 2 2 2 6 3" xfId="21079"/>
    <cellStyle name="常规 4 2 3 2 2 4 2" xfId="21080"/>
    <cellStyle name="汇总 2 7 13" xfId="21081"/>
    <cellStyle name="60% - 强调文字颜色 4 2 2 4 3 2 2 2" xfId="21082"/>
    <cellStyle name="汇总 2 8 7 3" xfId="21083"/>
    <cellStyle name="汇总 2 6 2 8 2" xfId="21084"/>
    <cellStyle name="解释性文本 2 2 6 3 2 2" xfId="21085"/>
    <cellStyle name="强调文字颜色 5 2 2 4 5 2 2" xfId="21086"/>
    <cellStyle name="40% - 强调文字颜色 3 2 3 3 4" xfId="21087"/>
    <cellStyle name="40% - 强调文字颜色 6 6" xfId="21088"/>
    <cellStyle name="输出 3 7 2 2" xfId="21089"/>
    <cellStyle name="适中 2 3 2 4 2 2 2" xfId="21090"/>
    <cellStyle name="20% - 强调文字颜色 5 2 3 2 4 3 2 2" xfId="21091"/>
    <cellStyle name="计算 2 3 2 2 2 2 3" xfId="21092"/>
    <cellStyle name="汇总 2 2 3 6 3" xfId="21093"/>
    <cellStyle name="常规 9 2 4 2 4" xfId="21094"/>
    <cellStyle name="链接单元格 2 2 2 8" xfId="21095"/>
    <cellStyle name="注释 2 2 3 4 2" xfId="21096"/>
    <cellStyle name="常规 12 2 2 5 2" xfId="21097"/>
    <cellStyle name="强调文字颜色 4 2 5 2 3" xfId="21098"/>
    <cellStyle name="汇总 2 6 4 2 3 3" xfId="21099"/>
    <cellStyle name="解释性文本 2 2 2 2 2 2 2 2 2" xfId="21100"/>
    <cellStyle name="计算 2 9 5 2" xfId="21101"/>
    <cellStyle name="好 2 2 2 2 2 2 2 2" xfId="21102"/>
    <cellStyle name="输出 2 10 6" xfId="21103"/>
    <cellStyle name="差 3 5" xfId="21104"/>
    <cellStyle name="适中 2 3 2 3 4" xfId="21105"/>
    <cellStyle name="汇总 2 2 4 2 3 2 2 2 2" xfId="21106"/>
    <cellStyle name="计算 2 2 10 2 2 2 2" xfId="21107"/>
    <cellStyle name="好 2 2 3 2 2 3" xfId="21108"/>
    <cellStyle name="输入 2 3 2 3 2 2 2" xfId="21109"/>
    <cellStyle name="注释 2 2 4 2 2 7" xfId="21110"/>
    <cellStyle name="汇总 2 3 15" xfId="21111"/>
    <cellStyle name="40% - 强调文字颜色 4 5" xfId="21112"/>
    <cellStyle name="汇总 2 7 6 3" xfId="21113"/>
    <cellStyle name="输入 2 2 8 2 7" xfId="21114"/>
    <cellStyle name="汇总 2 2 8 2 2 7" xfId="21115"/>
    <cellStyle name="检查单元格 2 6 2 2" xfId="21116"/>
    <cellStyle name="输入 2 2 15 2" xfId="21117"/>
    <cellStyle name="汇总 2 2 7 5" xfId="21118"/>
    <cellStyle name="差 5 2 2 3" xfId="21119"/>
    <cellStyle name="超链接 2 2 2 2 2 2" xfId="21120"/>
    <cellStyle name="计算 2 8 9" xfId="21121"/>
    <cellStyle name="常规 10 3 2 4" xfId="21122"/>
    <cellStyle name="解释性文本 2 2 2 2 6 2 2" xfId="21123"/>
    <cellStyle name="计算 2 2 5 2 2 2 3 2 2" xfId="21124"/>
    <cellStyle name="解释性文本 2 2 4 2" xfId="21125"/>
    <cellStyle name="检查单元格 4 2 2 2" xfId="21126"/>
    <cellStyle name="超链接 3 5 3 2 3" xfId="21127"/>
    <cellStyle name="警告文本 2 2 2 4 2" xfId="21128"/>
    <cellStyle name="适中 2 2 3 3" xfId="21129"/>
    <cellStyle name="计算 2 5 2 4 2 6" xfId="21130"/>
    <cellStyle name="输出 4 2 2 3" xfId="21131"/>
    <cellStyle name="差 2 4 3 4" xfId="21132"/>
    <cellStyle name="汇总 2 2 6 6 2 2" xfId="21133"/>
    <cellStyle name="差 4 2 3 2 2" xfId="21134"/>
    <cellStyle name="汇总 4 2 2 2 3" xfId="21135"/>
    <cellStyle name="输出 2 2 3 2 3 2 3" xfId="21136"/>
    <cellStyle name="常规 13 2 2 2 3 2" xfId="21137"/>
    <cellStyle name="解释性文本 2 4 4 2" xfId="21138"/>
    <cellStyle name="标题 3 2 2 9" xfId="21139"/>
    <cellStyle name="汇总 2 8 2 5 2 2" xfId="21140"/>
    <cellStyle name="输入 2 2 4 2 6 3" xfId="21141"/>
    <cellStyle name="计算 2 7 2 9" xfId="21142"/>
    <cellStyle name="计算 2 2 4 4 3 3 2 2" xfId="21143"/>
    <cellStyle name="输出 2 4 3 4 2 2" xfId="21144"/>
    <cellStyle name="计算 3 2 4 2" xfId="21145"/>
    <cellStyle name="20% - 强调文字颜色 4 2 2 2 4" xfId="21146"/>
    <cellStyle name="汇总 2 2 3 2 2 2 2 2 2" xfId="21147"/>
    <cellStyle name="40% - 强调文字颜色 2 2 2 2 2 4 3 2 2" xfId="21148"/>
    <cellStyle name="标题 1 2 2 2 2 6 3" xfId="21149"/>
    <cellStyle name="标题 4 2 2 9 2" xfId="21150"/>
    <cellStyle name="链接单元格 2 2 2 2 5 2" xfId="21151"/>
    <cellStyle name="强调文字颜色 4 2 2 5 3 2 2" xfId="21152"/>
    <cellStyle name="汇总 2 6 2 3 2" xfId="21153"/>
    <cellStyle name="汇总 2 2 7 4 2 2" xfId="21154"/>
    <cellStyle name="计算 2 2 4 3 10" xfId="21155"/>
    <cellStyle name="20% - 强调文字颜色 6 2 4 4 2 2" xfId="21156"/>
    <cellStyle name="计算 2 6 10" xfId="21157"/>
    <cellStyle name="输入 3 4" xfId="21158"/>
    <cellStyle name="常规 4 2 4 5 2" xfId="21159"/>
    <cellStyle name="常规 11 3 4 2" xfId="21160"/>
    <cellStyle name="注释 2 5 2 2 8" xfId="21161"/>
    <cellStyle name="强调文字颜色 3 2 3 2" xfId="21162"/>
    <cellStyle name="输入 2 2 4 2 4 5" xfId="21163"/>
    <cellStyle name="标题 7" xfId="21164"/>
    <cellStyle name="计算 2 7 5 5" xfId="21165"/>
    <cellStyle name="计算 2 2 4 2 11" xfId="21166"/>
    <cellStyle name="20% - 强调文字颜色 1 2 2 4 2 2 2 2" xfId="21167"/>
    <cellStyle name="强调文字颜色 4 2 3 2 6" xfId="21168"/>
    <cellStyle name="标题 1 4 2 3 2 2" xfId="21169"/>
    <cellStyle name="强调文字颜色 2 2 2 4 3 2" xfId="21170"/>
    <cellStyle name="输出 2 5 6 2" xfId="21171"/>
    <cellStyle name="汇总 2 2 8 4 2 2" xfId="21172"/>
    <cellStyle name="差 3 10" xfId="21173"/>
    <cellStyle name="计算 2 3 8 2 2" xfId="21174"/>
    <cellStyle name="输入 2 3 2 3 3" xfId="21175"/>
    <cellStyle name="强调文字颜色 6 2 2 4 3 2" xfId="21176"/>
    <cellStyle name="计算 2 2 6 2 3" xfId="21177"/>
    <cellStyle name="汇总 2 7 2 3 2" xfId="21178"/>
    <cellStyle name="适中 3 3 5" xfId="21179"/>
    <cellStyle name="计算 3 9 3" xfId="21180"/>
    <cellStyle name="20% - 强调文字颜色 6 2 5 4 2 2" xfId="21181"/>
    <cellStyle name="计算 2 3 4 2 2" xfId="21182"/>
    <cellStyle name="20% - 强调文字颜色 3 2 2 2 3 5" xfId="21183"/>
    <cellStyle name="计算 2 2 8 9" xfId="21184"/>
    <cellStyle name="强调文字颜色 1 2 2 2 4 3 3" xfId="21185"/>
    <cellStyle name="计算 3 2 4 3 2 2" xfId="21186"/>
    <cellStyle name="计算 2 6 2 3 5" xfId="21187"/>
    <cellStyle name="解释性文本 2 3 2 2 3 2" xfId="21188"/>
    <cellStyle name="汇总 2 6 2 2 2 3" xfId="21189"/>
    <cellStyle name="注释 2 2 4 2 2 4 3" xfId="21190"/>
    <cellStyle name="汇总 2 2 8 2" xfId="21191"/>
    <cellStyle name="强调文字颜色 1 4 2 3" xfId="21192"/>
    <cellStyle name="汇总 2 2 2 2 2 4" xfId="21193"/>
    <cellStyle name="解释性文本 3 3" xfId="21194"/>
    <cellStyle name="输入 2 5 13" xfId="21195"/>
    <cellStyle name="常规 2 3 2 4 2 2" xfId="21196"/>
    <cellStyle name="解释性文本 2 2 4 3 3 2" xfId="21197"/>
    <cellStyle name="汇总 2 2 2 2 2 2 7" xfId="21198"/>
    <cellStyle name="差 2 4 2 2 2 2" xfId="21199"/>
    <cellStyle name="常规 10 6" xfId="21200"/>
    <cellStyle name="汇总 2 2 8 4 3" xfId="21201"/>
    <cellStyle name="汇总 2 6 2 2 2 3 2 2" xfId="21202"/>
    <cellStyle name="检查单元格 2 5 2 3" xfId="21203"/>
    <cellStyle name="强调文字颜色 1 2 5 3 2" xfId="21204"/>
    <cellStyle name="20% - 强调文字颜色 1 4 2 3 2 2" xfId="21205"/>
    <cellStyle name="常规 6 2 4 2 2 2" xfId="21206"/>
    <cellStyle name="链接单元格 2 2 6 2" xfId="21207"/>
    <cellStyle name="计算 2 5 2 2 2 3 2" xfId="21208"/>
    <cellStyle name="汇总 2 3 3 2 4 2" xfId="21209"/>
    <cellStyle name="强调文字颜色 2 2 2 4 4" xfId="21210"/>
    <cellStyle name="标题 1 4 2 3 3" xfId="21211"/>
    <cellStyle name="注释 2 5 2 2 6" xfId="21212"/>
    <cellStyle name="40% - 强调文字颜色 1 2 3 2 2 3 2 2 2" xfId="21213"/>
    <cellStyle name="计算 2 5 4 2 7" xfId="21214"/>
    <cellStyle name="计算 2 2 5 2 2 4" xfId="21215"/>
    <cellStyle name="常规 5 3 2 2" xfId="21216"/>
    <cellStyle name="标题 3 2 2 2 3 7" xfId="21217"/>
    <cellStyle name="40% - 强调文字颜色 5 2 3 2 5 2 2" xfId="21218"/>
    <cellStyle name="汇总 2 2 4 2 2 4" xfId="21219"/>
    <cellStyle name="标题 1 2 2 2 4 2" xfId="21220"/>
    <cellStyle name="汇总 2 8 8 2 2" xfId="21221"/>
    <cellStyle name="强调文字颜色 2 4 4 2" xfId="21222"/>
    <cellStyle name="强调文字颜色 3 2 2 2 2 4 4" xfId="21223"/>
    <cellStyle name="输入 3 7" xfId="21224"/>
    <cellStyle name="计算 2 6 13" xfId="21225"/>
    <cellStyle name="计算 3 2 2 2 3" xfId="21226"/>
    <cellStyle name="40% - 强调文字颜色 3 2 3 6 2" xfId="21227"/>
    <cellStyle name="汇总 2 2 2 2 2 6 2 2" xfId="21228"/>
    <cellStyle name="标题 4 2 2 6 4" xfId="21229"/>
    <cellStyle name="链接单元格 2 2 2 2 2 4" xfId="21230"/>
    <cellStyle name="常规 5 2 2" xfId="21231"/>
    <cellStyle name="汇总 2 3 3 3 2" xfId="21232"/>
    <cellStyle name="警告文本 2 2 2 5" xfId="21233"/>
    <cellStyle name="常规 9 5 2 2 3" xfId="21234"/>
    <cellStyle name="计算 2 4 5 2 2" xfId="21235"/>
    <cellStyle name="40% - 强调文字颜色 1 3 6" xfId="21236"/>
    <cellStyle name="60% - 强调文字颜色 6 2 2 4 6" xfId="21237"/>
    <cellStyle name="输入 2 5 4 2 5" xfId="21238"/>
    <cellStyle name="好 4 2 2 2 3" xfId="21239"/>
    <cellStyle name="注释 2 2 4 2 3 2 2" xfId="21240"/>
    <cellStyle name="汇总 5 6 2" xfId="21241"/>
    <cellStyle name="汇总 2 2 4 4 6" xfId="21242"/>
    <cellStyle name="好 2 4 2 2 2 2" xfId="21243"/>
    <cellStyle name="超链接 2 4 3 2 3" xfId="21244"/>
    <cellStyle name="标题 3 2 6 3" xfId="21245"/>
    <cellStyle name="汇总 3 2 2 2 2 2" xfId="21246"/>
    <cellStyle name="汇总 2 2 7 11" xfId="21247"/>
    <cellStyle name="40% - 强调文字颜色 3 2 2 2 6 2 2" xfId="21248"/>
    <cellStyle name="汇总 2 6 4 2 3 2 2" xfId="21249"/>
    <cellStyle name="计算 3 2 3 3" xfId="21250"/>
    <cellStyle name="警告文本 2 2 6 3" xfId="21251"/>
    <cellStyle name="计算 2 2 4 2 4 5 2" xfId="21252"/>
    <cellStyle name="强调文字颜色 5 2 2 2 3 2 2" xfId="21253"/>
    <cellStyle name="好 2 3 3 4" xfId="21254"/>
    <cellStyle name="超链接 3" xfId="21255"/>
    <cellStyle name="常规 4 3 4 5" xfId="21256"/>
    <cellStyle name="20% - 强调文字颜色 5 2 2 2 5 2 2 2" xfId="21257"/>
    <cellStyle name="注释 2 6 4 2 5" xfId="21258"/>
    <cellStyle name="超链接 2 2 5 3" xfId="21259"/>
    <cellStyle name="计算 2 5 2 4 2 4" xfId="21260"/>
    <cellStyle name="计算 3 3 2 3 2" xfId="21261"/>
    <cellStyle name="适中 2 2 6 4" xfId="21262"/>
    <cellStyle name="计算 2 8 4 4" xfId="21263"/>
    <cellStyle name="链接单元格 2 2 4 3 2 2" xfId="21264"/>
    <cellStyle name="输入 2 2 6 2 2 3 2" xfId="21265"/>
    <cellStyle name="汇总 2 2 6 11" xfId="21266"/>
    <cellStyle name="超链接 2 6 2" xfId="21267"/>
    <cellStyle name="计算 4 2 4 2" xfId="21268"/>
    <cellStyle name="20% - 强调文字颜色 4 3 2 2 4" xfId="21269"/>
    <cellStyle name="输出 2 4 4 4 2 2" xfId="21270"/>
    <cellStyle name="输入 3 6 2" xfId="21271"/>
    <cellStyle name="计算 3 2 2 2 2 2" xfId="21272"/>
    <cellStyle name="强调文字颜色 3 2 2 2 2 4 3 2" xfId="21273"/>
    <cellStyle name="60% - 强调文字颜色 6 2 3 3 4" xfId="21274"/>
    <cellStyle name="链接单元格 2 4 2 2 2 2 2" xfId="21275"/>
    <cellStyle name="汇总 2 2 4 2 6 3 3" xfId="21276"/>
    <cellStyle name="汇总 2 5 5 3" xfId="21277"/>
    <cellStyle name="60% - 强调文字颜色 3 2 4 5" xfId="21278"/>
    <cellStyle name="60% - 强调文字颜色 2 2 3 2 5" xfId="21279"/>
    <cellStyle name="计算 2 2 2 3 5 3" xfId="21280"/>
    <cellStyle name="输入 2 5 3 3 3" xfId="21281"/>
    <cellStyle name="计算 2 5 9 2 2" xfId="21282"/>
    <cellStyle name="汇总 2 2 2 2 7 2" xfId="21283"/>
    <cellStyle name="注释 2 2 4 3 4 2 2" xfId="21284"/>
    <cellStyle name="计算 2 4 2 9 2" xfId="21285"/>
    <cellStyle name="强调文字颜色 6 4 4" xfId="21286"/>
    <cellStyle name="注释 2 2 4 2 3" xfId="21287"/>
    <cellStyle name="40% - 强调文字颜色 2 2 2 2 3 2 2 2" xfId="21288"/>
    <cellStyle name="输入 2 6 2 2 2 3" xfId="21289"/>
    <cellStyle name="强调文字颜色 1 2 4 2 2 2 3" xfId="21290"/>
    <cellStyle name="40% - 强调文字颜色 4 3 3 2 2" xfId="21291"/>
    <cellStyle name="常规 2 2 7 2 2" xfId="21292"/>
    <cellStyle name="汇总 2 5 2 5 4" xfId="21293"/>
    <cellStyle name="标题 2 2 2" xfId="21294"/>
    <cellStyle name="计算 2 5 2 6 2 3" xfId="21295"/>
    <cellStyle name="输入 2 2 3 8 2 2" xfId="21296"/>
    <cellStyle name="强调文字颜色 4 2 4 4 2 2" xfId="21297"/>
    <cellStyle name="输出 2 8" xfId="21298"/>
    <cellStyle name="60% - 强调文字颜色 3 2 2 2 4 3 2 2" xfId="21299"/>
    <cellStyle name="输出 2 2 3 13" xfId="21300"/>
    <cellStyle name="常规 5 2 3 10" xfId="21301"/>
    <cellStyle name="输入 2 2 13 3" xfId="21302"/>
    <cellStyle name="汇总 2 2 10 2 2 2 2" xfId="21303"/>
    <cellStyle name="40% - 强调文字颜色 5 2 2 2 2 2 4 2 2" xfId="21304"/>
    <cellStyle name="计算 2 4 3 7" xfId="21305"/>
    <cellStyle name="汇总 2 7 4 5" xfId="21306"/>
    <cellStyle name="输入 4 4 3" xfId="21307"/>
    <cellStyle name="注释 2 2 3 2 2 2 2 2 2" xfId="21308"/>
    <cellStyle name="汇总 2 3 2 2 2 2" xfId="21309"/>
    <cellStyle name="检查单元格 2 4 5 2 2" xfId="21310"/>
    <cellStyle name="计算 2 2 8 2 3 3" xfId="21311"/>
    <cellStyle name="输入 2 2 2 3 4 3" xfId="21312"/>
    <cellStyle name="适中 2 4 5 3" xfId="21313"/>
    <cellStyle name="标题 2 4 5" xfId="21314"/>
    <cellStyle name="常规 10 2 2 2 2 3 2 2" xfId="21315"/>
    <cellStyle name="20% - 强调文字颜色 2 2 4 4 3 2" xfId="21316"/>
    <cellStyle name="60% - 强调文字颜色 2 3 2 2 2" xfId="21317"/>
    <cellStyle name="输入 3 2 2 7" xfId="21318"/>
    <cellStyle name="常规 3 3 7 2 3 2" xfId="21319"/>
    <cellStyle name="输出 2 2 5 2 2 3 3" xfId="21320"/>
    <cellStyle name="输出 2 2 4 2 2 3" xfId="21321"/>
    <cellStyle name="适中 2 3 2 3 2 2" xfId="21322"/>
    <cellStyle name="20% - 强调文字颜色 5 2 3 2 3 3 2" xfId="21323"/>
    <cellStyle name="计算 2 6 2 3 8" xfId="21324"/>
    <cellStyle name="注释 4 3" xfId="21325"/>
    <cellStyle name="标题 3 2 3 2 3 3 2 2" xfId="21326"/>
    <cellStyle name="汇总 2 2 4 2 2 5 3" xfId="21327"/>
    <cellStyle name="20% - 强调文字颜色 1 2 3 2 3 2 2" xfId="21328"/>
    <cellStyle name="输出 2 7 3" xfId="21329"/>
    <cellStyle name="20% - 强调文字颜色 5 3 3 2 2" xfId="21330"/>
    <cellStyle name="常规 4 2 3 2 4 2 2" xfId="21331"/>
    <cellStyle name="好 2 4 5 2 2" xfId="21332"/>
    <cellStyle name="计算 2 3 2 4 3" xfId="21333"/>
    <cellStyle name="汇总 2 6 3 2 3" xfId="21334"/>
    <cellStyle name="好 2 2 5 3" xfId="21335"/>
    <cellStyle name="汇总 2 7 5 2 2" xfId="21336"/>
    <cellStyle name="40% - 强调文字颜色 3 4 2" xfId="21337"/>
    <cellStyle name="输入 2 2 3 2 4" xfId="21338"/>
    <cellStyle name="强调文字颜色 6 2 2 7 2 2" xfId="21339"/>
    <cellStyle name="常规 9 3 3 2 2 2 2" xfId="21340"/>
    <cellStyle name="标题 1 2 2 4 2 2 2" xfId="21341"/>
    <cellStyle name="汇总 2 3 2 4 4 2" xfId="21342"/>
    <cellStyle name="注释 2 2 7 8" xfId="21343"/>
    <cellStyle name="常规 4 2 2 2 3 2 2" xfId="21344"/>
    <cellStyle name="计算 2 2 2 3" xfId="21345"/>
    <cellStyle name="输入 2 2 7 10" xfId="21346"/>
    <cellStyle name="标题 5 2 7" xfId="21347"/>
    <cellStyle name="汇总 4 3 4" xfId="21348"/>
    <cellStyle name="汇总 2 2 4 3 2 2 5 2" xfId="21349"/>
    <cellStyle name="40% - 强调文字颜色 3 2 5 3 2 2" xfId="21350"/>
    <cellStyle name="汇总 2 3 2 2 2 3 3" xfId="21351"/>
    <cellStyle name="输出 2 8 4" xfId="21352"/>
    <cellStyle name="20% - 强调文字颜色 1 2 2 3 3" xfId="21353"/>
    <cellStyle name="40% - 强调文字颜色 3 2 4 2 2 2 2" xfId="21354"/>
    <cellStyle name="计算 2 3 2 2 5 2" xfId="21355"/>
    <cellStyle name="常规 3 3 2 2 3 2" xfId="21356"/>
    <cellStyle name="60% - 强调文字颜色 3 2 2 3 3 3 2" xfId="21357"/>
    <cellStyle name="强调文字颜色 5 2 2 2 4 3" xfId="21358"/>
    <cellStyle name="强调文字颜色 6 2 2 2 4" xfId="21359"/>
    <cellStyle name="强调文字颜色 1 2 2 4 2 2 2 2" xfId="21360"/>
    <cellStyle name="检查单元格 2 2 3 3 2 2 2" xfId="21361"/>
    <cellStyle name="汇总 2 2 9 3" xfId="21362"/>
    <cellStyle name="计算 2 2 6 3 2 2" xfId="21363"/>
    <cellStyle name="汇总 2 2 2 2 2 8" xfId="21364"/>
    <cellStyle name="解释性文本 3 7" xfId="21365"/>
    <cellStyle name="汇总 2 2 6 2 2" xfId="21366"/>
    <cellStyle name="汇总 2 3 5 3 2 2" xfId="21367"/>
    <cellStyle name="强调文字颜色 4 3 2 2" xfId="21368"/>
    <cellStyle name="输出 2 2 2 3 2 2 2" xfId="21369"/>
    <cellStyle name="警告文本 4 2 2" xfId="21370"/>
    <cellStyle name="适中 2 2 3 2 2 2 2 2" xfId="21371"/>
    <cellStyle name="输出 2 4 4 9" xfId="21372"/>
    <cellStyle name="40% - 强调文字颜色 4 2 6" xfId="21373"/>
    <cellStyle name="常规 11" xfId="21374"/>
    <cellStyle name="输出 2 5 3 2 3" xfId="21375"/>
    <cellStyle name="计算 4 2 2 4 2 2" xfId="21376"/>
    <cellStyle name="常规 6 6 2 2" xfId="21377"/>
    <cellStyle name="注释 2 6 8" xfId="21378"/>
    <cellStyle name="差 2 2 3 3" xfId="21379"/>
    <cellStyle name="40% - 强调文字颜色 3 2 7 2 2 2" xfId="21380"/>
    <cellStyle name="输入 2 4 3 2 3 2" xfId="21381"/>
    <cellStyle name="检查单元格 2 3 2 2 3" xfId="21382"/>
    <cellStyle name="40% - 强调文字颜色 5 2 2 2 5" xfId="21383"/>
    <cellStyle name="汇总 2 3 2 3 4 2" xfId="21384"/>
    <cellStyle name="警告文本 2 4 3 2 2 2" xfId="21385"/>
    <cellStyle name="超链接 3 2 2 3 2 2" xfId="21386"/>
    <cellStyle name="注释 2 8 2 6" xfId="21387"/>
    <cellStyle name="计算 2 2 4 4 2 5 2" xfId="21388"/>
    <cellStyle name="强调文字颜色 5 2 2 2 2 5 3" xfId="21389"/>
    <cellStyle name="常规 2 3 5 2 2 2" xfId="21390"/>
    <cellStyle name="40% - 强调文字颜色 3 2 2 4 4 2 2" xfId="21391"/>
    <cellStyle name="超链接 2 5 3 3" xfId="21392"/>
    <cellStyle name="标题 4 2 7" xfId="21393"/>
    <cellStyle name="输入 2 2 2 10" xfId="21394"/>
    <cellStyle name="20% - 强调文字颜色 5 2 2 3 4 2 2 2" xfId="21395"/>
    <cellStyle name="适中 3 3 2 2" xfId="21396"/>
    <cellStyle name="汇总 2 8 10" xfId="21397"/>
    <cellStyle name="输入 2 2 2 9 3" xfId="21398"/>
    <cellStyle name="计算 2 2 8 8 2" xfId="21399"/>
    <cellStyle name="汇总 2 3 2 6 2 2" xfId="21400"/>
    <cellStyle name="超链接 3 5" xfId="21401"/>
    <cellStyle name="汇总 4 2 2 6" xfId="21402"/>
    <cellStyle name="注释 2 2 10 5" xfId="21403"/>
    <cellStyle name="输出 2 2 3 2 3 6" xfId="21404"/>
    <cellStyle name="汇总 3 3 5 2" xfId="21405"/>
    <cellStyle name="计算 2 2 6 2 2 2 3 2 2" xfId="21406"/>
    <cellStyle name="20% - 强调文字颜色 4 2 2 2" xfId="21407"/>
    <cellStyle name="标题 5 2 2 2 2 2 2 2" xfId="21408"/>
    <cellStyle name="汇总 2 6 2 4 4" xfId="21409"/>
    <cellStyle name="链接单元格 2" xfId="21410"/>
    <cellStyle name="计算 5 2 4" xfId="21411"/>
    <cellStyle name="计算 2 2 3 3 2 3" xfId="21412"/>
    <cellStyle name="输入 4 2 7" xfId="21413"/>
    <cellStyle name="汇总 2 2 3 2 3 2 2 2" xfId="21414"/>
    <cellStyle name="汇总 2 8 2 4 2" xfId="21415"/>
    <cellStyle name="适中 2 2 3 4 3 2" xfId="21416"/>
    <cellStyle name="注释 2 4 2 3" xfId="21417"/>
    <cellStyle name="注释 2 2 3 2 3 2 2" xfId="21418"/>
    <cellStyle name="标题 3 2 3 2 5 3" xfId="21419"/>
    <cellStyle name="汇总 2 5 2 3 6" xfId="21420"/>
    <cellStyle name="强调文字颜色 5 2 3 3 2" xfId="21421"/>
    <cellStyle name="汇总 2 2 3 4 4 2 2" xfId="21422"/>
    <cellStyle name="常规 3 2 4 2" xfId="21423"/>
    <cellStyle name="计算 2 4 4 8" xfId="21424"/>
    <cellStyle name="汇总 2 7 5 6" xfId="21425"/>
    <cellStyle name="常规 5 2 5 4" xfId="21426"/>
    <cellStyle name="输入 2 2 6 5 2 2" xfId="21427"/>
    <cellStyle name="标题 4 2 2 4 2" xfId="21428"/>
    <cellStyle name="汇总 2 2 4 2 3 3 4" xfId="21429"/>
    <cellStyle name="计算 2 7 15" xfId="21430"/>
    <cellStyle name="汇总 2 2 5 2 8" xfId="21431"/>
    <cellStyle name="40% - 强调文字颜色 1 2 9 2" xfId="21432"/>
    <cellStyle name="标题 4 2 2 2 3 3 2" xfId="21433"/>
    <cellStyle name="链接单元格 2 2 2 4 4" xfId="21434"/>
    <cellStyle name="标题 4 2 4 8" xfId="21435"/>
    <cellStyle name="常规 9 3 2 3 4" xfId="21436"/>
    <cellStyle name="汇总 2 3 3 2 8" xfId="21437"/>
    <cellStyle name="输出 2 4 3 2 3 3" xfId="21438"/>
    <cellStyle name="注释 5 2 4" xfId="21439"/>
    <cellStyle name="输入 2 9 2 2" xfId="21440"/>
    <cellStyle name="标题 5 6 3 3" xfId="21441"/>
    <cellStyle name="常规 3 4 3" xfId="21442"/>
    <cellStyle name="40% - 强调文字颜色 1 5 2 2 2" xfId="21443"/>
    <cellStyle name="计算 2 2 7 2 3 2 2" xfId="21444"/>
    <cellStyle name="汇总 2 2 7 3 2 3 2 2" xfId="21445"/>
    <cellStyle name="汇总 2 6 3 3" xfId="21446"/>
    <cellStyle name="好 2 2 6" xfId="21447"/>
    <cellStyle name="强调文字颜色 3 2 5 2" xfId="21448"/>
    <cellStyle name="输出 2 2 3 2 3 5 2 2" xfId="21449"/>
    <cellStyle name="计算 2 2 2 2 2 3 2" xfId="21450"/>
    <cellStyle name="计算 2 2 4 2 6 2" xfId="21451"/>
    <cellStyle name="输出 2 10 4" xfId="21452"/>
    <cellStyle name="计算 2 2 7 3 2 3 3" xfId="21453"/>
    <cellStyle name="60% - 强调文字颜色 2 2 3 2" xfId="21454"/>
    <cellStyle name="标题 1 2 3 6 2 2" xfId="21455"/>
    <cellStyle name="注释 2 2 4 3 2 2 2 2" xfId="21456"/>
    <cellStyle name="20% - 强调文字颜色 4 2 7 3 2" xfId="21457"/>
    <cellStyle name="常规 9 4 2 2" xfId="21458"/>
    <cellStyle name="差 3 5 2 2 2" xfId="21459"/>
    <cellStyle name="输入 2 7 12" xfId="21460"/>
    <cellStyle name="常规 4 2 5 2 2 2" xfId="21461"/>
    <cellStyle name="常规 8 4 3" xfId="21462"/>
    <cellStyle name="20% - 强调文字颜色 3 2 2 3 2" xfId="21463"/>
    <cellStyle name="汇总 2 3 5 5" xfId="21464"/>
    <cellStyle name="强调文字颜色 3 2 4 4 3 2" xfId="21465"/>
    <cellStyle name="60% - 强调文字颜色 5 2 2 3 2 2 2" xfId="21466"/>
    <cellStyle name="警告文本 3 3 3 2" xfId="21467"/>
    <cellStyle name="计算 3 3 3" xfId="21468"/>
    <cellStyle name="60% - 强调文字颜色 2 2 9" xfId="21469"/>
    <cellStyle name="好 2 3 2 4 2 3" xfId="21470"/>
    <cellStyle name="输入 2 5 2 4 4" xfId="21471"/>
    <cellStyle name="汇总 2 9 2 4 3" xfId="21472"/>
    <cellStyle name="注释 2 9 2 2 2" xfId="21473"/>
    <cellStyle name="输入 2 7 2 4 2 2" xfId="21474"/>
    <cellStyle name="注释 3 2 6 2 2" xfId="21475"/>
    <cellStyle name="汇总 2 6 4 6" xfId="21476"/>
    <cellStyle name="汇总 3 2 6 2" xfId="21477"/>
    <cellStyle name="20% - 强调文字颜色 1 2 2 5 2 2" xfId="21478"/>
    <cellStyle name="40% - 强调文字颜色 1 2 2 3 4 2 2 2" xfId="21479"/>
    <cellStyle name="汇总 2 6 2 5 3" xfId="21480"/>
    <cellStyle name="汇总 2 2 5 11" xfId="21481"/>
    <cellStyle name="计算 2 2 4 3 2 7" xfId="21482"/>
    <cellStyle name="常规 3 3 3 5" xfId="21483"/>
    <cellStyle name="强调文字颜色 2 2 5 2" xfId="21484"/>
    <cellStyle name="注释 2 2 7 2 4 2" xfId="21485"/>
    <cellStyle name="强调文字颜色 5 2 2 2 2 2 3" xfId="21486"/>
    <cellStyle name="好 2 2 3 5" xfId="21487"/>
    <cellStyle name="标题 2 2 3 3 6" xfId="21488"/>
    <cellStyle name="计算 2 2 6 3 3" xfId="21489"/>
    <cellStyle name="汇总 2 7 2 4 2" xfId="21490"/>
    <cellStyle name="强调文字颜色 6 2 2 4 4 2" xfId="21491"/>
    <cellStyle name="汇总 2 2 8 4 3 2" xfId="21492"/>
    <cellStyle name="输入 2 3 2 4 3" xfId="21493"/>
    <cellStyle name="常规 3 2 3" xfId="21494"/>
    <cellStyle name="输出 2 4 5 4 3" xfId="21495"/>
    <cellStyle name="差 3 4" xfId="21496"/>
    <cellStyle name="警告文本 2 2 2 5 2 2" xfId="21497"/>
    <cellStyle name="汇总 2 10 8" xfId="21498"/>
    <cellStyle name="汇总 2 3 3 3 2 2 2" xfId="21499"/>
    <cellStyle name="40% - 强调文字颜色 1 2 2 4 2 3" xfId="21500"/>
    <cellStyle name="60% - 强调文字颜色 6 2 2 2 2 2 2" xfId="21501"/>
    <cellStyle name="无色 3 3" xfId="21502"/>
    <cellStyle name="强调文字颜色 2 2 3 2 3 3 3" xfId="21503"/>
    <cellStyle name="汇总 2 4 2 2 3 4" xfId="21504"/>
    <cellStyle name="输入 7 3" xfId="21505"/>
    <cellStyle name="检查单元格 2 4 6 2 2" xfId="21506"/>
    <cellStyle name="20% - 强调文字颜色 6 2 2 2 3 2 2 2 2" xfId="21507"/>
    <cellStyle name="汇总 2 3 2 3 2 2" xfId="21508"/>
    <cellStyle name="汇总 2 2 4 2 3 3 4 2" xfId="21509"/>
    <cellStyle name="标题 4 2 2 4 2 2" xfId="21510"/>
    <cellStyle name="汇总 2 4 2 3" xfId="21511"/>
    <cellStyle name="输入 2 2 5 4 7" xfId="21512"/>
    <cellStyle name="强调文字颜色 6 2 3 4 3 2 2" xfId="21513"/>
    <cellStyle name="汇总 2 8 2 3 2 2" xfId="21514"/>
    <cellStyle name="输出 2 3 2 12" xfId="21515"/>
    <cellStyle name="计算 2 2 3 2 2 9" xfId="21516"/>
    <cellStyle name="常规 5 3 4 2 3 3" xfId="21517"/>
    <cellStyle name="20% - 强调文字颜色 6 2 2 5 3" xfId="21518"/>
    <cellStyle name="汇总 3 11 2" xfId="21519"/>
    <cellStyle name="好 2 2 2" xfId="21520"/>
    <cellStyle name="注释 3 2 5 2 2" xfId="21521"/>
    <cellStyle name="输入 2 7 2 3 2 2" xfId="21522"/>
    <cellStyle name="汇总 2 5 4 6" xfId="21523"/>
    <cellStyle name="计算 2 2 3 8" xfId="21524"/>
    <cellStyle name="输出 2 2 3 3 2 3 2 2" xfId="21525"/>
    <cellStyle name="常规 3 2 2 2 2 3 2 2" xfId="21526"/>
    <cellStyle name="60% - 强调文字颜色 6 2 3 4 2 2 3" xfId="21527"/>
    <cellStyle name="标题 2 3 5 2 2" xfId="21528"/>
    <cellStyle name="60% - 强调文字颜色 1 2 2 3 2 2" xfId="21529"/>
    <cellStyle name="常规 13 2 2 4 3" xfId="21530"/>
    <cellStyle name="40% - 强调文字颜色 2 2 3 2 5 2 2 2" xfId="21531"/>
    <cellStyle name="常规 2 2 2 4 3 2 2" xfId="21532"/>
    <cellStyle name="40% - 强调文字颜色 1 2 2 2 2 2 3 3" xfId="21533"/>
    <cellStyle name="强调文字颜色 5 2 5 3 3" xfId="21534"/>
    <cellStyle name="标题 1 2 3 2 5" xfId="21535"/>
    <cellStyle name="强调文字颜色 1 3 2 2" xfId="21536"/>
    <cellStyle name="20% - 强调文字颜色 2 2 2 2 2 2 2 2 2 2 2" xfId="21537"/>
    <cellStyle name="20% - 强调文字颜色 2 2 2 3 3 2 2" xfId="21538"/>
    <cellStyle name="汇总 2 3 2 3 2 2 2" xfId="21539"/>
    <cellStyle name="强调文字颜色 5 3 5" xfId="21540"/>
    <cellStyle name="计算 2 5 2 3 2 4 2 2" xfId="21541"/>
    <cellStyle name="常规 13 2 2 4" xfId="21542"/>
    <cellStyle name="汇总 2 2 7 8 2" xfId="21543"/>
    <cellStyle name="20% - 强调文字颜色 5 2 3 2 3 2 2 2" xfId="21544"/>
    <cellStyle name="超链接 3 2 2 3" xfId="21545"/>
    <cellStyle name="警告文本 2 3 2 2 3 2" xfId="21546"/>
    <cellStyle name="差 2 7 2" xfId="21547"/>
    <cellStyle name="强调文字颜色 1 4" xfId="21548"/>
    <cellStyle name="计算 2 2 10 8" xfId="21549"/>
    <cellStyle name="汇总 2 2 4 2 3 8" xfId="21550"/>
    <cellStyle name="标题 3 2 2 3 4" xfId="21551"/>
    <cellStyle name="强调文字颜色 1 2 3 3 2 2 2" xfId="21552"/>
    <cellStyle name="检查单元格 2 3 2 3 2 2" xfId="21553"/>
    <cellStyle name="常规 7 2 2 2 2 3" xfId="21554"/>
    <cellStyle name="注释 3 4" xfId="21555"/>
    <cellStyle name="常规 4 2 3 2 2 3 2 2" xfId="21556"/>
    <cellStyle name="计算 2 6 2 2 9" xfId="21557"/>
    <cellStyle name="60% - 强调文字颜色 2 2 2 6 2 2 2" xfId="21558"/>
    <cellStyle name="20% - 强调文字颜色 3 2 3 3 2 2 2 2" xfId="21559"/>
    <cellStyle name="计算 2 5 2 4 4 2" xfId="21560"/>
    <cellStyle name="输入 2 14 2" xfId="21561"/>
    <cellStyle name="汇总 2 4 3 3 3 2" xfId="21562"/>
    <cellStyle name="计算 2 2 7 2" xfId="21563"/>
    <cellStyle name="注释 3 8 2 2" xfId="21564"/>
    <cellStyle name="解释性文本 2 3 2 3 3" xfId="21565"/>
    <cellStyle name="输出 2 2 2 4 7" xfId="21566"/>
    <cellStyle name="强调文字颜色 3 2 5 3 3" xfId="21567"/>
    <cellStyle name="适中 5 3" xfId="21568"/>
    <cellStyle name="输入 2 4 3 2 2 2" xfId="21569"/>
    <cellStyle name="注释" xfId="21570" builtinId="10"/>
    <cellStyle name="输入 2 2 6 2 2 2" xfId="21571"/>
    <cellStyle name="20% - 强调文字颜色 4 2 2 2 2 2 4 3" xfId="21572"/>
    <cellStyle name="好 2 2 2 3 6" xfId="21573"/>
    <cellStyle name="汇总 2 2 4 5 2 3 2 2" xfId="21574"/>
    <cellStyle name="20% - 强调文字颜色 1 2 4 2 2 2 2" xfId="21575"/>
    <cellStyle name="60% - 强调文字颜色 6 2 5 3 2" xfId="21576"/>
    <cellStyle name="60% - 强调文字颜色 3 2 2 2 6" xfId="21577"/>
    <cellStyle name="20% - 强调文字颜色 5 3 3 4" xfId="21578"/>
    <cellStyle name="计算 2 5 4 2 4 2 2" xfId="21579"/>
    <cellStyle name="注释 2 6 3 2 3" xfId="21580"/>
    <cellStyle name="常规 2 3 4 2 2 2" xfId="21581"/>
    <cellStyle name="40% - 强调文字颜色 3 2 2 3 4 2 2" xfId="21582"/>
    <cellStyle name="计算 2 2 3 9" xfId="21583"/>
    <cellStyle name="计算 2 3 3 6 2 2" xfId="21584"/>
    <cellStyle name="输出 2 4 2 2 3 2 2 2" xfId="21585"/>
    <cellStyle name="输入 2 2 4 4 3 2" xfId="21586"/>
    <cellStyle name="汇总 2 6 4 4 2 2" xfId="21587"/>
    <cellStyle name="输出 2 2 5 3 3 2" xfId="21588"/>
    <cellStyle name="20% - 强调文字颜色 5 2 2 4 2 2" xfId="21589"/>
    <cellStyle name="标题 3 4 3 2" xfId="21590"/>
    <cellStyle name="输入 2 7 8 2" xfId="21591"/>
    <cellStyle name="强调文字颜色 1 2 2 2 6 2" xfId="21592"/>
    <cellStyle name="注释 3 3 2 2" xfId="21593"/>
    <cellStyle name="40% - 强调文字颜色 3 4 3" xfId="21594"/>
    <cellStyle name="输入 2 2 3 2 5" xfId="21595"/>
    <cellStyle name="汇总 2 7 5 2 3" xfId="21596"/>
    <cellStyle name="计算 2 4 4 4 3" xfId="21597"/>
    <cellStyle name="40% - 强调文字颜色 1 2 5 5 2" xfId="21598"/>
    <cellStyle name="超链接 3 3 7 2" xfId="21599"/>
    <cellStyle name="输出 2 2 2 3 9" xfId="21600"/>
    <cellStyle name="60% - 强调文字颜色 2 2 2 4 2 3 2" xfId="21601"/>
    <cellStyle name="汇总 4 2 3 5" xfId="21602"/>
    <cellStyle name="超链接 3 5 3 4" xfId="21603"/>
    <cellStyle name="汇总 3 3 4 2" xfId="21604"/>
    <cellStyle name="标题 5 2 5 2 2 2" xfId="21605"/>
    <cellStyle name="常规 6 2 2 4 3" xfId="21606"/>
    <cellStyle name="输入 2 5 2 4 6" xfId="21607"/>
    <cellStyle name="汇总 3 3 2 3" xfId="21608"/>
    <cellStyle name="常规 6 2 2 2 4" xfId="21609"/>
    <cellStyle name="输出 2 2 3 2 2 6" xfId="21610"/>
    <cellStyle name="强调文字颜色 4 6 2" xfId="21611"/>
    <cellStyle name="输出 2 2 2 3 5 2" xfId="21612"/>
    <cellStyle name="强调文字颜色 5 5 2 2" xfId="21613"/>
    <cellStyle name="输出 2 2 2 4 4 2 2" xfId="21614"/>
    <cellStyle name="输入 2 2 4 2 3 3 2" xfId="21615"/>
    <cellStyle name="汇总 3 2 2 4" xfId="21616"/>
    <cellStyle name="注释 2 4 4 2 4" xfId="21617"/>
    <cellStyle name="强调文字颜色 4 2 2 2 2 3 4" xfId="21618"/>
    <cellStyle name="计算 3 2 8" xfId="21619"/>
    <cellStyle name="60% - 强调文字颜色 6 2 4 3 2 3" xfId="21620"/>
    <cellStyle name="40% - 强调文字颜色 4 2 2 2 6 2 2 2" xfId="21621"/>
    <cellStyle name="输出 2 2 4 4 2 2 2" xfId="21622"/>
    <cellStyle name="警告文本 2 3 3 2" xfId="21623"/>
    <cellStyle name="输出 2 10" xfId="21624"/>
    <cellStyle name="20% - 强调文字颜色 2 3 2 2 4 2" xfId="21625"/>
    <cellStyle name="汇总 2 2 7 8" xfId="21626"/>
    <cellStyle name="输入 2 15 2 2" xfId="21627"/>
    <cellStyle name="链接单元格 2 2 2 4 2 2" xfId="21628"/>
    <cellStyle name="40% - 强调文字颜色 3 2 3 4 3 2" xfId="21629"/>
    <cellStyle name="警告文本 2 3 4" xfId="21630"/>
    <cellStyle name="注释 2 2 3 5 4 2" xfId="21631"/>
    <cellStyle name="计算 2 2 2 15" xfId="21632"/>
    <cellStyle name="强调文字颜色 2" xfId="21633" builtinId="33"/>
    <cellStyle name="强调文字颜色 2 2 8" xfId="21634"/>
    <cellStyle name="输出 2 4 3 3 2 2 2" xfId="21635"/>
    <cellStyle name="计算 3 8 2 2" xfId="21636"/>
    <cellStyle name="输出 5 2 3 2" xfId="21637"/>
    <cellStyle name="汇总 3 2 3 2 3" xfId="21638"/>
    <cellStyle name="适中 3 2 4 2" xfId="21639"/>
    <cellStyle name="百分比 2 2 2 2 2 2 3" xfId="21640"/>
    <cellStyle name="输出 2 5 2 6 2" xfId="21641"/>
    <cellStyle name="强调文字颜色 5 2 2 3 3 2 3" xfId="21642"/>
    <cellStyle name="60% - 强调文字颜色 6 2 3 2 5 2 2" xfId="21643"/>
    <cellStyle name="输出 2 2 7 2" xfId="21644"/>
    <cellStyle name="计算 2 2 6 4" xfId="21645"/>
    <cellStyle name="汇总 2 2 3 2 4 2 2" xfId="21646"/>
    <cellStyle name="强调文字颜色 3 2 3 4 2 2 2" xfId="21647"/>
    <cellStyle name="常规 5 4 3 2 4 2" xfId="21648"/>
    <cellStyle name="汇总 2 2 4 2 2 2 2 5 2" xfId="21649"/>
    <cellStyle name="标题 1 2 3 5 2 2" xfId="21650"/>
    <cellStyle name="常规 9 3 4 3 2 2" xfId="21651"/>
    <cellStyle name="汇总 2 4 2 2 3" xfId="21652"/>
    <cellStyle name="差 2 3 4 3 2" xfId="21653"/>
    <cellStyle name="汇总 2 6 2 3" xfId="21654"/>
    <cellStyle name="20% - 强调文字颜色 4 2 2 2 2 4 2 2 2" xfId="21655"/>
    <cellStyle name="输入 2 2 8 2 3" xfId="21656"/>
    <cellStyle name="警告文本 2 2 2 2 4 4" xfId="21657"/>
    <cellStyle name="汇总 2 2 6 2 5" xfId="21658"/>
    <cellStyle name="计算 2 4 3 3 5" xfId="21659"/>
    <cellStyle name="强调文字颜色 6 2 2 2 2 2 2" xfId="21660"/>
    <cellStyle name="适中 3 2 3 2" xfId="21661"/>
    <cellStyle name="输出 5 2 2 2" xfId="21662"/>
    <cellStyle name="输入 2 5 3 2 4 3" xfId="21663"/>
    <cellStyle name="常规 5 5 2 3 4 2" xfId="21664"/>
    <cellStyle name="20% - 强调文字颜色 4 2 3 2 3 2" xfId="21665"/>
    <cellStyle name="60% - 强调文字颜色 5 2 4 4 2 2" xfId="21666"/>
    <cellStyle name="好 3 4 2 2 2" xfId="21667"/>
    <cellStyle name="注释 2 4 2 7 3" xfId="21668"/>
    <cellStyle name="计算 2 5 5 5" xfId="21669"/>
    <cellStyle name="好 2 2 2 2 5 3" xfId="21670"/>
    <cellStyle name="常规 4 2 3 2 2 3 2" xfId="21671"/>
    <cellStyle name="汇总 2 8 6 3" xfId="21672"/>
    <cellStyle name="汇总 2 2 2 2 2 5 3" xfId="21673"/>
    <cellStyle name="解释性文本 3 4 3" xfId="21674"/>
    <cellStyle name="汇总 2 5 2 12 2" xfId="21675"/>
    <cellStyle name="输入 2 5 3 2 2 2 2" xfId="21676"/>
    <cellStyle name="适中 2 3 2 3" xfId="21677"/>
    <cellStyle name="常规 4 2 2 2 2 2" xfId="21678"/>
    <cellStyle name="输出 2 2 3 3 3 2 2 2" xfId="21679"/>
    <cellStyle name="60% - 强调文字颜色 2 2 2 3 4 3 2" xfId="21680"/>
    <cellStyle name="注释 2 2 5 2 2 5" xfId="21681"/>
    <cellStyle name="超链接 2 2 4" xfId="21682"/>
    <cellStyle name="计算 2 5" xfId="21683"/>
    <cellStyle name="注释 2 5 9" xfId="21684"/>
    <cellStyle name="汇总 2 3 12 2" xfId="21685"/>
    <cellStyle name="检查单元格 2 2 3 3 4" xfId="21686"/>
    <cellStyle name="注释 2 6 2 2 2" xfId="21687"/>
    <cellStyle name="常规 25 2" xfId="21688"/>
    <cellStyle name="20% - 强调文字颜色 5 2 3 3" xfId="21689"/>
    <cellStyle name="输入 2 2 6 10" xfId="21690"/>
    <cellStyle name="汇总 2 8 5 4 2" xfId="21691"/>
    <cellStyle name="输出 2 4 2 3 2 2 3" xfId="21692"/>
    <cellStyle name="输出 2 2 2 2 5 3" xfId="21693"/>
    <cellStyle name="汇总 3 2" xfId="21694"/>
    <cellStyle name="计算 2 5 4 6 2" xfId="21695"/>
    <cellStyle name="注释 2 7 2 3" xfId="21696"/>
    <cellStyle name="输出 2 4 9 2" xfId="21697"/>
    <cellStyle name="计算 2 2 6 3 2 3" xfId="21698"/>
    <cellStyle name="汇总 2 5 2 3 2 2" xfId="21699"/>
    <cellStyle name="常规 2 3 7 2" xfId="21700"/>
    <cellStyle name="注释 2 6 3 2" xfId="21701"/>
    <cellStyle name="标题 6 3 2" xfId="21702"/>
    <cellStyle name="标题 5 2 3 2 2" xfId="21703"/>
    <cellStyle name="注释 2 4 3 2 4" xfId="21704"/>
    <cellStyle name="60% - 强调文字颜色 4 2 2 2 3 2 2 2 2" xfId="21705"/>
    <cellStyle name="适中 2 2 2" xfId="21706"/>
    <cellStyle name="标题 5 2 4 5 2 2" xfId="21707"/>
    <cellStyle name="汇总 2 3 6 4 2" xfId="21708"/>
    <cellStyle name="计算 2 2 7 3 4 2" xfId="21709"/>
    <cellStyle name="输出 2 2 5 4 5" xfId="21710"/>
    <cellStyle name="汇总 2 5 4 3 3 2" xfId="21711"/>
    <cellStyle name="强调文字颜色 3 2 2 2 2 5" xfId="21712"/>
    <cellStyle name="输出 2 6 2 2 3" xfId="21713"/>
    <cellStyle name="强调文字颜色 1 2 2 2 2 5 3" xfId="21714"/>
    <cellStyle name="60% - 强调文字颜色 4 2 3 2 2 2 2" xfId="21715"/>
    <cellStyle name="汇总 2 2 7 2 2" xfId="21716"/>
    <cellStyle name="汇总 2 5 2 5 5" xfId="21717"/>
    <cellStyle name="60% - 强调文字颜色 2 3 2 3 2 2 2" xfId="21718"/>
    <cellStyle name="计算 2 5 2 2 5 2" xfId="21719"/>
    <cellStyle name="汇总 2 2 4 2 3 2 3" xfId="21720"/>
    <cellStyle name="百分比 2 2 3 5" xfId="21721"/>
    <cellStyle name="常规 11 2 2 3 3 2" xfId="21722"/>
    <cellStyle name="常规 9 2" xfId="21723"/>
    <cellStyle name="汇总 2 5 2 8 2" xfId="21724"/>
    <cellStyle name="输入 2 4 10" xfId="21725"/>
    <cellStyle name="汇总 2 2 8 2 3 2" xfId="21726"/>
    <cellStyle name="20% - 强调文字颜色 4 2 2 3 3 2 2 2" xfId="21727"/>
    <cellStyle name="汇总 2 5 2 8 3" xfId="21728"/>
    <cellStyle name="强调文字颜色 3 2 2 2 2 3 3 2 2" xfId="21729"/>
    <cellStyle name="强调文字颜色 5 2 6 3" xfId="21730"/>
    <cellStyle name="差 2 2 3 6" xfId="21731"/>
    <cellStyle name="常规 5 3 2" xfId="21732"/>
    <cellStyle name="20% - 强调文字颜色 4 2 3 4 2 2 2" xfId="21733"/>
    <cellStyle name="汇总 2 2 7 2" xfId="21734"/>
    <cellStyle name="汇总 2 5 7 2 2" xfId="21735"/>
    <cellStyle name="常规 4 2 3 2 3 2" xfId="21736"/>
    <cellStyle name="强调文字颜色 3 2 2 2 2 4 2 2 2" xfId="21737"/>
    <cellStyle name="计算 2 5 15" xfId="21738"/>
    <cellStyle name="好 2 3 2 4" xfId="21739"/>
    <cellStyle name="警告文本 2 2 2 3 2 2 2" xfId="21740"/>
    <cellStyle name="好 2 2 2 2 4 2 2 2" xfId="21741"/>
    <cellStyle name="输入 4 2 2 2 2 2" xfId="21742"/>
    <cellStyle name="输出 2 5 3 4 2" xfId="21743"/>
    <cellStyle name="汇总 2 2 2 3 2 7" xfId="21744"/>
    <cellStyle name="注释 3 4 2 2 2" xfId="21745"/>
    <cellStyle name="计算 2 4 2 6 2 2" xfId="21746"/>
    <cellStyle name="输出 2 5 4 8" xfId="21747"/>
    <cellStyle name="标题 1 2 3 5 3" xfId="21748"/>
    <cellStyle name="常规 9 3 4 3 3" xfId="21749"/>
    <cellStyle name="汇总 2 3 3 7 2" xfId="21750"/>
    <cellStyle name="计算 2 3 4 3" xfId="21751"/>
    <cellStyle name="好 2 4 4" xfId="21752"/>
    <cellStyle name="汇总 2 5 5 2 3 2 2" xfId="21753"/>
    <cellStyle name="汇总 2 2 4 3 3 4 3" xfId="21754"/>
    <cellStyle name="汇总 2 2 5 4 2 5 2" xfId="21755"/>
    <cellStyle name="注释 2 4 3 2 3 2 2" xfId="21756"/>
    <cellStyle name="计算 2 3 4 3 2" xfId="21757"/>
    <cellStyle name="输出 2 4 2 2 2 8" xfId="21758"/>
    <cellStyle name="计算 2 2 9 9" xfId="21759"/>
    <cellStyle name="标题 1 2 3 5 2 2 3" xfId="21760"/>
    <cellStyle name="标题 1 3 3 2" xfId="21761"/>
    <cellStyle name="40% - 强调文字颜色 4 2 3 3 5" xfId="21762"/>
    <cellStyle name="警告文本 6" xfId="21763"/>
    <cellStyle name="注释 4 3 2 2 2" xfId="21764"/>
    <cellStyle name="输出 2 2 7 2 6" xfId="21765"/>
    <cellStyle name="汇总 4 7 2 2" xfId="21766"/>
    <cellStyle name="汇总 2 2 8 4 6" xfId="21767"/>
    <cellStyle name="强调文字颜色 2 2 2 3 3 2 2" xfId="21768"/>
    <cellStyle name="标题 1 4 2 2 2 2 2" xfId="21769"/>
    <cellStyle name="强调文字颜色 4 2 4 8" xfId="21770"/>
    <cellStyle name="20% - 强调文字颜色 4 2 2 6 2 2" xfId="21771"/>
    <cellStyle name="20% - 强调文字颜色 5 2 3 2 4 3" xfId="21772"/>
    <cellStyle name="输入 2 2 6 3 6" xfId="21773"/>
    <cellStyle name="20% - 强调文字颜色 3 2 2 5 2 2 2" xfId="21774"/>
    <cellStyle name="计算 2 8 3 2 5" xfId="21775"/>
    <cellStyle name="输入 2 2 2 2 3 2" xfId="21776"/>
    <cellStyle name="常规 3 3 8 2 2" xfId="21777"/>
    <cellStyle name="常规 5 2 5 3 4" xfId="21778"/>
    <cellStyle name="链接单元格 2 2 4 5" xfId="21779"/>
    <cellStyle name="汇总 3 2 2 5 3" xfId="21780"/>
    <cellStyle name="常规 9 4 2 4" xfId="21781"/>
    <cellStyle name="计算 2 4 4 2 3 3" xfId="21782"/>
    <cellStyle name="计算 2 5 2 4 5" xfId="21783"/>
    <cellStyle name="注释 2 4 2 4 2 5" xfId="21784"/>
    <cellStyle name="标题 1 2 2 7 3" xfId="21785"/>
    <cellStyle name="20% - 强调文字颜色 4 2 10" xfId="21786"/>
    <cellStyle name="解释性文本 3 7 3" xfId="21787"/>
    <cellStyle name="汇总 2 2 6 2 2 3" xfId="21788"/>
    <cellStyle name="超链接 3 6 3" xfId="21789"/>
    <cellStyle name="计算 3 2 2" xfId="21790"/>
    <cellStyle name="60% - 强调文字颜色 2 4 2 2 2 2" xfId="21791"/>
    <cellStyle name="计算 2 2 6 3 2 2 3" xfId="21792"/>
    <cellStyle name="注释 2 4 2" xfId="21793"/>
    <cellStyle name="强调文字颜色 1 2 2 6 3 2 2" xfId="21794"/>
    <cellStyle name="汇总 2 5 5 2 4 3" xfId="21795"/>
    <cellStyle name="汇总 2 8 2 2" xfId="21796"/>
    <cellStyle name="输入 2 2 5 4 2 2 2 2" xfId="21797"/>
    <cellStyle name="强调文字颜色 6 2 3 4 2" xfId="21798"/>
    <cellStyle name="检查单元格 2 2 2 2 2 2" xfId="21799"/>
    <cellStyle name="链接单元格 2 2 3 6" xfId="21800"/>
    <cellStyle name="常规 5 2 5 2 5" xfId="21801"/>
    <cellStyle name="汇总 2 2 2 3 2" xfId="21802"/>
    <cellStyle name="60% - 强调文字颜色 1 2 4 2 2 2 2" xfId="21803"/>
    <cellStyle name="汇总 2 2 7 3 2 4 2" xfId="21804"/>
    <cellStyle name="输入 2 4 2 2 7" xfId="21805"/>
    <cellStyle name="标题 3 2 2 2 3 2 2 2 2 2" xfId="21806"/>
    <cellStyle name="60% - 强调文字颜色 2 3 5" xfId="21807"/>
    <cellStyle name="常规 10 2 2 2 2 6" xfId="21808"/>
    <cellStyle name="好 2 3 6 2 2" xfId="21809"/>
    <cellStyle name="计算 2 9 6 3" xfId="21810"/>
    <cellStyle name="标题 4 2 2 4 5 2" xfId="21811"/>
    <cellStyle name="60% - 强调文字颜色 6 2 2 2 4 2 2 3" xfId="21812"/>
    <cellStyle name="链接单元格 2 2 3 4 2 2 2" xfId="21813"/>
    <cellStyle name="汇总 2 5 5 2 2 2 2" xfId="21814"/>
    <cellStyle name="计算 2 2 4 4 2 2 2" xfId="21815"/>
    <cellStyle name="计算 2 5 5 5 2" xfId="21816"/>
    <cellStyle name="40% - 强调文字颜色 1 2 2 2 4 2 2" xfId="21817"/>
    <cellStyle name="适中 2 2 2 2 3 2 2 2" xfId="21818"/>
    <cellStyle name="标题 2 3 2 4 2 3" xfId="21819"/>
    <cellStyle name="计算 2 2 4 2 3 4 2 2" xfId="21820"/>
    <cellStyle name="计算 2 2 7 12" xfId="21821"/>
    <cellStyle name="注释 2 2 12" xfId="21822"/>
    <cellStyle name="强调文字颜色 2 2 2 6 3 2 2" xfId="21823"/>
    <cellStyle name="强调文字颜色 4 3 3 2 2" xfId="21824"/>
    <cellStyle name="40% - 强调文字颜色 4 2 2 2 3 2 2 2 2 2" xfId="21825"/>
    <cellStyle name="强调文字颜色 3 4 4 2" xfId="21826"/>
    <cellStyle name="汇总 2 2 4 5 2 2 2 2" xfId="21827"/>
    <cellStyle name="20% - 强调文字颜色 3 2 3 2 3 3 2" xfId="21828"/>
    <cellStyle name="输出 2 4 2 4 2 4" xfId="21829"/>
    <cellStyle name="好 4 3 3" xfId="21830"/>
    <cellStyle name="标题 2 2 2 2 2 6 2 2" xfId="21831"/>
    <cellStyle name="汇总 2 2 3 2 2 6 3" xfId="21832"/>
    <cellStyle name="40% - 强调文字颜色 4 2 4 4 2 2 2" xfId="21833"/>
    <cellStyle name="20% - 强调文字颜色 1 2 4 2 2" xfId="21834"/>
    <cellStyle name="常规 4 2 6 3 2 2" xfId="21835"/>
    <cellStyle name="输入 2 2 6 5 5" xfId="21836"/>
    <cellStyle name="无色 4 3" xfId="21837"/>
    <cellStyle name="差 3 3 2" xfId="21838"/>
    <cellStyle name="输出 3 2 4 3" xfId="21839"/>
    <cellStyle name="20% - 强调文字颜色 4 2 2 2 2 5 2" xfId="21840"/>
    <cellStyle name="常规 4 2 3 2" xfId="21841"/>
    <cellStyle name="汇总 2 4 2 3 4 3" xfId="21842"/>
    <cellStyle name="40% - 强调文字颜色 3 2 2 2 2 2" xfId="21843"/>
    <cellStyle name="注释 2 9 2 4" xfId="21844"/>
    <cellStyle name="解释性文本 2 6 2" xfId="21845"/>
    <cellStyle name="20% - 强调文字颜色 1 2 5 2 3" xfId="21846"/>
    <cellStyle name="解释性文本 2 8 3" xfId="21847"/>
    <cellStyle name="常规 3 3 3 4 2 2 2" xfId="21848"/>
    <cellStyle name="常规 5 2 3 2 2 4" xfId="21849"/>
    <cellStyle name="百分比 2 2 2 3" xfId="21850"/>
    <cellStyle name="60% - 强调文字颜色 6 2 2 4 3 2" xfId="21851"/>
    <cellStyle name="输入 2 5 4 2 2 2" xfId="21852"/>
    <cellStyle name="计算 2 3 4 2 4 2 2" xfId="21853"/>
    <cellStyle name="强调文字颜色 6 2 3 2 3 3 2 2" xfId="21854"/>
    <cellStyle name="60% - 强调文字颜色 1 2 3 3 5" xfId="21855"/>
    <cellStyle name="常规 5 5 4 2" xfId="21856"/>
    <cellStyle name="汇总 2 6 2 11" xfId="21857"/>
    <cellStyle name="汇总 2 2 8 5 5" xfId="21858"/>
    <cellStyle name="注释 2 4 2 2" xfId="21859"/>
    <cellStyle name="标题 2 2 3 6" xfId="21860"/>
    <cellStyle name="20% - 强调文字颜色 4 2 10 2" xfId="21861"/>
    <cellStyle name="汇总 2 2 6 2 2 3 2" xfId="21862"/>
    <cellStyle name="汇总 2 3 2 2 6 3" xfId="21863"/>
    <cellStyle name="标题 1 2 2 2 3 2 2 3" xfId="21864"/>
    <cellStyle name="汇总 2 2 4 2 2 3 4 2 2" xfId="21865"/>
    <cellStyle name="好 2 4 4 2 3" xfId="21866"/>
    <cellStyle name="输出 2 5 2 4 2" xfId="21867"/>
    <cellStyle name="注释 2 2 8 3 2 2" xfId="21868"/>
    <cellStyle name="常规 10 3 4 3" xfId="21869"/>
    <cellStyle name="汇总 2 2 8 8 2 2" xfId="21870"/>
    <cellStyle name="汇总 2 2 10 4 3" xfId="21871"/>
    <cellStyle name="常规 4 2 3 2 5" xfId="21872"/>
    <cellStyle name="汇总 2 2 3 2 10" xfId="21873"/>
    <cellStyle name="强调文字颜色 6 3 5 2" xfId="21874"/>
    <cellStyle name="计算 2 8 3 3 2" xfId="21875"/>
    <cellStyle name="适中 2 2 5 3 2" xfId="21876"/>
    <cellStyle name="输入 2 3 2 2 8" xfId="21877"/>
    <cellStyle name="链接单元格 6 2" xfId="21878"/>
    <cellStyle name="注释 2 2 3 2 3 2" xfId="21879"/>
    <cellStyle name="强调文字颜色 3 2 2 2 4 2" xfId="21880"/>
    <cellStyle name="60% - 强调文字颜色 6 3 5 3" xfId="21881"/>
    <cellStyle name="警告文本 3 3 2" xfId="21882"/>
    <cellStyle name="20% - 强调文字颜色 2 2 4 7" xfId="21883"/>
    <cellStyle name="汇总 2 2 9 3 2 2" xfId="21884"/>
    <cellStyle name="解释性文本 2 2 6 3" xfId="21885"/>
    <cellStyle name="注释 3 7" xfId="21886"/>
    <cellStyle name="解释性文本 2 3 4 4" xfId="21887"/>
    <cellStyle name="标题 3 2 4 3 2 2" xfId="21888"/>
    <cellStyle name="强调文字颜色 6 2 2 2 2" xfId="21889"/>
    <cellStyle name="计算 2 2 2 3 10" xfId="21890"/>
    <cellStyle name="汇总 2 2 3 2 2 2 4 2" xfId="21891"/>
    <cellStyle name="计算 2 5 4 3 5" xfId="21892"/>
    <cellStyle name="标题 5 4 2 2 2 2 2" xfId="21893"/>
    <cellStyle name="计算 2 2 5 2 3 2" xfId="21894"/>
    <cellStyle name="强调文字颜色 6 2 2 3 3 2 2" xfId="21895"/>
    <cellStyle name="强调文字颜色 4 2 2 2 5 2 3" xfId="21896"/>
    <cellStyle name="汇总 2 3 3 3 4" xfId="21897"/>
    <cellStyle name="警告文本 2 2 2 7" xfId="21898"/>
    <cellStyle name="汇总 2 5 2 11" xfId="21899"/>
    <cellStyle name="60% - 强调文字颜色 6 2 3 2 2 2 2 2" xfId="21900"/>
    <cellStyle name="输出 2 2 2 4 2 2 2" xfId="21901"/>
    <cellStyle name="强调文字颜色 5 3 2 2" xfId="21902"/>
    <cellStyle name="20% - 强调文字颜色 3 2 3 2 2 2 2 2 2" xfId="21903"/>
    <cellStyle name="常规 7 2 2 3 3" xfId="21904"/>
    <cellStyle name="输入 4 5 3" xfId="21905"/>
    <cellStyle name="注释 2 2 3 2 2 2 2 3 2" xfId="21906"/>
    <cellStyle name="常规 11 4 2 3 2 2" xfId="21907"/>
    <cellStyle name="常规 6 7" xfId="21908"/>
    <cellStyle name="输出 2 2 5 2" xfId="21909"/>
    <cellStyle name="汇总 2 2 4 3 8" xfId="21910"/>
    <cellStyle name="检查单元格 2 2 2 2 6 2" xfId="21911"/>
    <cellStyle name="好 3 3 3 3" xfId="21912"/>
    <cellStyle name="强调文字颜色 3 2 2 6 2 3" xfId="21913"/>
    <cellStyle name="常规 9 2 3 4 2" xfId="21914"/>
    <cellStyle name="汇总 2 2 4 3 6" xfId="21915"/>
    <cellStyle name="60% - 强调文字颜色 3 2 3 2 6" xfId="21916"/>
    <cellStyle name="汇总 2 18 2" xfId="21917"/>
    <cellStyle name="输入 2 4 2 3 2" xfId="21918"/>
    <cellStyle name="常规 8 2 2 3 2 2 2" xfId="21919"/>
    <cellStyle name="输入 2 3 2 2 2 6" xfId="21920"/>
    <cellStyle name="解释性文本 2 2 3 3 2" xfId="21921"/>
    <cellStyle name="标题 4 2 2 4 2 2 2 2" xfId="21922"/>
    <cellStyle name="检查单元格 2 2 2 2 7" xfId="21923"/>
    <cellStyle name="注释 2 3 9 2" xfId="21924"/>
    <cellStyle name="20% - 强调文字颜色 1 2 2 2 2 2 2 2 2 2" xfId="21925"/>
    <cellStyle name="输出 2 2 2 4 3 3" xfId="21926"/>
    <cellStyle name="强调文字颜色 5 4 3" xfId="21927"/>
    <cellStyle name="计算 5 3 2" xfId="21928"/>
    <cellStyle name="汇总 2 2 5 10" xfId="21929"/>
    <cellStyle name="汇总 2 6 2 5 2" xfId="21930"/>
    <cellStyle name="20% - 强调文字颜色 4 2 3 2 4 3" xfId="21931"/>
    <cellStyle name="汇总 2 7 6 3 2 2" xfId="21932"/>
    <cellStyle name="输入 2 2 4 3 4 2" xfId="21933"/>
    <cellStyle name="40% - 强调文字颜色 4 5 2 2" xfId="21934"/>
    <cellStyle name="计算 2 8 2 9" xfId="21935"/>
    <cellStyle name="注释 2 2 5 5" xfId="21936"/>
    <cellStyle name="输入 2 6 2 3 5" xfId="21937"/>
    <cellStyle name="汇总 2 7 5 2" xfId="21938"/>
    <cellStyle name="强调文字颜色 6 2 2 7 2" xfId="21939"/>
    <cellStyle name="40% - 强调文字颜色 3 4" xfId="21940"/>
    <cellStyle name="标题 2 3 3 5" xfId="21941"/>
    <cellStyle name="计算 2 4 4 5 3" xfId="21942"/>
    <cellStyle name="输入 2 5 2 8 2 2" xfId="21943"/>
    <cellStyle name="计算 2 2 4 5 4 3" xfId="21944"/>
    <cellStyle name="输出 2 2 2 2 2 2 7" xfId="21945"/>
    <cellStyle name="计算 2 16 2" xfId="21946"/>
    <cellStyle name="计算 2 3 3 3 3 2" xfId="21947"/>
    <cellStyle name="输入 2 9 2 3" xfId="21948"/>
    <cellStyle name="40% - 强调文字颜色 4 2 2 4 3 2 2 2" xfId="21949"/>
    <cellStyle name="汇总 2 6 4 3" xfId="21950"/>
    <cellStyle name="20% - 强调文字颜色 4 4 2 4 2" xfId="21951"/>
    <cellStyle name="计算 2 3 3 5" xfId="21952"/>
    <cellStyle name="好 2 3 6" xfId="21953"/>
    <cellStyle name="60% - 强调文字颜色 2 2 2 2 4 2 2" xfId="21954"/>
    <cellStyle name="汇总 2 4 2 5" xfId="21955"/>
    <cellStyle name="40% - 强调文字颜色 6 2 2 2 6 2" xfId="21956"/>
    <cellStyle name="超链接 2 5 2 4" xfId="21957"/>
    <cellStyle name="标题 3 2 2 5 2 2" xfId="21958"/>
    <cellStyle name="汇总 2 6 5 4" xfId="21959"/>
    <cellStyle name="计算 8 2" xfId="21960"/>
    <cellStyle name="解释性文本 2 3 4 3 2" xfId="21961"/>
    <cellStyle name="注释 3 6 2" xfId="21962"/>
    <cellStyle name="检查单元格 2 2 3 10" xfId="21963"/>
    <cellStyle name="20% - 强调文字颜色 1 2 3 3 2 2 2 2" xfId="21964"/>
    <cellStyle name="检查单元格 2 3 4 2 2" xfId="21965"/>
    <cellStyle name="汇总 2 19" xfId="21966"/>
    <cellStyle name="60% - 强调文字颜色 5 2 3 4 2 2 2" xfId="21967"/>
    <cellStyle name="标题 4 2 7 2 3" xfId="21968"/>
    <cellStyle name="差 2 4 3 2 2" xfId="21969"/>
    <cellStyle name="超链接 2 4 2 3" xfId="21970"/>
    <cellStyle name="20% - 强调文字颜色 5 2 3 2 2 4 2 2" xfId="21971"/>
    <cellStyle name="汇总 2 2 5 3 2 2 2 2" xfId="21972"/>
    <cellStyle name="60% - 强调文字颜色 6 2 6 2 3" xfId="21973"/>
    <cellStyle name="标题 3 2 4 3 4" xfId="21974"/>
    <cellStyle name="检查单元格 2 3 2 5 2 2" xfId="21975"/>
    <cellStyle name="汇总 2 3 2 2 2 4 2" xfId="21976"/>
    <cellStyle name="汇总 4 4 3" xfId="21977"/>
    <cellStyle name="常规 2 3 6 2" xfId="21978"/>
    <cellStyle name="适中 2 3 2 2 2 3" xfId="21979"/>
    <cellStyle name="20% - 强调文字颜色 5 2 3 2 2 3 3" xfId="21980"/>
    <cellStyle name="汇总 2 9 2 6" xfId="21981"/>
    <cellStyle name="40% - 强调文字颜色 4 4 4 2 2 2" xfId="21982"/>
    <cellStyle name="输出 2 2 3 2 8 3" xfId="21983"/>
    <cellStyle name="汇总 2 2 9 2 3 2" xfId="21984"/>
    <cellStyle name="标题 4 2 3 5 2 2 3" xfId="21985"/>
    <cellStyle name="计算 2 2 3 2 3 7" xfId="21986"/>
    <cellStyle name="60% - 强调文字颜色 1 3 3 3" xfId="21987"/>
    <cellStyle name="好 2 3 8" xfId="21988"/>
    <cellStyle name="计算 7 3" xfId="21989"/>
    <cellStyle name="汇总 2 6 4 5" xfId="21990"/>
    <cellStyle name="输入 2 6 2 4 2 2" xfId="21991"/>
    <cellStyle name="注释 2 2 6 2 2" xfId="21992"/>
    <cellStyle name="20% - 强调文字颜色 1 2 7 3 2" xfId="21993"/>
    <cellStyle name="计算 2 2 3 3 6 3" xfId="21994"/>
    <cellStyle name="标题 5 2 2 2 2 2 2" xfId="21995"/>
    <cellStyle name="计算 2 5 2 2 2 2 2 2" xfId="21996"/>
    <cellStyle name="链接单元格 2 2 5 2 2" xfId="21997"/>
    <cellStyle name="标题 5 3 2 2 2" xfId="21998"/>
    <cellStyle name="计算 2 3 3 6" xfId="21999"/>
    <cellStyle name="好 2 3 7" xfId="22000"/>
    <cellStyle name="计算 7 2" xfId="22001"/>
    <cellStyle name="汇总 2 6 4 4" xfId="22002"/>
    <cellStyle name="注释 3 2 5 2" xfId="22003"/>
    <cellStyle name="输入 2 7 2 3 2" xfId="22004"/>
    <cellStyle name="常规 10 3 2 3 3 3" xfId="22005"/>
    <cellStyle name="输入 2 3 2 2 2 2 2" xfId="22006"/>
    <cellStyle name="输出 3 5 3" xfId="22007"/>
    <cellStyle name="60% - 强调文字颜色 5 2 3 2 3 3" xfId="22008"/>
    <cellStyle name="汇总 2 2 8 3 2 3 2" xfId="22009"/>
    <cellStyle name="输入 2 3 3 6 2" xfId="22010"/>
    <cellStyle name="计算 2 3 2 2 2 2 2 2 2" xfId="22011"/>
    <cellStyle name="汇总 2 6 4 8" xfId="22012"/>
    <cellStyle name="注释 2 3 2 3 6" xfId="22013"/>
    <cellStyle name="计算 2 3 2 2 2 6 2" xfId="22014"/>
    <cellStyle name="计算 2 3 4 2 4" xfId="22015"/>
    <cellStyle name="强调文字颜色 6 2 3 2 3 3" xfId="22016"/>
    <cellStyle name="60% - 强调文字颜色 2 2 2 6 3 2" xfId="22017"/>
    <cellStyle name="计算 4 4 5" xfId="22018"/>
    <cellStyle name="计算 2 2 3 2 4 4" xfId="22019"/>
    <cellStyle name="40% - 强调文字颜色 1 2 2 2 2 2 3 3 2" xfId="22020"/>
    <cellStyle name="输入 2 3 2 2 4 3" xfId="22021"/>
    <cellStyle name="强调文字颜色 3 2 2 2 3 2 2" xfId="22022"/>
    <cellStyle name="40% - 强调文字颜色 4 2 2 3" xfId="22023"/>
    <cellStyle name="解释性文本 2 2 2 2 2 3" xfId="22024"/>
    <cellStyle name="超链接 2 2 2 2" xfId="22025"/>
    <cellStyle name="汇总 2 2 5 2 2" xfId="22026"/>
    <cellStyle name="40% - 强调文字颜色 2 2 2 2 3 2 2 2 2 2" xfId="22027"/>
    <cellStyle name="注释 2 4 3 2 2 2" xfId="22028"/>
    <cellStyle name="20% - 强调文字颜色 3 3 3 3 2" xfId="22029"/>
    <cellStyle name="输入 2 2 4 2 5 3" xfId="22030"/>
    <cellStyle name="常规 5 2 3 3 5 2" xfId="22031"/>
    <cellStyle name="输入 2 2 6 6 2" xfId="22032"/>
    <cellStyle name="强调文字颜色 4 2 2 2 2 4 2 3" xfId="22033"/>
    <cellStyle name="差 3 2 4 2 2" xfId="22034"/>
    <cellStyle name="常规 4 2 3 2 2 3 3" xfId="22035"/>
    <cellStyle name="计算 2 5 5 6" xfId="22036"/>
    <cellStyle name="警告文本 2 3 2 7" xfId="22037"/>
    <cellStyle name="强调文字颜色 4 2 7 2 2" xfId="22038"/>
    <cellStyle name="20% - 强调文字颜色 3 2 3 5" xfId="22039"/>
    <cellStyle name="40% - 强调文字颜色 4 2 4 3 3" xfId="22040"/>
    <cellStyle name="输入 2 2 2 3" xfId="22041"/>
    <cellStyle name="超链接 3 5 2 3 2" xfId="22042"/>
    <cellStyle name="输出 2 2 3 2 3 4 2" xfId="22043"/>
    <cellStyle name="输出 2 5 2 5 3" xfId="22044"/>
    <cellStyle name="常规 6 2 2 3 2 2" xfId="22045"/>
    <cellStyle name="计算 2 2 4 5 4" xfId="22046"/>
    <cellStyle name="好 2 2 2 2 3 2 2 2" xfId="22047"/>
    <cellStyle name="40% - 强调文字颜色 4 3 3 2 2 2" xfId="22048"/>
    <cellStyle name="60% - 强调文字颜色 2 2 2 2 2 3" xfId="22049"/>
    <cellStyle name="计算 2 2 4 3 2 2 4" xfId="22050"/>
    <cellStyle name="计算 2 6 2 9 2" xfId="22051"/>
    <cellStyle name="输出 2 7 4 2" xfId="22052"/>
    <cellStyle name="60% - 强调文字颜色 2 2 3 4 2 2" xfId="22053"/>
    <cellStyle name="汇总 2 5 3 4 3" xfId="22054"/>
    <cellStyle name="计算 2 2 6 2 4 3" xfId="22055"/>
    <cellStyle name="汇总 2 7 2 3 3 3" xfId="22056"/>
    <cellStyle name="好 4 2 4" xfId="22057"/>
    <cellStyle name="计算 2 5 2 3" xfId="22058"/>
    <cellStyle name="注释 3 7 2" xfId="22059"/>
    <cellStyle name="强调文字颜色 1 2 4 2 2 2" xfId="22060"/>
    <cellStyle name="常规 2 4 6" xfId="22061"/>
    <cellStyle name="标题 1 2 2 4 5 2 2" xfId="22062"/>
    <cellStyle name="汇总 2 2 5 3 9" xfId="22063"/>
    <cellStyle name="注释 2 2 3 4 2 4" xfId="22064"/>
    <cellStyle name="40% - 强调文字颜色 6 2 5 5" xfId="22065"/>
    <cellStyle name="计算 2 2 4 2 4 3 3" xfId="22066"/>
    <cellStyle name="警告文本 2 2 4 4" xfId="22067"/>
    <cellStyle name="标题 4 2 2 8 3" xfId="22068"/>
    <cellStyle name="链接单元格 2 2 2 2 4 3" xfId="22069"/>
    <cellStyle name="计算 2 2 8 3 4" xfId="22070"/>
    <cellStyle name="输入 2 2 2 4 5" xfId="22071"/>
    <cellStyle name="汇总 2 7 4 4 3" xfId="22072"/>
    <cellStyle name="20% - 强调文字颜色 1 2 4 3 3 2" xfId="22073"/>
    <cellStyle name="注释 2 2 2 3 2 3 2" xfId="22074"/>
    <cellStyle name="超链接 3 2 2 2 3 2 2" xfId="22075"/>
    <cellStyle name="输出 2 2 9 3 2" xfId="22076"/>
    <cellStyle name="标题 3 2 2 3 4 3 2" xfId="22077"/>
    <cellStyle name="解释性文本 2 3 2 2 2 2 3" xfId="22078"/>
    <cellStyle name="常规 12 4 3" xfId="22079"/>
    <cellStyle name="输出 2 4 3 9" xfId="22080"/>
    <cellStyle name="40% - 强调文字颜色 2 2 3 5" xfId="22081"/>
    <cellStyle name="输出 2 3 2 2 5 2" xfId="22082"/>
    <cellStyle name="常规 5 5 2 2 3 2" xfId="22083"/>
    <cellStyle name="注释 2 5 2 2 7" xfId="22084"/>
    <cellStyle name="强调文字颜色 2 2 2 2 2 2 2 2 3" xfId="22085"/>
    <cellStyle name="汇总 2 4 2 6" xfId="22086"/>
    <cellStyle name="强调文字颜色 6 2 2 4 2 4" xfId="22087"/>
    <cellStyle name="汇总 2 7 2 2 4" xfId="22088"/>
    <cellStyle name="标题 2 2 2 2 2 5 2" xfId="22089"/>
    <cellStyle name="注释 2 2 3 2 5" xfId="22090"/>
    <cellStyle name="40% - 强调文字颜色 1 2 2 2 3 4" xfId="22091"/>
    <cellStyle name="输出 2 6 3 3 2 2" xfId="22092"/>
    <cellStyle name="常规 8 2 5" xfId="22093"/>
    <cellStyle name="汇总 2 2 5 11 2" xfId="22094"/>
    <cellStyle name="汇总 2 8 4 2 3" xfId="22095"/>
    <cellStyle name="输入 2 3 2 2 5" xfId="22096"/>
    <cellStyle name="标题 2 2 2 2 2 6" xfId="22097"/>
    <cellStyle name="差 2 2 2 2 2 2" xfId="22098"/>
    <cellStyle name="检查单元格 2 2 2 2 4 3 2" xfId="22099"/>
    <cellStyle name="注释 2 2 3 2 10" xfId="22100"/>
    <cellStyle name="标题 2 2 6 2 2" xfId="22101"/>
    <cellStyle name="60% - 强调文字颜色 3 2 2 4 4 2 2" xfId="22102"/>
    <cellStyle name="注释 2 2 4 6" xfId="22103"/>
    <cellStyle name="输入 2 6 2 2 6" xfId="22104"/>
    <cellStyle name="汇总 2 7 4 3" xfId="22105"/>
    <cellStyle name="强调文字颜色 6 2 2 6 3" xfId="22106"/>
    <cellStyle name="40% - 强调文字颜色 2 5" xfId="22107"/>
    <cellStyle name="差 3 6 2" xfId="22108"/>
    <cellStyle name="强调文字颜色 2 2 2 4 3" xfId="22109"/>
    <cellStyle name="标题 1 4 2 3 2" xfId="22110"/>
    <cellStyle name="标题 3 2 3 4 2 3" xfId="22111"/>
    <cellStyle name="计算 2 6 4 2 5 2" xfId="22112"/>
    <cellStyle name="计算 2 2 6 2 2 2 2" xfId="22113"/>
    <cellStyle name="强调文字颜色 5 2 2 2 2 6" xfId="22114"/>
    <cellStyle name="汇总 2 2 5 2 2 2" xfId="22115"/>
    <cellStyle name="适中 3 2" xfId="22116"/>
    <cellStyle name="常规 3 2 2 5" xfId="22117"/>
    <cellStyle name="汇总 2 2 10 2 6" xfId="22118"/>
    <cellStyle name="适中 2 2 2 2 2 2 3" xfId="22119"/>
    <cellStyle name="警告文本 4 5" xfId="22120"/>
    <cellStyle name="强调文字颜色 4 3 5" xfId="22121"/>
    <cellStyle name="输出 2 2 2 3 2 5" xfId="22122"/>
    <cellStyle name="常规 5 2 3 4 2 3 2" xfId="22123"/>
    <cellStyle name="输入 2 2 4 3 2 4 2" xfId="22124"/>
    <cellStyle name="计算 2 2 4 2 2 4 3" xfId="22125"/>
    <cellStyle name="注释 2 2 3 2 3 3 2" xfId="22126"/>
    <cellStyle name="计算 2" xfId="22127"/>
    <cellStyle name="常规 4 2 4 3 3 2" xfId="22128"/>
    <cellStyle name="输入 2 2 3 3" xfId="22129"/>
    <cellStyle name="40% - 强调文字颜色 4 2 4 4 3" xfId="22130"/>
    <cellStyle name="强调文字颜色 3 2 2 2 2 3 3 2" xfId="22131"/>
    <cellStyle name="强调文字颜色 5 2 3 2 4 4" xfId="22132"/>
    <cellStyle name="计算 2 6 3 3 3" xfId="22133"/>
    <cellStyle name="计算 2 2 3 2 2 6 2 2" xfId="22134"/>
    <cellStyle name="输出 2 4 2 2 3 2" xfId="22135"/>
    <cellStyle name="强调文字颜色 1 2 3 2 4 3" xfId="22136"/>
    <cellStyle name="常规 8 2 4 2 2 2" xfId="22137"/>
    <cellStyle name="输入 4 3 2 3" xfId="22138"/>
    <cellStyle name="40% - 强调文字颜色 1 2 2 2 5 2" xfId="22139"/>
    <cellStyle name="注释 2 2 3 4 3" xfId="22140"/>
    <cellStyle name="输入 2 2 5 2 5 3" xfId="22141"/>
    <cellStyle name="汇总 2 2 3 2 3 6" xfId="22142"/>
    <cellStyle name="输入 2 2 12" xfId="22143"/>
    <cellStyle name="强调文字颜色 4 2 2 6 4" xfId="22144"/>
    <cellStyle name="输入 2 2 9 3 2" xfId="22145"/>
    <cellStyle name="输入 3 3 3" xfId="22146"/>
    <cellStyle name="输入 2 5 2 2 2 3 2" xfId="22147"/>
    <cellStyle name="强调文字颜色 3 2 3 3 3" xfId="22148"/>
    <cellStyle name="标题 2 4 3 2 2" xfId="22149"/>
    <cellStyle name="注释 4 7 2 2" xfId="22150"/>
    <cellStyle name="标题 3 2 2 2 2 2 2 2 2 2" xfId="22151"/>
    <cellStyle name="常规 9 5 3" xfId="22152"/>
    <cellStyle name="20% - 强调文字颜色 3 2 3 4 2" xfId="22153"/>
    <cellStyle name="汇总 2 4 2 4 4 2" xfId="22154"/>
    <cellStyle name="计算 2 2 6 2 2 3 2" xfId="22155"/>
    <cellStyle name="输出 2 2 6 5 3" xfId="22156"/>
    <cellStyle name="20% - 强调文字颜色 5 2 3 6 2" xfId="22157"/>
    <cellStyle name="适中 2 4 4 3 2" xfId="22158"/>
    <cellStyle name="标题 2 3 5 2" xfId="22159"/>
    <cellStyle name="常规 5 2 2 2 2 5 2 2" xfId="22160"/>
    <cellStyle name="汇总 2 6 11" xfId="22161"/>
    <cellStyle name="标题 2 2 2 4 5 2 2" xfId="22162"/>
    <cellStyle name="汇总 2 2 4 9 3" xfId="22163"/>
    <cellStyle name="强调文字颜色 5 2 3 2 2 2 2" xfId="22164"/>
    <cellStyle name="标题 6 10" xfId="22165"/>
    <cellStyle name="汇总 2 6 3 2 4 2" xfId="22166"/>
    <cellStyle name="计算 5 4" xfId="22167"/>
    <cellStyle name="汇总 2 2 2 4 7" xfId="22168"/>
    <cellStyle name="输出 2 2 5 5 2 2" xfId="22169"/>
    <cellStyle name="强调文字颜色 3 2 2 4 3 4" xfId="22170"/>
    <cellStyle name="标题 1 5 2 3" xfId="22171"/>
    <cellStyle name="汇总 2 5 11 2 2" xfId="22172"/>
    <cellStyle name="超链接 3 6 3 2" xfId="22173"/>
    <cellStyle name="计算 3 2 2 2" xfId="22174"/>
    <cellStyle name="输入 4 3 3 2" xfId="22175"/>
    <cellStyle name="注释 2 2 6 3 4" xfId="22176"/>
    <cellStyle name="输出 2 3 2 6" xfId="22177"/>
    <cellStyle name="汇总 2 3 2 2 7 2" xfId="22178"/>
    <cellStyle name="汇总 2 8 2 9" xfId="22179"/>
    <cellStyle name="常规 3 2 4 2 2" xfId="22180"/>
    <cellStyle name="超链接 3 3 2 2 2 2 2" xfId="22181"/>
    <cellStyle name="输出 3 2 2 2 4" xfId="22182"/>
    <cellStyle name="适中 2 2 2 2 3" xfId="22183"/>
    <cellStyle name="常规 10 2 3 2 3 3" xfId="22184"/>
    <cellStyle name="汇总 2 6 10 2" xfId="22185"/>
    <cellStyle name="汇总 2 2 9 3 3 2 2" xfId="22186"/>
    <cellStyle name="计算 3 2 7 2" xfId="22187"/>
    <cellStyle name="计算 2 2 6 2 3 3" xfId="22188"/>
    <cellStyle name="汇总 2 7 2 3 2 3" xfId="22189"/>
    <cellStyle name="强调文字颜色 6 2 2 4 3 2 3" xfId="22190"/>
    <cellStyle name="差 2 3 4 2" xfId="22191"/>
    <cellStyle name="输出 2 2 4 2 10" xfId="22192"/>
    <cellStyle name="20% - 强调文字颜色 2 3 7" xfId="22193"/>
    <cellStyle name="输出 2 5 5 2 2" xfId="22194"/>
    <cellStyle name="强调文字颜色 3 3 10" xfId="22195"/>
    <cellStyle name="40% - 强调文字颜色 1 2 2 6 3" xfId="22196"/>
    <cellStyle name="好 2 3 2 2 2 2" xfId="22197"/>
    <cellStyle name="常规 7 3 3 3" xfId="22198"/>
    <cellStyle name="输出 2 2 4 2 2 7" xfId="22199"/>
    <cellStyle name="常规 7 5 3" xfId="22200"/>
    <cellStyle name="输入 2 2 4 2 2 2 4 3" xfId="22201"/>
    <cellStyle name="计算 2 6 6 2" xfId="22202"/>
    <cellStyle name="标题 3 4 3" xfId="22203"/>
    <cellStyle name="强调文字颜色 1 2 2 2 6" xfId="22204"/>
    <cellStyle name="输入 2 7 8" xfId="22205"/>
    <cellStyle name="计算 2 2 3 2 2 2 3 3" xfId="22206"/>
    <cellStyle name="常规 3 3 2 5" xfId="22207"/>
    <cellStyle name="适中 2 2 2 2 3 2 3" xfId="22208"/>
    <cellStyle name="60% - 强调文字颜色 1 2 5 2 2 2" xfId="22209"/>
    <cellStyle name="20% - 强调文字颜色 3 2 2 2 2 4 3" xfId="22210"/>
    <cellStyle name="警告文本 2 2 2 4 3 2" xfId="22211"/>
    <cellStyle name="警告文本 2 2 3 3 2 2 2" xfId="22212"/>
    <cellStyle name="计算 2 2 4 2 3 4 3" xfId="22213"/>
    <cellStyle name="60% - 强调文字颜色 2 2 3 2 3 2 2 2" xfId="22214"/>
    <cellStyle name="60% - 强调文字颜色 6 2 4 3 2 2 2" xfId="22215"/>
    <cellStyle name="好 2 2 2 3 2 2" xfId="22216"/>
    <cellStyle name="汇总 2 5 3 2 7" xfId="22217"/>
    <cellStyle name="计算 2 2 4 2 4 4 2" xfId="22218"/>
    <cellStyle name="警告文本 2 2 5 3" xfId="22219"/>
    <cellStyle name="40% - 强调文字颜色 2 2 2 2 4 3" xfId="22220"/>
    <cellStyle name="计算 4 3 4 2 2" xfId="22221"/>
    <cellStyle name="强调文字颜色 6 2 3 2 2 2 2 2" xfId="22222"/>
    <cellStyle name="标题 1 2 2" xfId="22223"/>
    <cellStyle name="计算 2 5 2 5 2 3" xfId="22224"/>
    <cellStyle name="输出 4 2 2 3 2" xfId="22225"/>
    <cellStyle name="适中 2 2 3 3 2" xfId="22226"/>
    <cellStyle name="差 3 4 2 2" xfId="22227"/>
    <cellStyle name="注释 3 4 2" xfId="22228"/>
    <cellStyle name="汇总 2 2 6 3 2 3" xfId="22229"/>
    <cellStyle name="20% - 强调文字颜色 5 3 2 2 2 2 2" xfId="22230"/>
    <cellStyle name="计算 2 5 5 2 2 3" xfId="22231"/>
    <cellStyle name="输入 2 5 2 4" xfId="22232"/>
    <cellStyle name="常规 2 2 2 4 2" xfId="22233"/>
    <cellStyle name="超链接 2 2 2 2 5" xfId="22234"/>
    <cellStyle name="强调文字颜色 4 3 7" xfId="22235"/>
    <cellStyle name="标题 4 3 2 2 2 3" xfId="22236"/>
    <cellStyle name="差 5 2 2" xfId="22237"/>
    <cellStyle name="常规 4 4 2 2" xfId="22238"/>
    <cellStyle name="标题 4 2 2 2 6 2" xfId="22239"/>
    <cellStyle name="输出 2 6 2 2 3 3" xfId="22240"/>
    <cellStyle name="20% - 强调文字颜色 3 2 3 2 5 2 2" xfId="22241"/>
    <cellStyle name="汇总 2 2 8 3 3 3" xfId="22242"/>
    <cellStyle name="汇总 2 5 2 3 5" xfId="22243"/>
    <cellStyle name="标题 3 2 3 2 5 2" xfId="22244"/>
    <cellStyle name="60% - 强调文字颜色 1 2 2 7" xfId="22245"/>
    <cellStyle name="汇总 2 4 10 3" xfId="22246"/>
    <cellStyle name="注释 2 5 2 2 2 6" xfId="22247"/>
    <cellStyle name="汇总 2 3 8 2 2" xfId="22248"/>
    <cellStyle name="计算 2 7 4 2 2 3" xfId="22249"/>
    <cellStyle name="汇总 5 5 2 2" xfId="22250"/>
    <cellStyle name="强调文字颜色 1 4 5" xfId="22251"/>
    <cellStyle name="强调文字颜色 3 2 2 4 2 3" xfId="22252"/>
    <cellStyle name="常规 5 3 3 2 5" xfId="22253"/>
    <cellStyle name="计算 3 2 4 3 3" xfId="22254"/>
    <cellStyle name="汇总 2 3 2 5 2 2" xfId="22255"/>
    <cellStyle name="计算 2 2 4 2 3 3 4 2" xfId="22256"/>
    <cellStyle name="60% - 强调文字颜色 1 2 2 3 2 2 2 2" xfId="22257"/>
    <cellStyle name="40% - 强调文字颜色 1 2 3 2 2 5" xfId="22258"/>
    <cellStyle name="标题 1 2 3 2 3" xfId="22259"/>
    <cellStyle name="40% - 强调文字颜色 6 2 4 4" xfId="22260"/>
    <cellStyle name="计算 2 3 5 3" xfId="22261"/>
    <cellStyle name="60% - 强调文字颜色 2 2 6 2 2" xfId="22262"/>
    <cellStyle name="标题 4 2 2 2 6" xfId="22263"/>
    <cellStyle name="输出 2 4 3 2 5" xfId="22264"/>
    <cellStyle name="常规 6 5 2 2 2" xfId="22265"/>
    <cellStyle name="60% - 强调文字颜色 1 2 2 4 4" xfId="22266"/>
    <cellStyle name="强调文字颜色 2 2 2 3 7" xfId="22267"/>
    <cellStyle name="20% - 强调文字颜色 1 2 7 2 2 2" xfId="22268"/>
    <cellStyle name="输入 2 2 7 3 3 2" xfId="22269"/>
    <cellStyle name="常规 3 2" xfId="22270"/>
    <cellStyle name="警告文本 2" xfId="22271"/>
    <cellStyle name="常规 4 4 3 2" xfId="22272"/>
    <cellStyle name="强调文字颜色 1 3 2 5" xfId="22273"/>
    <cellStyle name="适中 2 2 3 6 3" xfId="22274"/>
    <cellStyle name="汇总 2 2 3 2 2 9" xfId="22275"/>
    <cellStyle name="60% - 强调文字颜色 4 2 9" xfId="22276"/>
    <cellStyle name="常规 7 3 4" xfId="22277"/>
    <cellStyle name="60% - 强调文字颜色 4 2 2 4 2" xfId="22278"/>
    <cellStyle name="常规 3 2 2 2 2 3" xfId="22279"/>
    <cellStyle name="输入 2 6 5" xfId="22280"/>
    <cellStyle name="60% - 强调文字颜色 4 2 2 4 2 2 2" xfId="22281"/>
    <cellStyle name="汇总 2 2 3 13" xfId="22282"/>
    <cellStyle name="40% - 强调文字颜色 4 2 2 2 2 2 3 2 2" xfId="22283"/>
    <cellStyle name="20% - 强调文字颜色 3 2 2 2 2 3 3" xfId="22284"/>
    <cellStyle name="警告文本 2 2 2 4 2 2" xfId="22285"/>
    <cellStyle name="40% - 强调文字颜色 2 2 4 6" xfId="22286"/>
    <cellStyle name="20% - 强调文字颜色 4 2 4 4 2 2 2" xfId="22287"/>
    <cellStyle name="输出 2 2 4 2 3 2 2 2" xfId="22288"/>
    <cellStyle name="注释 2 7 3 4" xfId="22289"/>
    <cellStyle name="20% - 强调文字颜色 4 2 3 3 2" xfId="22290"/>
    <cellStyle name="注释 2 5 2 2 2 2" xfId="22291"/>
    <cellStyle name="计算 2 10 4 2" xfId="22292"/>
    <cellStyle name="40% - 强调文字颜色 1 2 4 4 3" xfId="22293"/>
    <cellStyle name="链接单元格 2 2 7" xfId="22294"/>
    <cellStyle name="计算 2 5 2 2 2 4" xfId="22295"/>
    <cellStyle name="常规 3 3 4 2 2" xfId="22296"/>
    <cellStyle name="超链接 3 2 3" xfId="22297"/>
    <cellStyle name="汇总 4 2 2 3 3" xfId="22298"/>
    <cellStyle name="计算 2 3 2 8" xfId="22299"/>
    <cellStyle name="汇总 5 2" xfId="22300"/>
    <cellStyle name="注释 2 4 2 3 2 6" xfId="22301"/>
    <cellStyle name="输入 3 3 2" xfId="22302"/>
    <cellStyle name="40% - 强调文字颜色 1 2 2 6 2 2 2" xfId="22303"/>
    <cellStyle name="汇总 2 2 3 2 2 2 5 2" xfId="22304"/>
    <cellStyle name="计算 4 3 3" xfId="22305"/>
    <cellStyle name="超链接 3 2 2" xfId="22306"/>
    <cellStyle name="警告文本 2 2 2 2 2 2 2 3" xfId="22307"/>
    <cellStyle name="计算 2 14 2" xfId="22308"/>
    <cellStyle name="汇总 2 2 7 2 8" xfId="22309"/>
    <cellStyle name="标题 3 2 2 7 2 2" xfId="22310"/>
    <cellStyle name="常规 13 2 2 2 3" xfId="22311"/>
    <cellStyle name="汇总 2 2 3 5 4 2" xfId="22312"/>
    <cellStyle name="强调文字颜色 5 3 3 3" xfId="22313"/>
    <cellStyle name="输出 5 4 3" xfId="22314"/>
    <cellStyle name="检查单元格 2 2 2 2 5 2 2" xfId="22315"/>
    <cellStyle name="超链接 3 2 2 3 3" xfId="22316"/>
    <cellStyle name="输出 2 3 2 2 2 4 2" xfId="22317"/>
    <cellStyle name="链接单元格 2 2 4 2 4" xfId="22318"/>
    <cellStyle name="常规 2 3 2 5 2 2 2" xfId="22319"/>
    <cellStyle name="标题 1 2 2 2 7" xfId="22320"/>
    <cellStyle name="强调文字颜色 1 2 2 4" xfId="22321"/>
    <cellStyle name="汇总 2 2 7 9" xfId="22322"/>
    <cellStyle name="计算 2 3 3 2 2 3" xfId="22323"/>
    <cellStyle name="注释 2 2 7 2 2 2" xfId="22324"/>
    <cellStyle name="好 2 3 3 2 3" xfId="22325"/>
    <cellStyle name="输出 2 6 3 4 2" xfId="22326"/>
    <cellStyle name="差 2 2 5 3" xfId="22327"/>
    <cellStyle name="20% - 强调文字颜色 1 2 3 2 3 2 2 2 2" xfId="22328"/>
    <cellStyle name="输出 3 6 3" xfId="22329"/>
    <cellStyle name="输入 2 3 2 2 2 3 2" xfId="22330"/>
    <cellStyle name="汇总 2 5 2 3 8" xfId="22331"/>
    <cellStyle name="汇总 2 5 2 3 3 2 3" xfId="22332"/>
    <cellStyle name="输入 2 2 8 3 2 3" xfId="22333"/>
    <cellStyle name="计算 2 10 3 3 2" xfId="22334"/>
    <cellStyle name="输入 2 7 2 3" xfId="22335"/>
    <cellStyle name="计算 2 5 5 4 2 2" xfId="22336"/>
    <cellStyle name="注释 3 2 5" xfId="22337"/>
    <cellStyle name="汇总 2 2 4 2 2" xfId="22338"/>
    <cellStyle name="输入 2 9 3 2" xfId="22339"/>
    <cellStyle name="好 2 3 4 2" xfId="22340"/>
    <cellStyle name="标题 5 11" xfId="22341"/>
    <cellStyle name="40% - 强调文字颜色 2 2 2 8" xfId="22342"/>
    <cellStyle name="超链接 3 2 2 2 4 3" xfId="22343"/>
    <cellStyle name="链接单元格 2 2 7 2" xfId="22344"/>
    <cellStyle name="计算 2 5 2 2 2 4 2" xfId="22345"/>
    <cellStyle name="输入 2 5 4 2 2 2 2" xfId="22346"/>
    <cellStyle name="百分比 2 2 2 3 2" xfId="22347"/>
    <cellStyle name="计算 2 5 3 2 2 2 2 2" xfId="22348"/>
    <cellStyle name="汇总 2 3 2 3 5" xfId="22349"/>
    <cellStyle name="警告文本 2 4 3 2 3" xfId="22350"/>
    <cellStyle name="Normal 2 2 4" xfId="22351"/>
    <cellStyle name="检查单元格 2 2 4 2 2 2" xfId="22352"/>
    <cellStyle name="输出 2 6 2 2 4" xfId="22353"/>
    <cellStyle name="输入 2 5 2 9 2" xfId="22354"/>
    <cellStyle name="检查单元格 2 2 2 2 5" xfId="22355"/>
    <cellStyle name="20% - 强调文字颜色 3 2 2 2 2 2 5 2" xfId="22356"/>
    <cellStyle name="标题 5 2 2 2 2 2 3" xfId="22357"/>
    <cellStyle name="强调文字颜色 5 2 2 2 5 2 2" xfId="22358"/>
    <cellStyle name="汇总 3 3 6 3" xfId="22359"/>
    <cellStyle name="常规 9 2 4 3" xfId="22360"/>
    <cellStyle name="注释 2 2 4 4 2 2 3" xfId="22361"/>
    <cellStyle name="标题 4 2 6 2 3" xfId="22362"/>
    <cellStyle name="注释 2 2 3 2 2 3 3 2" xfId="22363"/>
    <cellStyle name="20% - 强调文字颜色 2 2 2 2 2 4 2 2" xfId="22364"/>
    <cellStyle name="计算 2 2 4 2 4 6" xfId="22365"/>
    <cellStyle name="汇总 2 2 5 10 2 2" xfId="22366"/>
    <cellStyle name="强调文字颜色 5 2 2 6 2 2" xfId="22367"/>
    <cellStyle name="汇总 2 2 9 4" xfId="22368"/>
    <cellStyle name="20% - 强调文字颜色 3 2 3 3 2 2 2 2 2" xfId="22369"/>
    <cellStyle name="计算 2 2 6 6 4" xfId="22370"/>
    <cellStyle name="汇总 2 2 9 3 5" xfId="22371"/>
    <cellStyle name="计算 2 2 5 4 2 2 2 2" xfId="22372"/>
    <cellStyle name="计算 3 3 3 4" xfId="22373"/>
    <cellStyle name="输出 2 2 7 3 2 3" xfId="22374"/>
    <cellStyle name="汇总 2 9 2 7" xfId="22375"/>
    <cellStyle name="注释 2 2 3 2 3 2 2 2" xfId="22376"/>
    <cellStyle name="注释 2 2 7 3 2" xfId="22377"/>
    <cellStyle name="40% - 强调文字颜色 1 2 3 2 4 2 2" xfId="22378"/>
    <cellStyle name="输出 2 4 2 4" xfId="22379"/>
    <cellStyle name="标题 4 2 2 2 2 3 3" xfId="22380"/>
    <cellStyle name="40% - 强调文字颜色 2 3 3 2" xfId="22381"/>
    <cellStyle name="60% - 强调文字颜色 5 2 2 2 4 3" xfId="22382"/>
    <cellStyle name="汇总 2 2 8 2 2 4 2" xfId="22383"/>
    <cellStyle name="警告文本 2 9" xfId="22384"/>
    <cellStyle name="计算 2 6 2 4 2 3" xfId="22385"/>
    <cellStyle name="20% - 强调文字颜色 5 2 2 5 3 2" xfId="22386"/>
    <cellStyle name="40% - 强调文字颜色 4 2 2 2 2 2 4" xfId="22387"/>
    <cellStyle name="检查单元格 2 4 3" xfId="22388"/>
    <cellStyle name="60% - 强调文字颜色 5 3 6 2" xfId="22389"/>
    <cellStyle name="注释 2 5" xfId="22390"/>
    <cellStyle name="解释性文本 2 3 3 2" xfId="22391"/>
    <cellStyle name="检查单元格 2 2 5 3 3" xfId="22392"/>
    <cellStyle name="强调文字颜色 1 2 2 6 2 3" xfId="22393"/>
    <cellStyle name="汇总 2 2 4 2 2 2 5" xfId="22394"/>
    <cellStyle name="输出 2 2 7 2 2 2" xfId="22395"/>
    <cellStyle name="常规 11 2 2 3 5" xfId="22396"/>
    <cellStyle name="警告文本 2 2 4 5 3" xfId="22397"/>
    <cellStyle name="60% - 强调文字颜色 4 4 4" xfId="22398"/>
    <cellStyle name="常规 5 2 4 5" xfId="22399"/>
    <cellStyle name="好 2 3 2 3 4" xfId="22400"/>
    <cellStyle name="好 2 2 2 4 3 2 2" xfId="22401"/>
    <cellStyle name="强调文字颜色 4 2 2 2 3" xfId="22402"/>
    <cellStyle name="40% - 强调文字颜色 6 2 3 2 5 2 2 2" xfId="22403"/>
    <cellStyle name="标题 4 2 3 3 3 3" xfId="22404"/>
    <cellStyle name="汇总 2 3 12" xfId="22405"/>
    <cellStyle name="标题 2 2 5 2 2 2" xfId="22406"/>
    <cellStyle name="输入 2 2 5 12" xfId="22407"/>
    <cellStyle name="输出 2 3 2 3" xfId="22408"/>
    <cellStyle name="汇总 2 8 2 6" xfId="22409"/>
    <cellStyle name="标题 7 2 2 2" xfId="22410"/>
    <cellStyle name="常规 12 2 4 2" xfId="22411"/>
    <cellStyle name="输入 2 3 2" xfId="22412"/>
    <cellStyle name="计算 2 5 2 11 2" xfId="22413"/>
    <cellStyle name="60% - 强调文字颜色 3 2 5" xfId="22414"/>
    <cellStyle name="注释 2 2 2 2 5 2 2" xfId="22415"/>
    <cellStyle name="常规 4 11" xfId="22416"/>
    <cellStyle name="计算 2 6 2 2 3 3" xfId="22417"/>
    <cellStyle name="20% - 强调文字颜色 1 2 3 6 2 2" xfId="22418"/>
    <cellStyle name="标题 1 2 2 4 4 2" xfId="22419"/>
    <cellStyle name="输出 2 2 3 3 2 2 3 2" xfId="22420"/>
    <cellStyle name="强调文字颜色 5 2 4 5 2 2" xfId="22421"/>
    <cellStyle name="输入 2 2 8 2 2 2 2" xfId="22422"/>
    <cellStyle name="汇总 2 2 6 2 2 4 2 2" xfId="22423"/>
    <cellStyle name="40% - 强调文字颜色 3 2 3 2 4 2" xfId="22424"/>
    <cellStyle name="标题 4 2 2 7 2" xfId="22425"/>
    <cellStyle name="链接单元格 2 2 2 2 3 2" xfId="22426"/>
    <cellStyle name="计算 2 5 2 4 6" xfId="22427"/>
    <cellStyle name="强调文字颜色 3 2 2 2 4 3" xfId="22428"/>
    <cellStyle name="常规 5 3 2 2 3 3 2 2" xfId="22429"/>
    <cellStyle name="解释性文本 2 3 2 3 3 3" xfId="22430"/>
    <cellStyle name="强调文字颜色 1 2 3 4 2 2 2" xfId="22431"/>
    <cellStyle name="强调文字颜色 6 3 2 2 3" xfId="22432"/>
    <cellStyle name="强调文字颜色 6 2 2 2 2 2 2 2 2 2" xfId="22433"/>
    <cellStyle name="常规 2 3 6 2 2 2" xfId="22434"/>
    <cellStyle name="适中 3 3 3 2" xfId="22435"/>
    <cellStyle name="输出 5 3 2 2" xfId="22436"/>
    <cellStyle name="强调文字颜色 3 2 2 2 2" xfId="22437"/>
    <cellStyle name="强调文字颜色 6 2 2 2 2 3 3 2 2" xfId="22438"/>
    <cellStyle name="20% - 强调文字颜色 6 2 5 3 2 2" xfId="22439"/>
    <cellStyle name="计算 3 2 3 2 2 2" xfId="22440"/>
    <cellStyle name="汇总 2 5 3 2 2 5 2" xfId="22441"/>
    <cellStyle name="汇总 2 2 8 2 9" xfId="22442"/>
    <cellStyle name="汇总 3 3 2 6" xfId="22443"/>
    <cellStyle name="好 2 5 3 3" xfId="22444"/>
    <cellStyle name="输入 2 5 2 4 2" xfId="22445"/>
    <cellStyle name="强调文字颜色 2 2 3 4 3 2" xfId="22446"/>
    <cellStyle name="60% - 强调文字颜色 2 2 7" xfId="22447"/>
    <cellStyle name="输入 2 3 5" xfId="22448"/>
    <cellStyle name="汇总 2 4 2 3 3 2" xfId="22449"/>
    <cellStyle name="注释 2 4 2 3 3 2 2" xfId="22450"/>
    <cellStyle name="汇总 2 2 4 5 2 5 2" xfId="22451"/>
    <cellStyle name="计算 2 2 5 4 3 3" xfId="22452"/>
    <cellStyle name="链接单元格 2 2 4 2" xfId="22453"/>
    <cellStyle name="汇总 2 7 16" xfId="22454"/>
    <cellStyle name="差 2 5 2" xfId="22455"/>
    <cellStyle name="计算 2 9 4 2 2" xfId="22456"/>
    <cellStyle name="汇总 2 7 4 5 2" xfId="22457"/>
    <cellStyle name="计算 2 2 8 4 3" xfId="22458"/>
    <cellStyle name="强调文字颜色 2 2 3 5 2 2 2" xfId="22459"/>
    <cellStyle name="强调文字颜色 5 2 2 2 2" xfId="22460"/>
    <cellStyle name="20% - 强调文字颜色 6 2 2 9 2" xfId="22461"/>
    <cellStyle name="差 2 2 10" xfId="22462"/>
    <cellStyle name="汇总 2 4 7 3" xfId="22463"/>
    <cellStyle name="计算 3 2 3 4" xfId="22464"/>
    <cellStyle name="计算 2 7 2 2 4 2 2" xfId="22465"/>
    <cellStyle name="计算 3 2 3 3 2" xfId="22466"/>
    <cellStyle name="常规 10 2 8" xfId="22467"/>
    <cellStyle name="汇总 2 2 4 6 4" xfId="22468"/>
    <cellStyle name="汇总 2 5 2 3 3" xfId="22469"/>
    <cellStyle name="链接单元格 2 2 6 2 2" xfId="22470"/>
    <cellStyle name="计算 2 5 2 2 2 3 2 2" xfId="22471"/>
    <cellStyle name="常规 12 2 2 2 3" xfId="22472"/>
    <cellStyle name="计算 2 2 5 2 3 6" xfId="22473"/>
    <cellStyle name="标题 5 2 2 2 3 2 2" xfId="22474"/>
    <cellStyle name="标题 5 3 3 2 2" xfId="22475"/>
    <cellStyle name="输出 2 7 4" xfId="22476"/>
    <cellStyle name="计算 2 6 2 2 4" xfId="22477"/>
    <cellStyle name="常规 6 4 5 2" xfId="22478"/>
    <cellStyle name="标题 4 2 4 2 2 2 2 2" xfId="22479"/>
    <cellStyle name="汇总 2 2 2 4 8" xfId="22480"/>
    <cellStyle name="60% - 强调文字颜色 4 2 2 6 2 2" xfId="22481"/>
    <cellStyle name="计算 2 2 4 2 3 3 2 3" xfId="22482"/>
    <cellStyle name="汇总 2 10 2 3 2 2" xfId="22483"/>
    <cellStyle name="注释 2 2 8" xfId="22484"/>
    <cellStyle name="输入 2 6 2 6" xfId="22485"/>
    <cellStyle name="常规 8 4 3 2" xfId="22486"/>
    <cellStyle name="20% - 强调文字颜色 3 2 2 3 2 2" xfId="22487"/>
    <cellStyle name="常规 4 2 4 2 3 2" xfId="22488"/>
    <cellStyle name="20% - 强调文字颜色 1 2 2 2 2 2 3 2 2 2" xfId="22489"/>
    <cellStyle name="输出 2 2 3 4 3 3" xfId="22490"/>
    <cellStyle name="计算 2 2 3 2 4 3" xfId="22491"/>
    <cellStyle name="20% - 强调文字颜色 2 2 2 2 4 3" xfId="22492"/>
    <cellStyle name="强调文字颜色 4 3 2 2 3 2" xfId="22493"/>
    <cellStyle name="强调文字颜色 2 2 3 4 4" xfId="22494"/>
    <cellStyle name="计算 2 4 2 2 3 2 2" xfId="22495"/>
    <cellStyle name="60% - 强调文字颜色 2 4 4 2 2 2" xfId="22496"/>
    <cellStyle name="解释性文本 2 4 2" xfId="22497"/>
    <cellStyle name="强调文字颜色 2 2 3 2 4 2 2" xfId="22498"/>
    <cellStyle name="汇总 2 4 2 3 2 3" xfId="22499"/>
    <cellStyle name="汇总 3 3 7 2" xfId="22500"/>
    <cellStyle name="20% - 强调文字颜色 1 2 2 6 3 2" xfId="22501"/>
    <cellStyle name="常规 12 2 2 3 3" xfId="22502"/>
    <cellStyle name="40% - 强调文字颜色 6 2 5 2 2 2" xfId="22503"/>
    <cellStyle name="汇总 2 8 2 2 3 2" xfId="22504"/>
    <cellStyle name="输入 2 2 4 5 7" xfId="22505"/>
    <cellStyle name="输入 2 2 5 3 2 6" xfId="22506"/>
    <cellStyle name="输入 2 2 4 2 3 5" xfId="22507"/>
    <cellStyle name="注释 2 2 5 2 5 2" xfId="22508"/>
    <cellStyle name="40% - 强调文字颜色 2 3 2 2 3 2 2 2" xfId="22509"/>
    <cellStyle name="标题 3 2 8" xfId="22510"/>
    <cellStyle name="超链接 2 4 3 4" xfId="22511"/>
    <cellStyle name="注释 2 5 8 2" xfId="22512"/>
    <cellStyle name="超链接 3 2 3 2 2 3" xfId="22513"/>
    <cellStyle name="计算 2 5 2 3 2 2 2" xfId="22514"/>
    <cellStyle name="警告文本 2 7 2 2" xfId="22515"/>
    <cellStyle name="汇总 2 4 4 4 2" xfId="22516"/>
    <cellStyle name="计算 3 3 6" xfId="22517"/>
    <cellStyle name="汇总 3 2 3 2" xfId="22518"/>
    <cellStyle name="60% - 强调文字颜色 6 2 2 2 2 2 2 2 2" xfId="22519"/>
    <cellStyle name="输出 2 2 3 7 2 2" xfId="22520"/>
    <cellStyle name="汇总 3 4 6" xfId="22521"/>
    <cellStyle name="20% - 强调文字颜色 1 2 2 7 2" xfId="22522"/>
    <cellStyle name="注释 2 2 3 2 2 2 2" xfId="22523"/>
    <cellStyle name="20% - 强调文字颜色 1 3 3 3 2 2" xfId="22524"/>
    <cellStyle name="汇总 2 2 2 2 2 3 3 3" xfId="22525"/>
    <cellStyle name="20% - 强调文字颜色 5 2 2 2 2 4 3 2 2" xfId="22526"/>
    <cellStyle name="注释 3 3 3" xfId="22527"/>
    <cellStyle name="汇总 2 2 5 2 4 2 3" xfId="22528"/>
    <cellStyle name="汇总 3 2 3 3 2 2" xfId="22529"/>
    <cellStyle name="计算 4 6" xfId="22530"/>
    <cellStyle name="输入 2 7 2 4 2" xfId="22531"/>
    <cellStyle name="注释 3 2 6 2" xfId="22532"/>
    <cellStyle name="汇总 3 11" xfId="22533"/>
    <cellStyle name="汇总 3 5 3 2" xfId="22534"/>
    <cellStyle name="计算 3 2 2 4" xfId="22535"/>
    <cellStyle name="40% - 强调文字颜色 3 2 4 5 2" xfId="22536"/>
    <cellStyle name="20% - 强调文字颜色 1 2 3 2 2 3 3 2" xfId="22537"/>
    <cellStyle name="60% - 强调文字颜色 5 2 2 2 6 2" xfId="22538"/>
    <cellStyle name="解释性文本 2 2 2 3" xfId="22539"/>
    <cellStyle name="强调文字颜色 3 3 6" xfId="22540"/>
    <cellStyle name="输出 2 2 2 2 2 6" xfId="22541"/>
    <cellStyle name="差 4 2 2 2 2 2" xfId="22542"/>
    <cellStyle name="汇总 2 2 4 5 6 2" xfId="22543"/>
    <cellStyle name="汇总 2 2 2 3 7" xfId="22544"/>
    <cellStyle name="注释 2 2 4 3 5 2" xfId="22545"/>
    <cellStyle name="输入 2 8 3 3" xfId="22546"/>
    <cellStyle name="计算 2 3 3 2 4 2" xfId="22547"/>
    <cellStyle name="常规 3 3 3 2 2 2" xfId="22548"/>
    <cellStyle name="40% - 强调文字颜色 6 2 3 7" xfId="22549"/>
    <cellStyle name="计算 2 2 5 9" xfId="22550"/>
    <cellStyle name="标题 5 2 3 3 3 2" xfId="22551"/>
    <cellStyle name="汇总 2 5 3 3 2 2 2" xfId="22552"/>
    <cellStyle name="40% - 强调文字颜色 4 2 3 2 2 3 2" xfId="22553"/>
    <cellStyle name="强调文字颜色 1 2 2" xfId="22554"/>
    <cellStyle name="汇总 2 2 4 2 2 2 2 4 3" xfId="22555"/>
    <cellStyle name="超链接 2 3 2 2" xfId="22556"/>
    <cellStyle name="解释性文本 2 2 2 3 2 3" xfId="22557"/>
    <cellStyle name="汇总 2 2 7 5 2 3" xfId="22558"/>
    <cellStyle name="注释 3 12" xfId="22559"/>
    <cellStyle name="好 2 2 6 3" xfId="22560"/>
    <cellStyle name="差 2 4 4 4" xfId="22561"/>
    <cellStyle name="60% - 强调文字颜色 2 2 2 4 2" xfId="22562"/>
    <cellStyle name="标题 2 3 7" xfId="22563"/>
    <cellStyle name="超链接 2 3 4 3" xfId="22564"/>
    <cellStyle name="强调文字颜色 3 2 7" xfId="22565"/>
    <cellStyle name="常规 3 2 4 2 3 4 2" xfId="22566"/>
    <cellStyle name="计算 2 2 2 2 2 2 4 2" xfId="22567"/>
    <cellStyle name="警告文本 2 3 5 3" xfId="22568"/>
    <cellStyle name="计算 2 2 4 2 5 4 2" xfId="22569"/>
    <cellStyle name="输入 2 7 2 2 2" xfId="22570"/>
    <cellStyle name="注释 3 2 4 2" xfId="22571"/>
    <cellStyle name="标题 4 2 2 3 3 4" xfId="22572"/>
    <cellStyle name="输入 2 2 8 3 2 2 2" xfId="22573"/>
    <cellStyle name="适中 2 2 3 5 2 2" xfId="22574"/>
    <cellStyle name="计算 2 2 8 2 2 2 3" xfId="22575"/>
    <cellStyle name="计算 2 2 9 2" xfId="22576"/>
    <cellStyle name="标题 3 2 2 3 5 2 2" xfId="22577"/>
    <cellStyle name="常规 2 3 2 2 2 3 2" xfId="22578"/>
    <cellStyle name="常规 8 3 2 2" xfId="22579"/>
    <cellStyle name="计算 2 2 9 3 3" xfId="22580"/>
    <cellStyle name="40% - 强调文字颜色 3 6 2" xfId="22581"/>
    <cellStyle name="汇总 2 7 5 4 2" xfId="22582"/>
    <cellStyle name="输入 2 2 3 4 4" xfId="22583"/>
    <cellStyle name="输出 2 4 2 2 2 2 3" xfId="22584"/>
    <cellStyle name="标题 5 3 2 2 2 2 2 3" xfId="22585"/>
    <cellStyle name="注释 2 2 4 2 2 5 2" xfId="22586"/>
    <cellStyle name="汇总 2 2 6 5 2 3" xfId="22587"/>
    <cellStyle name="注释 2 7 10" xfId="22588"/>
    <cellStyle name="注释 2 2 4 3 2 3 2" xfId="22589"/>
    <cellStyle name="常规 9 5 2" xfId="22590"/>
    <cellStyle name="常规 6 2 2 2 4 2 2 2" xfId="22591"/>
    <cellStyle name="解释性文本 2 4 3 3 3" xfId="22592"/>
    <cellStyle name="汇总 2 5 2 2 3 4" xfId="22593"/>
    <cellStyle name="输入 2 8 2 2 2 2" xfId="22594"/>
    <cellStyle name="注释 4 2 4 2 2" xfId="22595"/>
    <cellStyle name="常规 6 2 3 2 2 2 2" xfId="22596"/>
    <cellStyle name="汇总 3 9 2 2" xfId="22597"/>
    <cellStyle name="计算 2 2 5 2 2 5" xfId="22598"/>
    <cellStyle name="计算 2 5 4 2 8" xfId="22599"/>
    <cellStyle name="汇总 5 3 2 2" xfId="22600"/>
    <cellStyle name="40% - 强调文字颜色 3 2 2 2 7 2" xfId="22601"/>
    <cellStyle name="输入 2 2 4 3 2" xfId="22602"/>
    <cellStyle name="汇总 2 3 2 7 2" xfId="22603"/>
    <cellStyle name="输出 2 7 2 4 2" xfId="22604"/>
    <cellStyle name="常规 2 4 4" xfId="22605"/>
    <cellStyle name="40% - 强调文字颜色 4 2 5 3 2 2 2" xfId="22606"/>
    <cellStyle name="强调文字颜色 4 2 3 4 3 2 2" xfId="22607"/>
    <cellStyle name="20% - 强调文字颜色 2 2 3 2 4 2 2" xfId="22608"/>
    <cellStyle name="输入 2 7 5 5" xfId="22609"/>
    <cellStyle name="强调文字颜色 1 2 2 2 3 5" xfId="22610"/>
    <cellStyle name="输出 2 6 3 2" xfId="22611"/>
    <cellStyle name="汇总 2 2 5 3 6 2 2" xfId="22612"/>
    <cellStyle name="强调文字颜色 3 2 9" xfId="22613"/>
    <cellStyle name="常规 7 5" xfId="22614"/>
    <cellStyle name="计算 2 2 3 2 2 2 3" xfId="22615"/>
    <cellStyle name="常规 8 5 2 2 2" xfId="22616"/>
    <cellStyle name="输出 2 2 3 2 3 3 2" xfId="22617"/>
    <cellStyle name="注释 2 2 10 2 2" xfId="22618"/>
    <cellStyle name="常规 10 3 2 6" xfId="22619"/>
    <cellStyle name="40% - 强调文字颜色 5 2 3 5 2 2 2" xfId="22620"/>
    <cellStyle name="超链接 2 2 2 2 2 4" xfId="22621"/>
    <cellStyle name="60% - 强调文字颜色 6 3 4" xfId="22622"/>
    <cellStyle name="常规 5 4 3 5" xfId="22623"/>
    <cellStyle name="常规 2 9" xfId="22624"/>
    <cellStyle name="汇总 2 6 3 6 2" xfId="22625"/>
    <cellStyle name="计算 2 2 9 5 2" xfId="22626"/>
    <cellStyle name="输出 2 4 2 2 2 4 2" xfId="22627"/>
    <cellStyle name="输入 2 2 3 6 3" xfId="22628"/>
    <cellStyle name="计算 2 2 4 2 10 2" xfId="22629"/>
    <cellStyle name="检查单元格 2 3 4" xfId="22630"/>
    <cellStyle name="60% - 强调文字颜色 6 3 7" xfId="22631"/>
    <cellStyle name="计算 2 4 2 4 3 2" xfId="22632"/>
    <cellStyle name="计算 2 7 4 5" xfId="22633"/>
    <cellStyle name="汇总 3 3 2 2" xfId="22634"/>
    <cellStyle name="常规 6 2 2 2 3" xfId="22635"/>
    <cellStyle name="输入 2 12 2" xfId="22636"/>
    <cellStyle name="汇总 2 4 5 3 2" xfId="22637"/>
    <cellStyle name="标题 3 2 2 3 2 2 2 3" xfId="22638"/>
    <cellStyle name="计算 4 2 6" xfId="22639"/>
    <cellStyle name="标题 5 2 2 2 3 3 2 2" xfId="22640"/>
    <cellStyle name="差 2 3 4 3" xfId="22641"/>
    <cellStyle name="汇总 2 2 4 2 2 8 2" xfId="22642"/>
    <cellStyle name="汇总 7" xfId="22643"/>
    <cellStyle name="注释 2 2 4 2 2 3 3" xfId="22644"/>
    <cellStyle name="计算 2 6 2 2 5" xfId="22645"/>
    <cellStyle name="百分比 2 2 2 2 3" xfId="22646"/>
    <cellStyle name="20% - 强调文字颜色 5 2 2 4" xfId="22647"/>
    <cellStyle name="强调文字颜色 5 2 3 2" xfId="22648"/>
    <cellStyle name="汇总 2 7 6 4" xfId="22649"/>
    <cellStyle name="40% - 强调文字颜色 4 6" xfId="22650"/>
    <cellStyle name="强调文字颜色 1 2 6 3 2" xfId="22651"/>
    <cellStyle name="检查单元格 2 6 2 3" xfId="22652"/>
    <cellStyle name="强调文字颜色 6 5 3" xfId="22653"/>
    <cellStyle name="好 2 2 3 3 2" xfId="22654"/>
    <cellStyle name="注释 4 4 3" xfId="22655"/>
    <cellStyle name="汇总 2 16 2 2" xfId="22656"/>
    <cellStyle name="标题 2 2 3 2 3 3 2" xfId="22657"/>
    <cellStyle name="强调文字颜色 6 4 2 3" xfId="22658"/>
    <cellStyle name="汇总 2 2 4 6 3 2" xfId="22659"/>
    <cellStyle name="计算 2 2 4 2 3 2 3" xfId="22660"/>
    <cellStyle name="输入 2 2 4 3 3 2 2" xfId="22661"/>
    <cellStyle name="汇总 2 2 7 3" xfId="22662"/>
    <cellStyle name="40% - 强调文字颜色 6 2 3 2 3 3 2" xfId="22663"/>
    <cellStyle name="计算 2 2 7 2 2 2 2 2" xfId="22664"/>
    <cellStyle name="链接单元格 2 9" xfId="22665"/>
    <cellStyle name="20% - 强调文字颜色 6 2 3 5 2 2" xfId="22666"/>
    <cellStyle name="标题 3 2 2 2 4 2 2 3" xfId="22667"/>
    <cellStyle name="注释 2 2 2 2 5" xfId="22668"/>
    <cellStyle name="20% - 强调文字颜色 1 2 3 6" xfId="22669"/>
    <cellStyle name="计算 3 3 7 2" xfId="22670"/>
    <cellStyle name="输入 2 2 4 2 9 2 2" xfId="22671"/>
    <cellStyle name="强调文字颜色 6 2 2 4 5 3" xfId="22672"/>
    <cellStyle name="计算 2 2 6 4 4" xfId="22673"/>
    <cellStyle name="汇总 2 7 2 5 3" xfId="22674"/>
    <cellStyle name="标题 4 2 4 3 2 2" xfId="22675"/>
    <cellStyle name="汇总 2 7 6 2 3" xfId="22676"/>
    <cellStyle name="40% - 强调文字颜色 4 4 3" xfId="22677"/>
    <cellStyle name="输入 2 2 4 2 5" xfId="22678"/>
    <cellStyle name="汇总 2 2 6 2 2 6 2" xfId="22679"/>
    <cellStyle name="计算 2 6 2 2 6 2" xfId="22680"/>
    <cellStyle name="40% - 强调文字颜色 5 2 3 2 2 3" xfId="22681"/>
    <cellStyle name="60% - 强调文字颜色 6 5 2 2 2 2" xfId="22682"/>
    <cellStyle name="强调文字颜色 4 2 2 5 2 2 2" xfId="22683"/>
    <cellStyle name="警告文本 2 2 2 3 5" xfId="22684"/>
    <cellStyle name="注释 2 2 3 2 6 2" xfId="22685"/>
    <cellStyle name="40% - 强调文字颜色 5 4 3 2" xfId="22686"/>
    <cellStyle name="输入 2 2 5 2 5 2" xfId="22687"/>
    <cellStyle name="千位分隔" xfId="22688" builtinId="3"/>
    <cellStyle name="汇总 2 2 4 6 3 3" xfId="22689"/>
    <cellStyle name="输入 2 7 3 2 4" xfId="22690"/>
    <cellStyle name="标题 4 2 2 2 2 2 3 3" xfId="22691"/>
    <cellStyle name="40% - 强调文字颜色 2 3 2 2 3" xfId="22692"/>
    <cellStyle name="40% - 强调文字颜色 1 2 2 6 2" xfId="22693"/>
    <cellStyle name="60% - 强调文字颜色 5 2 2 3 5 2" xfId="22694"/>
    <cellStyle name="强调文字颜色 6 2 2 2 2 5 2 2" xfId="22695"/>
    <cellStyle name="计算 2 2 2 5 4" xfId="22696"/>
    <cellStyle name="常规 3 2 2 5 2" xfId="22697"/>
    <cellStyle name="强调文字颜色 5 2 2 4 2 3 2" xfId="22698"/>
    <cellStyle name="强调文字颜色 1 2 3 6 2" xfId="22699"/>
    <cellStyle name="检查单元格 2 3 5 3" xfId="22700"/>
    <cellStyle name="汇总 2 2 7 4 3 2" xfId="22701"/>
    <cellStyle name="计算 2 2 8 3 2" xfId="22702"/>
    <cellStyle name="输入 2 2 2 4 3" xfId="22703"/>
    <cellStyle name="强调文字颜色 6 2 2 2 2 3 3" xfId="22704"/>
    <cellStyle name="汇总 2 2 6 3 6" xfId="22705"/>
    <cellStyle name="输入 2 4 3" xfId="22706"/>
    <cellStyle name="常规 6 3" xfId="22707"/>
    <cellStyle name="汇总 2 5 2 2 2 2 6" xfId="22708"/>
    <cellStyle name="计算 2 2 10 2 3 3" xfId="22709"/>
    <cellStyle name="强调文字颜色 4 4 5" xfId="22710"/>
    <cellStyle name="输出 2 8 8" xfId="22711"/>
    <cellStyle name="20% - 强调文字颜色 2 2 2 2 6 2 2" xfId="22712"/>
    <cellStyle name="60% - 强调文字颜色 3 2 2 2 5 2 2 2" xfId="22713"/>
    <cellStyle name="常规 5 2 3 2 5 3" xfId="22714"/>
    <cellStyle name="40% - 强调文字颜色 4 3 3 4" xfId="22715"/>
    <cellStyle name="输出 2 3 3 4 3" xfId="22716"/>
    <cellStyle name="汇总 2 4 4 5 2 2" xfId="22717"/>
    <cellStyle name="强调文字颜色 2 2 4 4 3 2" xfId="22718"/>
    <cellStyle name="解释性文本 2 2 4 2 3" xfId="22719"/>
    <cellStyle name="60% - 强调文字颜色 6 3 2" xfId="22720"/>
    <cellStyle name="注释 2 5 3 2 5" xfId="22721"/>
    <cellStyle name="强调文字颜色 3 2 7 2 2" xfId="22722"/>
    <cellStyle name="计算 2 7 2 7" xfId="22723"/>
    <cellStyle name="检查单元格 3 7" xfId="22724"/>
    <cellStyle name="强调文字颜色 4 2 3 4 2 2 2" xfId="22725"/>
    <cellStyle name="输出 2 5 3 2" xfId="22726"/>
    <cellStyle name="输入 2 2 10 3" xfId="22727"/>
    <cellStyle name="20% - 强调文字颜色 6 3 2 2 3 2 2" xfId="22728"/>
    <cellStyle name="输出 2 2 9 5" xfId="22729"/>
    <cellStyle name="40% - 强调文字颜色 4 2 2 3 2 2 2" xfId="22730"/>
    <cellStyle name="注释 2 2 3 2 4 2" xfId="22731"/>
    <cellStyle name="强调文字颜色 6 2 2 3 6" xfId="22732"/>
    <cellStyle name="强调文字颜色 3 2 2 5 3 2 2" xfId="22733"/>
    <cellStyle name="常规 5 4 6 2 2" xfId="22734"/>
    <cellStyle name="计算 2 5 2 3 4 2" xfId="22735"/>
    <cellStyle name="注释 2 5 2 3 4" xfId="22736"/>
    <cellStyle name="40% - 强调文字颜色 5 2 2 6 3" xfId="22737"/>
    <cellStyle name="20% - 强调文字颜色 1 2 2 2 2 4 2 2" xfId="22738"/>
    <cellStyle name="注释 2 4 2 3 2 3 2" xfId="22739"/>
    <cellStyle name="20% - 强调文字颜色 3 2 4 3 3 2" xfId="22740"/>
    <cellStyle name="输出 2 4 2 13" xfId="22741"/>
    <cellStyle name="好 2 2 2 4" xfId="22742"/>
    <cellStyle name="注释 2 4 2 3 7" xfId="22743"/>
    <cellStyle name="计算 4 2 2 5 2" xfId="22744"/>
    <cellStyle name="注释 2 2 2 8 3" xfId="22745"/>
    <cellStyle name="注释 2 3 3 3 2" xfId="22746"/>
    <cellStyle name="强调文字颜色 1 2 2 6 3 3" xfId="22747"/>
    <cellStyle name="汇总 2 2 4 2 3 3 3 3" xfId="22748"/>
    <cellStyle name="计算 2 5 2 3 3 4" xfId="22749"/>
    <cellStyle name="输入 2 5 2 3 7" xfId="22750"/>
    <cellStyle name="计算 4 3 4 2" xfId="22751"/>
    <cellStyle name="好 2 2 2 4 2 3" xfId="22752"/>
    <cellStyle name="输入 2 2 3 2" xfId="22753"/>
    <cellStyle name="40% - 强调文字颜色 4 2 4 4 2" xfId="22754"/>
    <cellStyle name="输出 2 4 2 3 2 3" xfId="22755"/>
    <cellStyle name="40% - 强调文字颜色 5 2 2 3 3" xfId="22756"/>
    <cellStyle name="差 4 3 2 2 2" xfId="22757"/>
    <cellStyle name="20% - 强调文字颜色 5 2 4" xfId="22758"/>
    <cellStyle name="解释性文本 2 2 3 6" xfId="22759"/>
    <cellStyle name="输入 2 2 11" xfId="22760"/>
    <cellStyle name="40% - 强调文字颜色 4 2 2 7 2" xfId="22761"/>
    <cellStyle name="注释 2 3 8 3" xfId="22762"/>
    <cellStyle name="40% - 强调文字颜色 2 2 2 6 2" xfId="22763"/>
    <cellStyle name="千位分隔[0]" xfId="22764" builtinId="6"/>
    <cellStyle name="计算 2 5 11" xfId="22765"/>
    <cellStyle name="计算 2 2 7 4 3" xfId="22766"/>
    <cellStyle name="汇总 2 7 3 5 2" xfId="22767"/>
    <cellStyle name="输出 2 2 3 2 2" xfId="22768"/>
    <cellStyle name="汇总 2 2 8 5 4 2" xfId="22769"/>
    <cellStyle name="汇总 3 2 4 3 2" xfId="22770"/>
    <cellStyle name="20% - 强调文字颜色 3 2 7 2 2 2" xfId="22771"/>
    <cellStyle name="标题 2 2 2 2 3 3" xfId="22772"/>
    <cellStyle name="注释 2 4 2 2 2" xfId="22773"/>
    <cellStyle name="20% - 强调文字颜色 3 2 3 3" xfId="22774"/>
    <cellStyle name="20% - 强调文字颜色 1 2 3 2 5" xfId="22775"/>
    <cellStyle name="警告文本 2 4 3 3 2" xfId="22776"/>
    <cellStyle name="计算 2 2 4 2 6 2 2 2" xfId="22777"/>
    <cellStyle name="超链接 2 4 2 3 2" xfId="22778"/>
    <cellStyle name="汇总 2 8 6 2" xfId="22779"/>
    <cellStyle name="注释 2 4 2 7 2" xfId="22780"/>
    <cellStyle name="计算 2 5 5 4" xfId="22781"/>
    <cellStyle name="输出 2 6 2 5 2" xfId="22782"/>
    <cellStyle name="注释 2 2 2 2 3 6" xfId="22783"/>
    <cellStyle name="汇总 2 5 2 3 5 2" xfId="22784"/>
    <cellStyle name="标题 3 2 3 2 5 2 2" xfId="22785"/>
    <cellStyle name="常规 4 2 4 5" xfId="22786"/>
    <cellStyle name="解释性文本 2 2 2 3 2 2 2" xfId="22787"/>
    <cellStyle name="计算 2 9 10" xfId="22788"/>
    <cellStyle name="强调文字颜色 3 2 2 2 2 4 2" xfId="22789"/>
    <cellStyle name="汇总 2 2 3 2 3 5" xfId="22790"/>
    <cellStyle name="计算 2 2 5 2 2 4 2" xfId="22791"/>
    <cellStyle name="标题 2 2 2 3" xfId="22792"/>
    <cellStyle name="计算 2 8 3 2 3" xfId="22793"/>
    <cellStyle name="适中 2 2 5 2 3" xfId="22794"/>
    <cellStyle name="注释 2 2 17" xfId="22795"/>
    <cellStyle name="好 2 6 2" xfId="22796"/>
    <cellStyle name="超链接 2 2 4 2 4" xfId="22797"/>
    <cellStyle name="好 2 2 2 2 3 3 2" xfId="22798"/>
    <cellStyle name="注释 2 4 2 3 4 2" xfId="22799"/>
    <cellStyle name="20% - 强调文字颜色 3 2 4 5 2" xfId="22800"/>
    <cellStyle name="输出 2 2 2 3 4 3" xfId="22801"/>
    <cellStyle name="强调文字颜色 4 5 3" xfId="22802"/>
    <cellStyle name="标题 4 2 4 2 2 2 3" xfId="22803"/>
    <cellStyle name="计算 2 6 4 5 2 2" xfId="22804"/>
    <cellStyle name="计算 2 2 5 2 3 3 3" xfId="22805"/>
    <cellStyle name="常规 9 7" xfId="22806"/>
    <cellStyle name="注释 2 2 4 3 2 5" xfId="22807"/>
    <cellStyle name="汇总 2 3 9" xfId="22808"/>
    <cellStyle name="汇总 2 5 2 7 3" xfId="22809"/>
    <cellStyle name="汇总 2 2 5 2 2 2 7" xfId="22810"/>
    <cellStyle name="强调文字颜色 6 4 3 2" xfId="22811"/>
    <cellStyle name="好 4 5" xfId="22812"/>
    <cellStyle name="常规 15" xfId="22813"/>
    <cellStyle name="常规 20" xfId="22814"/>
    <cellStyle name="汇总 2 2 5 3" xfId="22815"/>
    <cellStyle name="汇总 2 2 6 2 2 8" xfId="22816"/>
    <cellStyle name="注释 2 5 2 2 5" xfId="22817"/>
    <cellStyle name="强调文字颜色 3 2 4 4" xfId="22818"/>
    <cellStyle name="警告文本 2 3 2 3 3 3" xfId="22819"/>
    <cellStyle name="注释 2 2 2 2 2 5 2" xfId="22820"/>
    <cellStyle name="常规 10 2 2 2 5 2 2" xfId="22821"/>
    <cellStyle name="输入 2 5 2 2 6 2" xfId="22822"/>
    <cellStyle name="汇总 2 2 8 3 3 2" xfId="22823"/>
    <cellStyle name="注释 2 2 4 4 7" xfId="22824"/>
    <cellStyle name="汇总 2 2 4 6 5" xfId="22825"/>
    <cellStyle name="输入 2 5 2 2 6" xfId="22826"/>
    <cellStyle name="40% - 强调文字颜色 6 4 4 2 2 2" xfId="22827"/>
    <cellStyle name="汇总 2 3 2 2 2 2 2" xfId="22828"/>
    <cellStyle name="常规 12 4 2 3 3" xfId="22829"/>
    <cellStyle name="汇总 4 2 3" xfId="22830"/>
    <cellStyle name="常规 4 2 3 4 3 3" xfId="22831"/>
    <cellStyle name="输出 2 2 6 2 2" xfId="22832"/>
    <cellStyle name="常规 4 6 4 2 2" xfId="22833"/>
    <cellStyle name="计算 2 7 3 2 2 3" xfId="22834"/>
    <cellStyle name="汇总 2 2 8 2 2" xfId="22835"/>
    <cellStyle name="强调文字颜色 1 4 2 3 2" xfId="22836"/>
    <cellStyle name="输入 2 2 4 2 5 5" xfId="22837"/>
    <cellStyle name="输入 2 6 2 2 2 3 2" xfId="22838"/>
    <cellStyle name="注释 2 2 4 2 3 2" xfId="22839"/>
    <cellStyle name="标题 4 2 2 2 4 3 3" xfId="22840"/>
    <cellStyle name="计算 2 2 8 2 4 2" xfId="22841"/>
    <cellStyle name="输入 2 2 2 3 5 2" xfId="22842"/>
    <cellStyle name="输入 3 2 2 4 3" xfId="22843"/>
    <cellStyle name="60% - 强调文字颜色 5 3 2 5" xfId="22844"/>
    <cellStyle name="汇总 3 3 3 3" xfId="22845"/>
    <cellStyle name="常规 12 6 3" xfId="22846"/>
    <cellStyle name="汇总 2 2 2 10" xfId="22847"/>
    <cellStyle name="警告文本 2 2 5 4" xfId="22848"/>
    <cellStyle name="计算 2 2 4 2 4 4 3" xfId="22849"/>
    <cellStyle name="强调文字颜色 2 3 4 2" xfId="22850"/>
    <cellStyle name="注释 2 2 7 3 3 2" xfId="22851"/>
    <cellStyle name="输出 2 4 2 5 2" xfId="22852"/>
    <cellStyle name="好 2 3 2 5" xfId="22853"/>
    <cellStyle name="输入 5 4 2 2" xfId="22854"/>
    <cellStyle name="输入 2 12 3" xfId="22855"/>
    <cellStyle name="汇总 2 4 5 3 3" xfId="22856"/>
    <cellStyle name="计算 4 2 7" xfId="22857"/>
    <cellStyle name="强调文字颜色 4 2 2 2 3 2 2 2" xfId="22858"/>
    <cellStyle name="汇总 2 6 3 2 2 2" xfId="22859"/>
    <cellStyle name="计算 3 4" xfId="22860"/>
    <cellStyle name="差 2 2 4 6" xfId="22861"/>
    <cellStyle name="汇总 2 6 3 2 6" xfId="22862"/>
    <cellStyle name="60% - 强调文字颜色 1 2 3 2 4 2 2 2" xfId="22863"/>
    <cellStyle name="适中 2 2 2 5 2" xfId="22864"/>
    <cellStyle name="注释 2 4 5 2 3 2" xfId="22865"/>
    <cellStyle name="汇总 2 7 2 3" xfId="22866"/>
    <cellStyle name="强调文字颜色 6 2 2 4 3" xfId="22867"/>
    <cellStyle name="输出 2 5 7" xfId="22868"/>
    <cellStyle name="60% - 强调文字颜色 3 4 4 2 2" xfId="22869"/>
    <cellStyle name="计算 2 2 5 3 2" xfId="22870"/>
    <cellStyle name="60% - 强调文字颜色 2 2 5 2 2 2" xfId="22871"/>
    <cellStyle name="Normal 7" xfId="22872"/>
    <cellStyle name="好 2 2 7 2 2" xfId="22873"/>
    <cellStyle name="计算 2 9 2 5 2" xfId="22874"/>
    <cellStyle name="汇总 2 2 6 4 3" xfId="22875"/>
    <cellStyle name="20% - 强调文字颜色 2 2 3 2 2 2" xfId="22876"/>
    <cellStyle name="适中 2 2 2 7" xfId="22877"/>
    <cellStyle name="差 5 2" xfId="22878"/>
    <cellStyle name="常规 4 4 2" xfId="22879"/>
    <cellStyle name="注释 2 3 3 2 2" xfId="22880"/>
    <cellStyle name="20% - 强调文字颜色 2 3 3 3" xfId="22881"/>
    <cellStyle name="常规 4 2 4 3 2" xfId="22882"/>
    <cellStyle name="注释 2 6 2 6" xfId="22883"/>
    <cellStyle name="检查单元格 2 3 2 4 4" xfId="22884"/>
    <cellStyle name="常规 29" xfId="22885"/>
    <cellStyle name="标题 4 2 2 2 3" xfId="22886"/>
    <cellStyle name="百分比 2 2 2 7" xfId="22887"/>
    <cellStyle name="40% - 强调文字颜色 2 3 5 2 2" xfId="22888"/>
    <cellStyle name="强调文字颜色 1 2 2 2 4 2 3" xfId="22889"/>
    <cellStyle name="计算 2 8 3 4 3" xfId="22890"/>
    <cellStyle name="20% - 强调文字颜色 3 2 2 2 2 5" xfId="22891"/>
    <cellStyle name="计算 2 2 7 9" xfId="22892"/>
    <cellStyle name="输出 2 5 4 5" xfId="22893"/>
    <cellStyle name="标题 1 2 3 2 2 2" xfId="22894"/>
    <cellStyle name="汇总 2 2 2 3 2 4" xfId="22895"/>
    <cellStyle name="标题 5 6 2 3" xfId="22896"/>
    <cellStyle name="标题 5 2 2 5 2 3" xfId="22897"/>
    <cellStyle name="计算 3 2 2 4 2" xfId="22898"/>
    <cellStyle name="输入 5 6" xfId="22899"/>
    <cellStyle name="60% - 强调文字颜色 4 2 2 2 7" xfId="22900"/>
    <cellStyle name="输出 3 2 5 3" xfId="22901"/>
    <cellStyle name="差 3 4 2" xfId="22902"/>
    <cellStyle name="常规 10 2 7" xfId="22903"/>
    <cellStyle name="40% - 强调文字颜色 6 3 5 2 2" xfId="22904"/>
    <cellStyle name="计算 3 2 3 3 2 2" xfId="22905"/>
    <cellStyle name="计算 2 2 5 2 7" xfId="22906"/>
    <cellStyle name="计算 2 2 2 3 2 4" xfId="22907"/>
    <cellStyle name="汇总 2 5 3 6 2" xfId="22908"/>
    <cellStyle name="常规 2 2 4 3 2" xfId="22909"/>
    <cellStyle name="强调文字颜色 3 2 2 3 2 2 2 2 2" xfId="22910"/>
    <cellStyle name="好 2 3 2 2 5" xfId="22911"/>
    <cellStyle name="检查单元格 2 4 7" xfId="22912"/>
    <cellStyle name="40% - 强调文字颜色 4 3 2 3 2" xfId="22913"/>
    <cellStyle name="汇总 2 3 2 4" xfId="22914"/>
    <cellStyle name="注释 2 6 11" xfId="22915"/>
    <cellStyle name="60% - 强调文字颜色 4 4" xfId="22916"/>
    <cellStyle name="标题 1 2 3 2 4 3 2" xfId="22917"/>
    <cellStyle name="常规 12 4 2 2" xfId="22918"/>
    <cellStyle name="常规 10 2 2 2 3 3 2" xfId="22919"/>
    <cellStyle name="输入 2 2 4 2 2 2 4" xfId="22920"/>
    <cellStyle name="强调文字颜色 5 2 2 5 2 2" xfId="22921"/>
    <cellStyle name="40% - 强调文字颜色 3 2 2 2 6" xfId="22922"/>
    <cellStyle name="常规 10 10" xfId="22923"/>
    <cellStyle name="输入 2 8 8 2" xfId="22924"/>
    <cellStyle name="计算 2 6 7 2 2" xfId="22925"/>
    <cellStyle name="40% - 强调文字颜色 6 2 4 3" xfId="22926"/>
    <cellStyle name="输出 2 2 3 5 2 2 2" xfId="22927"/>
    <cellStyle name="输入 3 3 6" xfId="22928"/>
    <cellStyle name="40% - 强调文字颜色 1 2 2 5 2 2 2" xfId="22929"/>
    <cellStyle name="计算 2 2 2 3 6 2 2" xfId="22930"/>
    <cellStyle name="输入 3 2 2 4" xfId="22931"/>
    <cellStyle name="输入 2 2 7 3" xfId="22932"/>
    <cellStyle name="输入 2 2 4 2 12" xfId="22933"/>
    <cellStyle name="60% - 强调文字颜色 4 3 3 2" xfId="22934"/>
    <cellStyle name="常规 5 2 3 4 2" xfId="22935"/>
    <cellStyle name="汇总 2 2 4 2 2 6 2 2" xfId="22936"/>
    <cellStyle name="40% - 强调文字颜色 3 2 2 8" xfId="22937"/>
    <cellStyle name="汇总 2 3 2 2 2 2 2 3" xfId="22938"/>
    <cellStyle name="汇总 4 2 3 3" xfId="22939"/>
    <cellStyle name="输出 2 2 2 6 2 2" xfId="22940"/>
    <cellStyle name="输出 2 2 2 3 7" xfId="22941"/>
    <cellStyle name="计算 2 2 3 2 2 2 2 2" xfId="22942"/>
    <cellStyle name="注释 2 2 3 5 3" xfId="22943"/>
    <cellStyle name="链接单元格 2 2 3 9" xfId="22944"/>
    <cellStyle name="计算 4 2 3 2 2" xfId="22945"/>
    <cellStyle name="常规 7 4 2" xfId="22946"/>
    <cellStyle name="好 2 2 2 6 2 2" xfId="22947"/>
    <cellStyle name="好 2 2 3 8" xfId="22948"/>
    <cellStyle name="强调文字颜色 2 2 4 3 2 2" xfId="22949"/>
    <cellStyle name="解释性文本 2 2 4 4 2" xfId="22950"/>
    <cellStyle name="汇总 2 5 3 3 3 3" xfId="22951"/>
    <cellStyle name="计算 2 2 12 2 2" xfId="22952"/>
    <cellStyle name="汇总 2 2 4 2 5 2 2" xfId="22953"/>
    <cellStyle name="计算 2 6 6 2 2" xfId="22954"/>
    <cellStyle name="60% - 强调文字颜色 3 3 5 2 2 2" xfId="22955"/>
    <cellStyle name="20% - 强调文字颜色 5 2 2 3 5 2" xfId="22956"/>
    <cellStyle name="输出 2 6 12" xfId="22957"/>
    <cellStyle name="输出 2 2 5 2 6 2" xfId="22958"/>
    <cellStyle name="标题 5 3 5 2 2" xfId="22959"/>
    <cellStyle name="标题 5 2 2 2 5 2 2" xfId="22960"/>
    <cellStyle name="汇总 2 8 2 6 2" xfId="22961"/>
    <cellStyle name="40% - 强调文字颜色 5 2 2 2 3 2 2 2 2" xfId="22962"/>
    <cellStyle name="计算 2 2 5 4 7" xfId="22963"/>
    <cellStyle name="输入 3 2 2 3 3" xfId="22964"/>
    <cellStyle name="计算 3 2 8 2 2" xfId="22965"/>
    <cellStyle name="超链接 2 3 5 3" xfId="22966"/>
    <cellStyle name="汇总 2 2 2 2 2 2 6" xfId="22967"/>
    <cellStyle name="汇总 2 2 2 10 3" xfId="22968"/>
    <cellStyle name="输出 3 2 6 2" xfId="22969"/>
    <cellStyle name="20% - 强调文字颜色 5 2 2 2 2 2 3 3" xfId="22970"/>
    <cellStyle name="常规 6 5 2" xfId="22971"/>
    <cellStyle name="汇总 2 2 3 10" xfId="22972"/>
    <cellStyle name="输出 2 2 7 2 5" xfId="22973"/>
    <cellStyle name="计算 2 2 3 3 3 3 3" xfId="22974"/>
    <cellStyle name="40% - 强调文字颜色 4 3 2 2 2 2 2" xfId="22975"/>
    <cellStyle name="输出 2 2 4 2 5 3" xfId="22976"/>
    <cellStyle name="强调文字颜色 4 2 4 3 3 2" xfId="22977"/>
    <cellStyle name="标题 3 4 4 2 2 2" xfId="22978"/>
    <cellStyle name="汇总 2 2 2 4 5 2 2" xfId="22979"/>
    <cellStyle name="强调文字颜色 4 2 4 3 2" xfId="22980"/>
    <cellStyle name="输入 2 3 3 3" xfId="22981"/>
    <cellStyle name="常规 8 2 2 2 3 2" xfId="22982"/>
    <cellStyle name="汇总 2 2 3 2 2 2" xfId="22983"/>
    <cellStyle name="计算 2 2 5 4 2 2" xfId="22984"/>
    <cellStyle name="输入 2 5 2 2 4" xfId="22985"/>
    <cellStyle name="适中 2 2 2 2 5 3" xfId="22986"/>
    <cellStyle name="汇总 2 2 10 2 2" xfId="22987"/>
    <cellStyle name="常规 5 2 4 5 2" xfId="22988"/>
    <cellStyle name="60% - 强调文字颜色 6 2 2 3 2 2 2" xfId="22989"/>
    <cellStyle name="常规 3 2 4 2 3 5" xfId="22990"/>
    <cellStyle name="注释 2 6 6" xfId="22991"/>
    <cellStyle name="计算 2 2 5 3 3 3 3" xfId="22992"/>
    <cellStyle name="输出 2 2 3 2 3 7" xfId="22993"/>
    <cellStyle name="计算 2 3 3 10" xfId="22994"/>
    <cellStyle name="输出 2 2 8 4 2" xfId="22995"/>
    <cellStyle name="输出 3 2 4" xfId="22996"/>
    <cellStyle name="汇总 2 16" xfId="22997"/>
    <cellStyle name="汇总 2 21" xfId="22998"/>
    <cellStyle name="注释 2 2 3 2 2 3 2 2" xfId="22999"/>
    <cellStyle name="计算 2 5 4 3 3" xfId="23000"/>
    <cellStyle name="强调文字颜色 5 2 2 3 4 4" xfId="23001"/>
    <cellStyle name="注释 2 3 2 7 2" xfId="23002"/>
    <cellStyle name="输入 2 2 8 3 6" xfId="23003"/>
    <cellStyle name="60% - 强调文字颜色 2 2 4 4 3" xfId="23004"/>
    <cellStyle name="20% - 强调文字颜色 1 2 3 2 4" xfId="23005"/>
    <cellStyle name="常规 2 10" xfId="23006"/>
    <cellStyle name="Normal 2 5 3" xfId="23007"/>
    <cellStyle name="40% - 强调文字颜色 5 2 3 2 5 2" xfId="23008"/>
    <cellStyle name="40% - 强调文字颜色 1 2 2 2 2 2 4 2 2 2" xfId="23009"/>
    <cellStyle name="解释性文本 2 2 3 9" xfId="23010"/>
    <cellStyle name="常规 5 6 2 2" xfId="23011"/>
    <cellStyle name="汇总 2 2 2 3 7 2" xfId="23012"/>
    <cellStyle name="常规 13 4 5" xfId="23013"/>
    <cellStyle name="强调文字颜色 5 2 2 2 2 3 2" xfId="23014"/>
    <cellStyle name="好 2 2 4 4" xfId="23015"/>
    <cellStyle name="常规 3 3 2 3 2" xfId="23016"/>
    <cellStyle name="计算 2 3 2 3 4" xfId="23017"/>
    <cellStyle name="计算 2 2 4 2 3 6 2" xfId="23018"/>
    <cellStyle name="60% - 强调文字颜色 5 3 3 2" xfId="23019"/>
    <cellStyle name="计算 2 7 8" xfId="23020"/>
    <cellStyle name="常规 11 3 6" xfId="23021"/>
    <cellStyle name="输出 2 2 3 2 2 3 2 2" xfId="23022"/>
    <cellStyle name="计算 2 6 3" xfId="23023"/>
    <cellStyle name="常规 5 3 3 4 2" xfId="23024"/>
    <cellStyle name="输入 3 2 7 3" xfId="23025"/>
    <cellStyle name="常规 9 2 4 2 2 3" xfId="23026"/>
    <cellStyle name="超链接 2 3 5" xfId="23027"/>
    <cellStyle name="汇总 2 5 2 10 3" xfId="23028"/>
    <cellStyle name="检查单元格 2 3 5 2" xfId="23029"/>
    <cellStyle name="标题 3 2 4 3 2" xfId="23030"/>
    <cellStyle name="常规 3 3 4 3 2" xfId="23031"/>
    <cellStyle name="强调文字颜色 2 2 2 3 4 3 2" xfId="23032"/>
    <cellStyle name="汇总 2 3 3 3 3 3" xfId="23033"/>
    <cellStyle name="汇总 2 2 2 2 5 2 2" xfId="23034"/>
    <cellStyle name="输入 2 4 6" xfId="23035"/>
    <cellStyle name="标题 1 2 6 3 2 2" xfId="23036"/>
    <cellStyle name="汇总 2 2 5 4 2 4" xfId="23037"/>
    <cellStyle name="汇总 2 2 4 3 2 5 3" xfId="23038"/>
    <cellStyle name="60% - 强调文字颜色 6 3 3 3 2 3" xfId="23039"/>
    <cellStyle name="强调文字颜色 3 2 2 2 2 2 2 3" xfId="23040"/>
    <cellStyle name="输出 2 2 5 3 2 2 2" xfId="23041"/>
    <cellStyle name="常规 6 6 3 2" xfId="23042"/>
    <cellStyle name="60% - 强调文字颜色 3 2 9 2" xfId="23043"/>
    <cellStyle name="60% - 强调文字颜色 3 2 3 4 2 2 2" xfId="23044"/>
    <cellStyle name="20% - 强调文字颜色 2 2 2 2 3 2 2" xfId="23045"/>
    <cellStyle name="20% - 强调文字颜色 6 2 2 2 2 2 3 3 2 2" xfId="23046"/>
    <cellStyle name="常规 6 3 3" xfId="23047"/>
    <cellStyle name="汇总 2 3 3 3 3 2 2" xfId="23048"/>
    <cellStyle name="计算 2 5 4 9" xfId="23049"/>
    <cellStyle name="常规 3 3 4 3" xfId="23050"/>
    <cellStyle name="汇总 6" xfId="23051"/>
    <cellStyle name="链接单元格 2 2 3 6 2 2" xfId="23052"/>
    <cellStyle name="40% - 强调文字颜色 6 3 3 3 2" xfId="23053"/>
    <cellStyle name="输入 2 5 5 2 2" xfId="23054"/>
    <cellStyle name="60% - 强调文字颜色 6 2 3 4 3" xfId="23055"/>
    <cellStyle name="20% - 强调文字颜色 5 2 2 2 4" xfId="23056"/>
    <cellStyle name="检查单元格 2 3 2 3" xfId="23057"/>
    <cellStyle name="标题 1 2 2 3 6 2" xfId="23058"/>
    <cellStyle name="输出 2 5 3 4 2 2" xfId="23059"/>
    <cellStyle name="解释性文本 2 12" xfId="23060"/>
    <cellStyle name="汇总 2 3 8 3" xfId="23061"/>
    <cellStyle name="强调文字颜色 5 3 3 3 2" xfId="23062"/>
    <cellStyle name="汇总 2 2 5 4 2 4 2 2" xfId="23063"/>
    <cellStyle name="40% - 强调文字颜色 4 2 2 2 3 2 2 2 2" xfId="23064"/>
    <cellStyle name="链接单元格 2 3 2 4 2 2" xfId="23065"/>
    <cellStyle name="输出 2 6 2 3 3" xfId="23066"/>
    <cellStyle name="计算 2 2 2 2 11" xfId="23067"/>
    <cellStyle name="常规 4 3 3 2 5" xfId="23068"/>
    <cellStyle name="强调文字颜色 6 2 2 2 4 2" xfId="23069"/>
    <cellStyle name="计算 2 2 4 3 3" xfId="23070"/>
    <cellStyle name="输入 2 2 6 2 2 2 2 2" xfId="23071"/>
    <cellStyle name="注释 2 2" xfId="23072"/>
    <cellStyle name="汇总 2 2 4 2 2 3 2" xfId="23073"/>
    <cellStyle name="常规 14 2 2 2 2" xfId="23074"/>
    <cellStyle name="强调文字颜色 3 2 2 2 4 2 2" xfId="23075"/>
    <cellStyle name="40% - 强调文字颜色 1 2 2 2 2 2 4 3 2" xfId="23076"/>
    <cellStyle name="超链接 3 2 2 2 2 4" xfId="23077"/>
    <cellStyle name="强调文字颜色 1 2 4 3" xfId="23078"/>
    <cellStyle name="输入 2 5 2 3 2 2 2" xfId="23079"/>
    <cellStyle name="计算 2 2 6 10 2 2" xfId="23080"/>
    <cellStyle name="检查单元格 2 2 3 2 2 3" xfId="23081"/>
    <cellStyle name="强调文字颜色 5 2 3 8" xfId="23082"/>
    <cellStyle name="输出 2 3 2 6 2" xfId="23083"/>
    <cellStyle name="汇总 2 5 2 4 7" xfId="23084"/>
    <cellStyle name="输入 2 3 4 3 2 2" xfId="23085"/>
    <cellStyle name="解释性文本 2 2 3 4 2" xfId="23086"/>
    <cellStyle name="好 2 2 2 5 2 2" xfId="23087"/>
    <cellStyle name="强调文字颜色 2 2 4 2 2 2" xfId="23088"/>
    <cellStyle name="强调文字颜色 1 2 3 2 2 4" xfId="23089"/>
    <cellStyle name="标题 5 2 4 5 2" xfId="23090"/>
    <cellStyle name="计算 2 2 13 3" xfId="23091"/>
    <cellStyle name="标题 1 2 2 2 4 3 2" xfId="23092"/>
    <cellStyle name="常规 9 2 3 3 2 3" xfId="23093"/>
    <cellStyle name="汇总 2 2 4 2 6 3" xfId="23094"/>
    <cellStyle name="链接单元格 2 2 2 2 4 4" xfId="23095"/>
    <cellStyle name="常规 5 3 2 2 2 3 2 2" xfId="23096"/>
    <cellStyle name="常规 5 5 5" xfId="23097"/>
    <cellStyle name="输出 2 4 3 2 2 2 2" xfId="23098"/>
    <cellStyle name="输入 2 6 10" xfId="23099"/>
    <cellStyle name="汇总 2 4 2 5 3" xfId="23100"/>
    <cellStyle name="60% - 强调文字颜色 2 2 2 3 3 2" xfId="23101"/>
    <cellStyle name="常规 10 3 2 2 5" xfId="23102"/>
    <cellStyle name="好 2 3 5 3" xfId="23103"/>
    <cellStyle name="标题 3 2 6 3 3" xfId="23104"/>
    <cellStyle name="输出 2 2 2" xfId="23105"/>
    <cellStyle name="检查单元格 2 2 4 2 2 3" xfId="23106"/>
    <cellStyle name="输出 2 6 2 2 5" xfId="23107"/>
    <cellStyle name="输入 2 5 2 9 3" xfId="23108"/>
    <cellStyle name="40% - 强调文字颜色 6 2 2 2 3 3 2 2" xfId="23109"/>
    <cellStyle name="计算 2 5 3 4 3" xfId="23110"/>
    <cellStyle name="40% - 强调文字颜色 6 2 7 2 2" xfId="23111"/>
    <cellStyle name="输出 2 3 2 2 2 3 2" xfId="23112"/>
    <cellStyle name="40% - 强调文字颜色 3 2 2 2 2 2 3" xfId="23113"/>
    <cellStyle name="好 2 4 5 2" xfId="23114"/>
    <cellStyle name="计算 2 3 4 4 2" xfId="23115"/>
    <cellStyle name="标题 5 2 3 3 2 3" xfId="23116"/>
    <cellStyle name="汇总 2 2 3 2 6 3" xfId="23117"/>
    <cellStyle name="强调文字颜色 2 4 2" xfId="23118"/>
    <cellStyle name="20% - 强调文字颜色 4 2 2 2 2 3 2" xfId="23119"/>
    <cellStyle name="40% - 强调文字颜色 5 2 7" xfId="23120"/>
    <cellStyle name="计算 4 3 5" xfId="23121"/>
    <cellStyle name="60% - 强调文字颜色 2 2 2 6 2 2" xfId="23122"/>
    <cellStyle name="汇总 3 4 2 3" xfId="23123"/>
    <cellStyle name="40% - 强调文字颜色 3 2 3 4 3" xfId="23124"/>
    <cellStyle name="常规 2 3 3" xfId="23125"/>
    <cellStyle name="60% - 强调文字颜色 3 2 3 4 3 2 2" xfId="23126"/>
    <cellStyle name="20% - 强调文字颜色 5 2 7 2" xfId="23127"/>
    <cellStyle name="40% - 强调文字颜色 3 3 3 3 2 2 2" xfId="23128"/>
    <cellStyle name="常规 2 2 2 2 4 2" xfId="23129"/>
    <cellStyle name="常规 4 2 2 5" xfId="23130"/>
    <cellStyle name="汇总 2 6 2 2 3 2" xfId="23131"/>
    <cellStyle name="输入 2 5 3 2 5" xfId="23132"/>
    <cellStyle name="检查单元格 2 6 3 3" xfId="23133"/>
    <cellStyle name="40% - 强调文字颜色 5 6" xfId="23134"/>
    <cellStyle name="40% - 强调文字颜色 3 2 3 2 4" xfId="23135"/>
    <cellStyle name="计算 2 5 2 4 3 3" xfId="23136"/>
    <cellStyle name="输入 2 13 3" xfId="23137"/>
    <cellStyle name="60% - 强调文字颜色 3 3 2 3 2 2" xfId="23138"/>
    <cellStyle name="输出 2 2 2 3 6 2" xfId="23139"/>
    <cellStyle name="40% - 强调文字颜色 3 2 2 7 2" xfId="23140"/>
    <cellStyle name="计算 2 2 6 2 2 5" xfId="23141"/>
    <cellStyle name="适中 6" xfId="23142"/>
    <cellStyle name="输出 2 2 3 2 2 4 2" xfId="23143"/>
    <cellStyle name="适中 2 3 2 3 3 3" xfId="23144"/>
    <cellStyle name="输出 2 2 4 2 2 2 2 2" xfId="23145"/>
    <cellStyle name="20% - 强调文字颜色 4 2 4 3 2 2 2" xfId="23146"/>
    <cellStyle name="标题 3 2 3 3 3" xfId="23147"/>
    <cellStyle name="计算 3 3 3 3 2 2" xfId="23148"/>
    <cellStyle name="汇总 2 2 8 3 3" xfId="23149"/>
    <cellStyle name="常规 4 3 2 5" xfId="23150"/>
    <cellStyle name="汇总 2 6 2 3 5 2" xfId="23151"/>
    <cellStyle name="差 4 2 5" xfId="23152"/>
    <cellStyle name="解释性文本 2 2 2 3 4" xfId="23153"/>
    <cellStyle name="计算 2 5 2 6 2 2 2" xfId="23154"/>
    <cellStyle name="强调文字颜色 5 2 4 2 2" xfId="23155"/>
    <cellStyle name="好 2 2 2 3 2 2 2 3" xfId="23156"/>
    <cellStyle name="常规 13 4 4 2" xfId="23157"/>
    <cellStyle name="好 2 2 4 3 2" xfId="23158"/>
    <cellStyle name="汇总 2 4 2 4 3" xfId="23159"/>
    <cellStyle name="常规 3 2 6 2" xfId="23160"/>
    <cellStyle name="标题 2 2 2 2 2 8" xfId="23161"/>
    <cellStyle name="好 2 3 2 2 2 2 3" xfId="23162"/>
    <cellStyle name="计算 2 3 3 2 7" xfId="23163"/>
    <cellStyle name="强调文字颜色 3 2 2 2 5 3" xfId="23164"/>
    <cellStyle name="汇总 2 4 2 3 2 2" xfId="23165"/>
    <cellStyle name="常规 6 3 2 5" xfId="23166"/>
    <cellStyle name="汇总 2 8 3 7" xfId="23167"/>
    <cellStyle name="计算 2 10 3 2 2" xfId="23168"/>
    <cellStyle name="40% - 强调文字颜色 1 2 4 3 3 2" xfId="23169"/>
    <cellStyle name="计算 2 2 2 2 2 2 5 2" xfId="23170"/>
    <cellStyle name="20% - 强调文字颜色 6 4 2 2 2" xfId="23171"/>
    <cellStyle name="计算 2 3 2 3 4 2" xfId="23172"/>
    <cellStyle name="常规 3 3 2 3 2 2" xfId="23173"/>
    <cellStyle name="60% - 强调文字颜色 3 2 2 2 4" xfId="23174"/>
    <cellStyle name="计算 2 2 4 7 3" xfId="23175"/>
    <cellStyle name="好 2 2 2 2 2 2 2 2 2" xfId="23176"/>
    <cellStyle name="强调文字颜色 4 2 3 2 2 2 2 2 2" xfId="23177"/>
    <cellStyle name="常规 5 2 2 2 6 2 2" xfId="23178"/>
    <cellStyle name="强调文字颜色 1 2 3 2 3 3 3" xfId="23179"/>
    <cellStyle name="汇总 2 3 2 2 3 4" xfId="23180"/>
    <cellStyle name="20% - 强调文字颜色 2 2 2 2 2 3 2" xfId="23181"/>
    <cellStyle name="计算 2 2 3 7" xfId="23182"/>
    <cellStyle name="常规 12 3 4 2" xfId="23183"/>
    <cellStyle name="40% - 强调文字颜色 5 2 2 2 2 2 2 2 2" xfId="23184"/>
    <cellStyle name="常规 11 2 2 3 3" xfId="23185"/>
    <cellStyle name="汇总 2 2 4 3 2 5 2" xfId="23186"/>
    <cellStyle name="计算 2 2 3 4 3 3" xfId="23187"/>
    <cellStyle name="差 2 2 2 2 3 3 3" xfId="23188"/>
    <cellStyle name="强调文字颜色 5 2 6 2 2 2" xfId="23189"/>
    <cellStyle name="强调文字颜色 2 2 3" xfId="23190"/>
    <cellStyle name="汇总 2 2 3 2 4 4" xfId="23191"/>
    <cellStyle name="60% - 强调文字颜色 1 2 10" xfId="23192"/>
    <cellStyle name="标题 2 2 3 2" xfId="23193"/>
    <cellStyle name="注释 2 2 2 2 2 2 7" xfId="23194"/>
    <cellStyle name="常规 11 2 5 2" xfId="23195"/>
    <cellStyle name="60% - 强调文字颜色 6 2 4 9" xfId="23196"/>
    <cellStyle name="警告文本 2 2 8" xfId="23197"/>
    <cellStyle name="常规 13 7 2 2" xfId="23198"/>
    <cellStyle name="输入 2 2 8 3 3" xfId="23199"/>
    <cellStyle name="输出 2 4 3 2 6" xfId="23200"/>
    <cellStyle name="链接单元格 2 2 2 2 6 2" xfId="23201"/>
    <cellStyle name="计算 2 2 6 13" xfId="23202"/>
    <cellStyle name="输入 2 5 2 3 5" xfId="23203"/>
    <cellStyle name="输出 2 6 3 3 2" xfId="23204"/>
    <cellStyle name="好 2 3 4 3 2 2" xfId="23205"/>
    <cellStyle name="常规 2 3 5 3" xfId="23206"/>
    <cellStyle name="计算 2 7 6 2 3" xfId="23207"/>
    <cellStyle name="输出 4 4" xfId="23208"/>
    <cellStyle name="解释性文本 2 2 3 6 2 2" xfId="23209"/>
    <cellStyle name="常规 12 3 3" xfId="23210"/>
    <cellStyle name="检查单元格 2 5 2 2" xfId="23211"/>
    <cellStyle name="20% - 强调文字颜色 4 2 2 9 2" xfId="23212"/>
    <cellStyle name="汇总 2 2 5 3 3 3" xfId="23213"/>
    <cellStyle name="强调文字颜色 3 2 4 3 2" xfId="23214"/>
    <cellStyle name="注释 3 2 2 7" xfId="23215"/>
    <cellStyle name="强调文字颜色 5 2 2 8" xfId="23216"/>
    <cellStyle name="汇总 2 4 3 8" xfId="23217"/>
    <cellStyle name="汇总 2 2 5 2 2 4 3" xfId="23218"/>
    <cellStyle name="60% - 强调文字颜色 5 2 3 6 2 2 2" xfId="23219"/>
    <cellStyle name="汇总 2 2 3 2 8 2" xfId="23220"/>
    <cellStyle name="汇总 2 2 2 2 2 2 4 3" xfId="23221"/>
    <cellStyle name="汇总 2 2 5 3 2 4 2" xfId="23222"/>
    <cellStyle name="注释 3 3 5 2 2" xfId="23223"/>
    <cellStyle name="输入 2 7 3 3 2 2" xfId="23224"/>
    <cellStyle name="输出 2 2 3 3 2 2 3" xfId="23225"/>
    <cellStyle name="强调文字颜色 5 2 4 5 2" xfId="23226"/>
    <cellStyle name="超链接 2 3 3 3 2" xfId="23227"/>
    <cellStyle name="标题 2 2 7 2" xfId="23228"/>
    <cellStyle name="好 2 2 3 2 2 2 2 2" xfId="23229"/>
    <cellStyle name="标题 6 2 5" xfId="23230"/>
    <cellStyle name="输出 2 4 2 2 5 2" xfId="23231"/>
    <cellStyle name="标题 5 2 2 4 3 2" xfId="23232"/>
    <cellStyle name="链接单元格 2 4 6 2" xfId="23233"/>
    <cellStyle name="标题 5 5 3 2" xfId="23234"/>
    <cellStyle name="汇总 2 6 2 2 4 3" xfId="23235"/>
    <cellStyle name="检查单元格 2 2 3 2 2 2 2 2" xfId="23236"/>
    <cellStyle name="注释 2 2 2 6 2 2" xfId="23237"/>
    <cellStyle name="警告文本 2 2 2 5 2" xfId="23238"/>
    <cellStyle name="汇总 2 3 3 3 2 2" xfId="23239"/>
    <cellStyle name="计算 2 5 3 2 4 3" xfId="23240"/>
    <cellStyle name="输入 2 4 7 2 2" xfId="23241"/>
    <cellStyle name="强调文字颜色 5 2 3 2 2 3 2" xfId="23242"/>
    <cellStyle name="常规 7 2 3 2 2" xfId="23243"/>
    <cellStyle name="输出 2 2 4 4 3 2" xfId="23244"/>
    <cellStyle name="常规 6 2 3 3" xfId="23245"/>
    <cellStyle name="警告文本 2 3 2 6 3" xfId="23246"/>
    <cellStyle name="强调文字颜色 5 2 3 4 4" xfId="23247"/>
    <cellStyle name="常规 6 2 2 3" xfId="23248"/>
    <cellStyle name="计算 2 4 3 4 3" xfId="23249"/>
    <cellStyle name="输出 2 5 2 2 5 2 2" xfId="23250"/>
    <cellStyle name="40% - 强调文字颜色 3 2 3 5" xfId="23251"/>
    <cellStyle name="输出 2 6 2 3" xfId="23252"/>
    <cellStyle name="注释 2 2 3 11" xfId="23253"/>
    <cellStyle name="强调文字颜色 5 2 2 6 2 3" xfId="23254"/>
    <cellStyle name="汇总 2 2 9 5" xfId="23255"/>
    <cellStyle name="输出 2 2 4 4 4 3" xfId="23256"/>
    <cellStyle name="计算 2 3 2 2 2 4 3" xfId="23257"/>
    <cellStyle name="20% - 强调文字颜色 6 2 2 3 3 2 2 2" xfId="23258"/>
    <cellStyle name="汇总 2 2 4 3 3 6" xfId="23259"/>
    <cellStyle name="常规 4 3 2 3 3 2" xfId="23260"/>
    <cellStyle name="链接单元格 4 3 2" xfId="23261"/>
    <cellStyle name="检查单元格 3 5 2" xfId="23262"/>
    <cellStyle name="计算 2 7 2 5 2" xfId="23263"/>
    <cellStyle name="60% - 强调文字颜色 5 2 2 2 5 2" xfId="23264"/>
    <cellStyle name="计算 2 6 2 4 3 2" xfId="23265"/>
    <cellStyle name="警告文本 3 8" xfId="23266"/>
    <cellStyle name="40% - 强调文字颜色 6 2 6 2 2" xfId="23267"/>
    <cellStyle name="强调文字颜色 6 2 3 5 2 3" xfId="23268"/>
    <cellStyle name="汇总 2 8 3 2 3" xfId="23269"/>
    <cellStyle name="注释 2 5 4 4 2" xfId="23270"/>
    <cellStyle name="汇总 3 2 2 2 5" xfId="23271"/>
    <cellStyle name="输出 3 3 4 2" xfId="23272"/>
    <cellStyle name="计算 2 3 2 7 2 2" xfId="23273"/>
    <cellStyle name="汇总 2 7 3 6" xfId="23274"/>
    <cellStyle name="常规 3 2 2 2" xfId="23275"/>
    <cellStyle name="40% - 强调文字颜色 2 2 3 6" xfId="23276"/>
    <cellStyle name="适中 2 2 3 6" xfId="23277"/>
    <cellStyle name="检查单元格 2 2 3 4 4" xfId="23278"/>
    <cellStyle name="强调文字颜色 1 2 2 4 3 4" xfId="23279"/>
    <cellStyle name="输入 3 6 3" xfId="23280"/>
    <cellStyle name="计算 3 2 2 2 2 3" xfId="23281"/>
    <cellStyle name="标题 2 2 2 4 2 2 2 2" xfId="23282"/>
    <cellStyle name="汇总 2 2 2 2 2 3 3 2" xfId="23283"/>
    <cellStyle name="解释性文本 3 2 3 2" xfId="23284"/>
    <cellStyle name="标题 4 2 2 3 4 2" xfId="23285"/>
    <cellStyle name="40% - 强调文字颜色 2 3 8" xfId="23286"/>
    <cellStyle name="常规 5 2 2 2 2 3 3 3" xfId="23287"/>
    <cellStyle name="输入 2 4 3 9" xfId="23288"/>
    <cellStyle name="汇总 3 3 2 2 2 2" xfId="23289"/>
    <cellStyle name="好 2 2 5" xfId="23290"/>
    <cellStyle name="计算 2 3 2 4" xfId="23291"/>
    <cellStyle name="常规 4 3 4 4 3" xfId="23292"/>
    <cellStyle name="超链接 2 3" xfId="23293"/>
    <cellStyle name="输出 2 2 10 4" xfId="23294"/>
    <cellStyle name="注释 2 9 2 3" xfId="23295"/>
    <cellStyle name="汇总 2 4 2 3 4 2" xfId="23296"/>
    <cellStyle name="汇总 2 2 6 6 4" xfId="23297"/>
    <cellStyle name="常规 4 2 4 2 3 2 2" xfId="23298"/>
    <cellStyle name="输出 2 2 6 2 2 3" xfId="23299"/>
    <cellStyle name="输出 2 3 3 5" xfId="23300"/>
    <cellStyle name="注释 2 2 6 4 3" xfId="23301"/>
    <cellStyle name="常规 12 2 8" xfId="23302"/>
    <cellStyle name="汇总 2 3 2 4 3 3" xfId="23303"/>
    <cellStyle name="注释 2 2 6 9" xfId="23304"/>
    <cellStyle name="汇总 2 5 3 8 2" xfId="23305"/>
    <cellStyle name="标题 5 2 4 3 2" xfId="23306"/>
    <cellStyle name="标题 7 4 2" xfId="23307"/>
    <cellStyle name="60% - 强调文字颜色 6 2 2 2 3 2 2 2 2 2" xfId="23308"/>
    <cellStyle name="解释性文本 2 6 3 2 2" xfId="23309"/>
    <cellStyle name="注释 2 2 3 5 5" xfId="23310"/>
    <cellStyle name="60% - 强调文字颜色 6 2 3 2 2 3" xfId="23311"/>
    <cellStyle name="常规 5 3 4 4 2" xfId="23312"/>
    <cellStyle name="20% - 强调文字颜色 1 2 3 7" xfId="23313"/>
    <cellStyle name="标题 2 2 2 3 10" xfId="23314"/>
    <cellStyle name="计算 2 6 2 3 4 2 2" xfId="23315"/>
    <cellStyle name="计算 2 5 2 3 3 3" xfId="23316"/>
    <cellStyle name="汇总 2 3 2 2 5 3" xfId="23317"/>
    <cellStyle name="注释 2 4 2 3 3 2" xfId="23318"/>
    <cellStyle name="汇总 2 2 4 5 2 5" xfId="23319"/>
    <cellStyle name="汇总 2 5 2 3 2 2 2" xfId="23320"/>
    <cellStyle name="汇总 2 6 2 2" xfId="23321"/>
    <cellStyle name="汇总 2 2 5 4 2 2 3" xfId="23322"/>
    <cellStyle name="汇总 2 2 4 2 4 3 2 2" xfId="23323"/>
    <cellStyle name="计算 2 2 4 2 3 6 3" xfId="23324"/>
    <cellStyle name="计算 2 2 11 3 2 2" xfId="23325"/>
    <cellStyle name="适中 2 4 3 3 2 2" xfId="23326"/>
    <cellStyle name="标题 2 2 5 2 2" xfId="23327"/>
    <cellStyle name="60% - 强调文字颜色 6 2 3 3 2 2 3" xfId="23328"/>
    <cellStyle name="20% - 强调文字颜色 6 2 6 2" xfId="23329"/>
    <cellStyle name="计算 2 2 7 5" xfId="23330"/>
    <cellStyle name="汇总 2 5 8 3" xfId="23331"/>
    <cellStyle name="计算 2 5 4 3" xfId="23332"/>
    <cellStyle name="汇总 2 5 2 3 2 7" xfId="23333"/>
    <cellStyle name="计算 2 2 6 8 3" xfId="23334"/>
    <cellStyle name="常规 9 2 4 2 2" xfId="23335"/>
    <cellStyle name="20% - 强调文字颜色 4 2 5 5 2 2" xfId="23336"/>
    <cellStyle name="汇总 2 18" xfId="23337"/>
    <cellStyle name="标题 3 3 3 2 2 3" xfId="23338"/>
    <cellStyle name="计算 2 2 5 2 4 2 2 2" xfId="23339"/>
    <cellStyle name="输入 2 3 2 2 2 5" xfId="23340"/>
    <cellStyle name="注释 2 6 3 3 2" xfId="23341"/>
    <cellStyle name="输出 2 3 2 2 7" xfId="23342"/>
    <cellStyle name="汇总 5 2 2 3" xfId="23343"/>
    <cellStyle name="常规 5 2 2 3 2 3 3" xfId="23344"/>
    <cellStyle name="输入 2 2 3 2 2 4 3" xfId="23345"/>
    <cellStyle name="超链接 3 2 3 2 3" xfId="23346"/>
    <cellStyle name="强调文字颜色 2 3 3" xfId="23347"/>
    <cellStyle name="40% - 强调文字颜色 2 2 3 2 2" xfId="23348"/>
    <cellStyle name="注释 2 4 4 3" xfId="23349"/>
    <cellStyle name="强调文字颜色 4 2 2 2 2 4" xfId="23350"/>
    <cellStyle name="输入 2 6 4 2 3" xfId="23351"/>
    <cellStyle name="适中 2 2 3 4 2" xfId="23352"/>
    <cellStyle name="注释 2 4 5 3 2 2" xfId="23353"/>
    <cellStyle name="汇总 2 3 3 2 5" xfId="23354"/>
    <cellStyle name="强调文字颜色 5 2 2 2 4 4" xfId="23355"/>
    <cellStyle name="计算 2 5 3 3 3" xfId="23356"/>
    <cellStyle name="超链接 3 2 4 2 3 2" xfId="23357"/>
    <cellStyle name="汇总 2 5 2 4 4" xfId="23358"/>
    <cellStyle name="40% - 强调文字颜色 3 2 2 2 2 2 4 2 2" xfId="23359"/>
    <cellStyle name="20% - 强调文字颜色 4 2 3 4" xfId="23360"/>
    <cellStyle name="注释 2 5 2 2 3" xfId="23361"/>
    <cellStyle name="强调文字颜色 5 2 2 2 6 2" xfId="23362"/>
    <cellStyle name="输入 2 6 3 5 2" xfId="23363"/>
    <cellStyle name="注释 2 3 7 2" xfId="23364"/>
    <cellStyle name="计算 2 2 4 2 2 2 5 2 2" xfId="23365"/>
    <cellStyle name="常规 13 4 3 2" xfId="23366"/>
    <cellStyle name="好 2 2 4 2 2" xfId="23367"/>
    <cellStyle name="标题 3 2 2 5 2 2 3" xfId="23368"/>
    <cellStyle name="20% - 强调文字颜色 4 2 3 3 3" xfId="23369"/>
    <cellStyle name="注释 2 5 2 2 2 3" xfId="23370"/>
    <cellStyle name="好 3 4" xfId="23371"/>
    <cellStyle name="强调文字颜色 4 2 2 2 2 2 3 2" xfId="23372"/>
    <cellStyle name="汇总 2 2 6 3 2 5" xfId="23373"/>
    <cellStyle name="40% - 强调文字颜色 5 2 3 7" xfId="23374"/>
    <cellStyle name="输出 2 3 3 3 2 2" xfId="23375"/>
    <cellStyle name="汇总 2 5 4 5 3" xfId="23376"/>
    <cellStyle name="计算 2 2 3 7 3" xfId="23377"/>
    <cellStyle name="60% - 强调文字颜色 2 2 3 2 4 3" xfId="23378"/>
    <cellStyle name="40% - 强调文字颜色 2 2 4 2 2 2" xfId="23379"/>
    <cellStyle name="注释 2 5 4 3 2" xfId="23380"/>
    <cellStyle name="常规 7 6 2" xfId="23381"/>
    <cellStyle name="注释 2 2 3 7 3" xfId="23382"/>
    <cellStyle name="计算 4 2 3 4 2" xfId="23383"/>
    <cellStyle name="输出 2 2 4 2 3 6" xfId="23384"/>
    <cellStyle name="40% - 强调文字颜色 3 3 4" xfId="23385"/>
    <cellStyle name="汇总 2 2 8 3 2 5" xfId="23386"/>
    <cellStyle name="汇总 2 2 2 2 13" xfId="23387"/>
    <cellStyle name="强调文字颜色 2 4 2 3 2" xfId="23388"/>
    <cellStyle name="标题 2 2 2 10" xfId="23389"/>
    <cellStyle name="强调文字颜色 1 2 4 3 4" xfId="23390"/>
    <cellStyle name="计算 2 8 3 2 2 3" xfId="23391"/>
    <cellStyle name="汇总 3 2 8 2 2" xfId="23392"/>
    <cellStyle name="汇总 2 3 4 2 3 2 2" xfId="23393"/>
    <cellStyle name="汇总 2 7 2 2 2 3 2" xfId="23394"/>
    <cellStyle name="强调文字颜色 4 2 2 6 3 2 2" xfId="23395"/>
    <cellStyle name="标题 2 2 2 2 4 2 3" xfId="23396"/>
    <cellStyle name="计算 2 4 3 3 2" xfId="23397"/>
    <cellStyle name="汇总 2 2 5 3 2 5" xfId="23398"/>
    <cellStyle name="标题 1 2 6 2 2 3" xfId="23399"/>
    <cellStyle name="20% - 强调文字颜色 5 2 4 5 2 2" xfId="23400"/>
    <cellStyle name="差 2 2 6 2 3" xfId="23401"/>
    <cellStyle name="汇总 2 2 5 2 4" xfId="23402"/>
    <cellStyle name="20% - 强调文字颜色 6 2 3 4 3 2 2" xfId="23403"/>
    <cellStyle name="计算 2 7 11" xfId="23404"/>
    <cellStyle name="警告文本 2 2 4 3 2 3" xfId="23405"/>
    <cellStyle name="20% - 强调文字颜色 3 2 2 3 6" xfId="23406"/>
    <cellStyle name="警告文本 2 3 2 4 4" xfId="23407"/>
    <cellStyle name="强调文字颜色 3 2 2 2 3 2 2 2" xfId="23408"/>
    <cellStyle name="汇总 3 2 2 3 4 2" xfId="23409"/>
    <cellStyle name="输入 2 2 4 2 3 5 2" xfId="23410"/>
    <cellStyle name="汇总 3 2 4 4" xfId="23411"/>
    <cellStyle name="标题 4 3 7" xfId="23412"/>
    <cellStyle name="标题 2 2 3 2 4" xfId="23413"/>
    <cellStyle name="超链接 2 5 4 3" xfId="23414"/>
    <cellStyle name="汇总 2 5 2 2 2 2 2" xfId="23415"/>
    <cellStyle name="汇总 2 2 7 3 2 2 2" xfId="23416"/>
    <cellStyle name="强调文字颜色 5 2 2 6 3 3" xfId="23417"/>
    <cellStyle name="计算 2 5 7 2 2" xfId="23418"/>
    <cellStyle name="汇总 2 9 7 2" xfId="23419"/>
    <cellStyle name="20% - 强调文字颜色 4 2 5 2" xfId="23420"/>
    <cellStyle name="20% - 强调文字颜色 6 2 2 2 2 2 3 2" xfId="23421"/>
    <cellStyle name="计算 2 2 2 3 5 2 2" xfId="23422"/>
    <cellStyle name="解释性文本 3 4 2" xfId="23423"/>
    <cellStyle name="汇总 2 2 2 2 2 5 2" xfId="23424"/>
    <cellStyle name="计算 2 2 2 4 2 3 2 2" xfId="23425"/>
    <cellStyle name="计算 2 2 3 2 4 4 2" xfId="23426"/>
    <cellStyle name="计算 2 3 4 2 4 2" xfId="23427"/>
    <cellStyle name="强调文字颜色 6 2 3 2 3 3 2" xfId="23428"/>
    <cellStyle name="汇总 4 3 3 2 2" xfId="23429"/>
    <cellStyle name="常规 6 3 2 3 3 2" xfId="23430"/>
    <cellStyle name="输入 2 2 3 2 3 4" xfId="23431"/>
    <cellStyle name="常规 5 2 2 3 3 3" xfId="23432"/>
    <cellStyle name="60% - 强调文字颜色 4 2 2 3 3" xfId="23433"/>
    <cellStyle name="输入 6 2" xfId="23434"/>
    <cellStyle name="常规 4 2 6 3 3" xfId="23435"/>
    <cellStyle name="输出 2 2 2 4 2 2 3" xfId="23436"/>
    <cellStyle name="强调文字颜色 5 3 2 3" xfId="23437"/>
    <cellStyle name="60% - 强调文字颜色 6 2 3 2 2 2 2 3" xfId="23438"/>
    <cellStyle name="汇总 2 2 3 5 3 2" xfId="23439"/>
    <cellStyle name="标题 2 2 2 4 4 2 2" xfId="23440"/>
    <cellStyle name="强调文字颜色 5 2 3 2 4 2" xfId="23441"/>
    <cellStyle name="汇总 3 4 3" xfId="23442"/>
    <cellStyle name="输入 2 2 10 2 4" xfId="23443"/>
    <cellStyle name="差 2 2 2 5 2 2 2" xfId="23444"/>
    <cellStyle name="常规 4 2 3 4 2" xfId="23445"/>
    <cellStyle name="链接单元格 2 4 2 2 2" xfId="23446"/>
    <cellStyle name="计算 2 2 2 3 3 2 3" xfId="23447"/>
    <cellStyle name="计算 2 2 5 3 5 3" xfId="23448"/>
    <cellStyle name="解释性文本 2 2 2 2 4 2 2 2" xfId="23449"/>
    <cellStyle name="汇总 2 5 2 2 3 3 2 2" xfId="23450"/>
    <cellStyle name="计算 2 2 4 4 9" xfId="23451"/>
    <cellStyle name="差 2 3 2 6 2 2" xfId="23452"/>
    <cellStyle name="20% - 强调文字颜色 2 2 3 2 2 5" xfId="23453"/>
    <cellStyle name="汇总 2 4 6 3" xfId="23454"/>
    <cellStyle name="计算 3 15" xfId="23455"/>
    <cellStyle name="40% - 强调文字颜色 6 2 3 2 5 2 2" xfId="23456"/>
    <cellStyle name="好 2 2 2 3 2 2 2 2 2" xfId="23457"/>
    <cellStyle name="汇总 2 5 2 6 4 2" xfId="23458"/>
    <cellStyle name="计算 2 3 2 3 4 2 2" xfId="23459"/>
    <cellStyle name="输入 2 5 4 6" xfId="23460"/>
    <cellStyle name="40% - 强调文字颜色 4 2 3 2 2 4 3" xfId="23461"/>
    <cellStyle name="计算 2 5 4 3 4 2" xfId="23462"/>
    <cellStyle name="汇总 2 3 4 3" xfId="23463"/>
    <cellStyle name="输入 2 4 5 2" xfId="23464"/>
    <cellStyle name="标题 6 2 5 2" xfId="23465"/>
    <cellStyle name="汇总 2 6 2 2 2 4" xfId="23466"/>
    <cellStyle name="计算 2 6 2 3 6" xfId="23467"/>
    <cellStyle name="计算 4 4 2 2" xfId="23468"/>
    <cellStyle name="输入 2 2 5 3 2 4" xfId="23469"/>
    <cellStyle name="超链接 2 3 2 3 2" xfId="23470"/>
    <cellStyle name="适中 2 3 2 2 2 2 2 2" xfId="23471"/>
    <cellStyle name="警告文本 5" xfId="23472"/>
    <cellStyle name="汇总 2 3 2 9 2" xfId="23473"/>
    <cellStyle name="输出 2 2 4 3 2 4" xfId="23474"/>
    <cellStyle name="常规 2 5 2 2 2" xfId="23475"/>
    <cellStyle name="常规 3 3 7 3" xfId="23476"/>
    <cellStyle name="输出 2 4 2 8 2" xfId="23477"/>
    <cellStyle name="注释 2 2 3 2 4 4" xfId="23478"/>
    <cellStyle name="20% - 强调文字颜色 3 3 2 2" xfId="23479"/>
    <cellStyle name="计算 2 2 2 11 2" xfId="23480"/>
    <cellStyle name="输入 2 2 10 6" xfId="23481"/>
    <cellStyle name="计算 3 5 3 2 2" xfId="23482"/>
    <cellStyle name="差 4 2 3 3" xfId="23483"/>
    <cellStyle name="汇总 5" xfId="23484"/>
    <cellStyle name="计算 2 3 9" xfId="23485"/>
    <cellStyle name="检查单元格 2 5" xfId="23486"/>
    <cellStyle name="40% - 强调文字颜色 3 3 2 4 2" xfId="23487"/>
    <cellStyle name="汇总 2 2 3 12" xfId="23488"/>
    <cellStyle name="注释 2 2 7 2 2 3" xfId="23489"/>
    <cellStyle name="输入 2 2 6" xfId="23490"/>
    <cellStyle name="输出 2 3 2 3 3 2" xfId="23491"/>
    <cellStyle name="40% - 强调文字颜色 4 2 4 7" xfId="23492"/>
    <cellStyle name="计算 2 4 4 3 3" xfId="23493"/>
    <cellStyle name="常规 2 2 3 4 3 2" xfId="23494"/>
    <cellStyle name="常规 9 2 2 5" xfId="23495"/>
    <cellStyle name="强调文字颜色 2 2 2 3 4" xfId="23496"/>
    <cellStyle name="标题 1 4 2 2 3" xfId="23497"/>
    <cellStyle name="20% - 强调文字颜色 4 2 2 7" xfId="23498"/>
    <cellStyle name="输入 3 2 10" xfId="23499"/>
    <cellStyle name="强调文字颜色 1 2 2 6" xfId="23500"/>
    <cellStyle name="标题 1 2 2 2 9" xfId="23501"/>
    <cellStyle name="解释性文本 2 2 5 3 3" xfId="23502"/>
    <cellStyle name="警告文本 2 5 3" xfId="23503"/>
    <cellStyle name="常规 8 4 2 2 2" xfId="23504"/>
    <cellStyle name="强调文字颜色 3 2 5 3 2 2" xfId="23505"/>
    <cellStyle name="注释 2 2 5 2 2 3 2 2" xfId="23506"/>
    <cellStyle name="汇总 2 2 5 2 3 4" xfId="23507"/>
    <cellStyle name="输入 2 5 3 2 7" xfId="23508"/>
    <cellStyle name="计算 2 2 3 2 4 2 2" xfId="23509"/>
    <cellStyle name="强调文字颜色 3 2 3 3 6" xfId="23510"/>
    <cellStyle name="常规 4 3 3 2 3 3" xfId="23511"/>
    <cellStyle name="汇总 2 2 5 2 3 7" xfId="23512"/>
    <cellStyle name="标题 4 2 2 5" xfId="23513"/>
    <cellStyle name="输出 2 2 4 4 4 2 2" xfId="23514"/>
    <cellStyle name="输入 3 2 6 3" xfId="23515"/>
    <cellStyle name="计算 2 6 8" xfId="23516"/>
    <cellStyle name="60% - 强调文字颜色 5 3 2 2" xfId="23517"/>
    <cellStyle name="汇总 2 5 5" xfId="23518"/>
    <cellStyle name="常规 4 5 2 2" xfId="23519"/>
    <cellStyle name="汇总 2 2 7 4 4" xfId="23520"/>
    <cellStyle name="汇总 2 4 9 3" xfId="23521"/>
    <cellStyle name="输入 2 4 3 2 6" xfId="23522"/>
    <cellStyle name="汇总 2 2 7 3 2" xfId="23523"/>
    <cellStyle name="40% - 强调文字颜色 4 2 2 4 4 2 2" xfId="23524"/>
    <cellStyle name="输出 2 8 7" xfId="23525"/>
    <cellStyle name="强调文字颜色 4 4 4" xfId="23526"/>
    <cellStyle name="计算 2 2 7 3 2 6" xfId="23527"/>
    <cellStyle name="检查单元格 2 2 2 2 2 2 3" xfId="23528"/>
    <cellStyle name="汇总 2 2 5 9 2" xfId="23529"/>
    <cellStyle name="输出 2 2 2 2 3 5" xfId="23530"/>
    <cellStyle name="强调文字颜色 3 4 5" xfId="23531"/>
    <cellStyle name="汇总 2 2 4 5 2 2 3" xfId="23532"/>
    <cellStyle name="强调文字颜色 5 2 2 3 2 3" xfId="23533"/>
    <cellStyle name="20% - 强调文字颜色 3 2 2 2 2 2 5" xfId="23534"/>
    <cellStyle name="检查单元格 2 2 4 2 2" xfId="23535"/>
    <cellStyle name="警告文本 2 2 5 3 2 2" xfId="23536"/>
    <cellStyle name="60% - 强调文字颜色 6 2 7 2 2" xfId="23537"/>
    <cellStyle name="计算 2 5 6 3" xfId="23538"/>
    <cellStyle name="好 2 3 2 2 2" xfId="23539"/>
    <cellStyle name="汇总 2 7 2 2 5 2 2" xfId="23540"/>
    <cellStyle name="输出 2 4" xfId="23541"/>
    <cellStyle name="标题 4 2 2 4 5" xfId="23542"/>
    <cellStyle name="强调文字颜色 2 3 2 2" xfId="23543"/>
    <cellStyle name="60% - 强调文字颜色 6 2 3 2 2" xfId="23544"/>
    <cellStyle name="汇总 2 7 2" xfId="23545"/>
    <cellStyle name="强调文字颜色 6 2 2 4" xfId="23546"/>
    <cellStyle name="60% - 强调文字颜色 4 2 4 2 2 2 2" xfId="23547"/>
    <cellStyle name="好 2 3 6 2 3" xfId="23548"/>
    <cellStyle name="计算 2 2 3 4 4" xfId="23549"/>
    <cellStyle name="汇总 2 5 4 2 4" xfId="23550"/>
    <cellStyle name="汇总 2 2 3 15" xfId="23551"/>
    <cellStyle name="汇总 2 6 3 3 4" xfId="23552"/>
    <cellStyle name="输入 2 2 7 2 2 5" xfId="23553"/>
    <cellStyle name="20% - 强调文字颜色 1 2 3 2 2 3" xfId="23554"/>
    <cellStyle name="汇总 2 2 4 3 5 3" xfId="23555"/>
    <cellStyle name="输出 2 2 3 2 2 2" xfId="23556"/>
    <cellStyle name="常规 4 7 2 2" xfId="23557"/>
    <cellStyle name="计算 2 2 6 3 8" xfId="23558"/>
    <cellStyle name="60% - 强调文字颜色 5 2 2 2 3 2 2 2 2 2" xfId="23559"/>
    <cellStyle name="计算 2 3 2 2 4 3" xfId="23560"/>
    <cellStyle name="常规 3 3 2 2 2 3" xfId="23561"/>
    <cellStyle name="常规 6 4 5" xfId="23562"/>
    <cellStyle name="汇总 2 2 4 2 4 4 3" xfId="23563"/>
    <cellStyle name="输出 2 8 4 2 2" xfId="23564"/>
    <cellStyle name="输出 2 9 3 2" xfId="23565"/>
    <cellStyle name="标题 3 3 2 2 2 2 2 2" xfId="23566"/>
    <cellStyle name="40% - 强调文字颜色 6 3 3" xfId="23567"/>
    <cellStyle name="20% - 强调文字颜色 2 2 6 2 2 2" xfId="23568"/>
    <cellStyle name="输出 3 3 6 3" xfId="23569"/>
    <cellStyle name="汇总 2 2 6 6 2" xfId="23570"/>
    <cellStyle name="注释 3 2 2 4 2 2" xfId="23571"/>
    <cellStyle name="常规 7 2 4 3 2" xfId="23572"/>
    <cellStyle name="汇总 2 2 5 4 3" xfId="23573"/>
    <cellStyle name="常规 3 2 7" xfId="23574"/>
    <cellStyle name="常规 2 2 2 2 2 5 2" xfId="23575"/>
    <cellStyle name="输入 2 4 4 2 2 2" xfId="23576"/>
    <cellStyle name="60% - 强调文字颜色 2 2 3 6 2 2 2" xfId="23577"/>
    <cellStyle name="计算 2 6 2 4 4 2" xfId="23578"/>
    <cellStyle name="40% - 强调文字颜色 6 2 2 4 5" xfId="23579"/>
    <cellStyle name="输入 2 5 3 2 5 2" xfId="23580"/>
    <cellStyle name="输出 2 2 2 12" xfId="23581"/>
    <cellStyle name="强调文字颜色 1 2 3 2 2 2 2 2" xfId="23582"/>
    <cellStyle name="输入 2 4 3 2 3" xfId="23583"/>
    <cellStyle name="标题 4 3 3 2 2 2 2" xfId="23584"/>
    <cellStyle name="强调文字颜色 6 2 3 5 2 2" xfId="23585"/>
    <cellStyle name="汇总 2 8 3 2 2" xfId="23586"/>
    <cellStyle name="标题 3 2 3 4 2 2" xfId="23587"/>
    <cellStyle name="强调文字颜色 2 2 2 4 2" xfId="23588"/>
    <cellStyle name="输出 2 2 7 7 3" xfId="23589"/>
    <cellStyle name="输出 2 5 5" xfId="23590"/>
    <cellStyle name="60% - 强调文字颜色 6 3 4 2 3" xfId="23591"/>
    <cellStyle name="好 2 3 3 3" xfId="23592"/>
    <cellStyle name="计算 2 3 3 2 3" xfId="23593"/>
    <cellStyle name="输出 2 2 3 2 2 2 5 2" xfId="23594"/>
    <cellStyle name="计算 2 16 3" xfId="23595"/>
    <cellStyle name="60% - 强调文字颜色 2 2 4 3 3 2" xfId="23596"/>
    <cellStyle name="计算 5 3 3" xfId="23597"/>
    <cellStyle name="40% - 强调文字颜色 2 2 7 2 2 2" xfId="23598"/>
    <cellStyle name="汇总 2 6 12" xfId="23599"/>
    <cellStyle name="40% - 强调文字颜色 4 2 2 3 3 2 2 2" xfId="23600"/>
    <cellStyle name="计算 2 2 3 3 3 2" xfId="23601"/>
    <cellStyle name="60% - 强调文字颜色 5 2 3 5 2 2 2" xfId="23602"/>
    <cellStyle name="常规 5 3 6" xfId="23603"/>
    <cellStyle name="检查单元格 2 4 4 2 2" xfId="23604"/>
    <cellStyle name="计算 2 2 4 5 2 3" xfId="23605"/>
    <cellStyle name="汇总 2 2 4 4 3 4 2" xfId="23606"/>
    <cellStyle name="注释 2 2 4 2 2 4 2" xfId="23607"/>
    <cellStyle name="计算 2 5 3 2 2 4" xfId="23608"/>
    <cellStyle name="输入 2 2 4 4 5" xfId="23609"/>
    <cellStyle name="链接单元格 2 2 3 4 2 2" xfId="23610"/>
    <cellStyle name="常规 5 2 5 2 3 2 2" xfId="23611"/>
    <cellStyle name="20% - 强调文字颜色 3 2 3 2 4 2 2" xfId="23612"/>
    <cellStyle name="好 2 3 2 4 4" xfId="23613"/>
    <cellStyle name="60% - 强调文字颜色 1 3 2 2 2 2 2 2" xfId="23614"/>
    <cellStyle name="20% - 强调文字颜色 1 2 2 3 3 2 2" xfId="23615"/>
    <cellStyle name="60% - 强调文字颜色 2 2 3 5 2 2 2" xfId="23616"/>
    <cellStyle name="输出 4 6" xfId="23617"/>
    <cellStyle name="汇总 2 5 3 3 5" xfId="23618"/>
    <cellStyle name="汇总 2 2 9 5 3" xfId="23619"/>
    <cellStyle name="计算 2 2 4 2 3 3 5" xfId="23620"/>
    <cellStyle name="汇总 2 3 2 5 3" xfId="23621"/>
    <cellStyle name="解释性文本 2 3 3 7" xfId="23622"/>
    <cellStyle name="解释性文本 2 3 2 5 2" xfId="23623"/>
    <cellStyle name="检查单元格 2 3 4 3" xfId="23624"/>
    <cellStyle name="强调文字颜色 5 2 2 4 2 2 2" xfId="23625"/>
    <cellStyle name="强调文字颜色 1 2 3 5 2" xfId="23626"/>
    <cellStyle name="输入 2 2 8 5" xfId="23627"/>
    <cellStyle name="40% - 强调文字颜色 6 2 2 3 3 3" xfId="23628"/>
    <cellStyle name="60% - 强调文字颜色 4 3 2 2 3 2 2" xfId="23629"/>
    <cellStyle name="计算 2 2 4 3 3 4" xfId="23630"/>
    <cellStyle name="输出 2 2 6 2 3 2 2" xfId="23631"/>
    <cellStyle name="汇总 2 2 2 4 2 2" xfId="23632"/>
    <cellStyle name="标题 2 2 2 2 4 3" xfId="23633"/>
    <cellStyle name="强调文字颜色 6 2 4 3 2 3" xfId="23634"/>
    <cellStyle name="计算 2 2 6 3 4" xfId="23635"/>
    <cellStyle name="汇总 2 7 2 4 3" xfId="23636"/>
    <cellStyle name="强调文字颜色 6 2 2 4 4 3" xfId="23637"/>
    <cellStyle name="输出 2 2 2 3" xfId="23638"/>
    <cellStyle name="汇总 2 6 3 3 4 2" xfId="23639"/>
    <cellStyle name="强调文字颜色 6 2 2 4 6" xfId="23640"/>
    <cellStyle name="汇总 2 7 2 6" xfId="23641"/>
    <cellStyle name="强调文字颜色 5 2 2 2 3 6" xfId="23642"/>
    <cellStyle name="汇总 2 2 5 2 3 2" xfId="23643"/>
    <cellStyle name="差 2 2 6 2 2 2" xfId="23644"/>
    <cellStyle name="计算 2 7 10 2" xfId="23645"/>
    <cellStyle name="常规 5 5 2 5" xfId="23646"/>
    <cellStyle name="汇总 2 3 7 2" xfId="23647"/>
    <cellStyle name="20% - 强调文字颜色 4 2 3 4 3 2 2" xfId="23648"/>
    <cellStyle name="输入 3 2 2 2" xfId="23649"/>
    <cellStyle name="链接单元格 3 2 2 2 2" xfId="23650"/>
    <cellStyle name="40% - 强调文字颜色 4 2 3 2 3" xfId="23651"/>
    <cellStyle name="计算 2 2 2 3 5" xfId="23652"/>
    <cellStyle name="注释 2 5 2 8" xfId="23653"/>
    <cellStyle name="输入 2 2 4 2 3 6 2" xfId="23654"/>
    <cellStyle name="解释性文本 2 2 5 2 2 2" xfId="23655"/>
    <cellStyle name="输出 2 2 3 4 9" xfId="23656"/>
    <cellStyle name="强调文字颜色 3 2 2 2 7" xfId="23657"/>
    <cellStyle name="计算 2 2 4 2 2 3 2 2 2" xfId="23658"/>
    <cellStyle name="标题 5 2 2 4 4" xfId="23659"/>
    <cellStyle name="40% - 强调文字颜色 5 2 2 2 2 3 3" xfId="23660"/>
    <cellStyle name="常规 13 4 5 2" xfId="23661"/>
    <cellStyle name="常规 13 2 2 3 2" xfId="23662"/>
    <cellStyle name="常规 4 6 3 4" xfId="23663"/>
    <cellStyle name="20% - 强调文字颜色 2 4 2 3" xfId="23664"/>
    <cellStyle name="注释 2 4 12" xfId="23665"/>
    <cellStyle name="解释性文本 2 2 6" xfId="23666"/>
    <cellStyle name="输入 2 2 4 2 7 2 2" xfId="23667"/>
    <cellStyle name="汇总 2 2 2 5" xfId="23668"/>
    <cellStyle name="输入 2 2 2 2 2 2 3 2" xfId="23669"/>
    <cellStyle name="标题 1 2 4 3 2" xfId="23670"/>
    <cellStyle name="强调文字颜色 3 2 2 4 3 2 3" xfId="23671"/>
    <cellStyle name="输入 2 2 4 3 2 3 3" xfId="23672"/>
    <cellStyle name="警告文本 3 6" xfId="23673"/>
    <cellStyle name="20% - 强调文字颜色 2 2 2 2 2 2 3 2" xfId="23674"/>
    <cellStyle name="超链接 2 2 3 2 4" xfId="23675"/>
    <cellStyle name="输入 2 2 4 2 9 3" xfId="23676"/>
    <cellStyle name="汇总 2 2 6 4 5" xfId="23677"/>
    <cellStyle name="强调文字颜色 6 2 2 2 2 4 2" xfId="23678"/>
    <cellStyle name="汇总 2 7 2 9" xfId="23679"/>
    <cellStyle name="计算 2 2 4 7 2 2" xfId="23680"/>
    <cellStyle name="60% - 强调文字颜色 3 2 2 2 3 2" xfId="23681"/>
    <cellStyle name="标题 2 2 2 4 3" xfId="23682"/>
    <cellStyle name="警告文本 2 2 2 2 3 2 2 2" xfId="23683"/>
    <cellStyle name="汇总 2 12 3" xfId="23684"/>
    <cellStyle name="20% - 强调文字颜色 3 4 3" xfId="23685"/>
    <cellStyle name="注释 2 2 3 4" xfId="23686"/>
    <cellStyle name="汇总 2 12" xfId="23687"/>
    <cellStyle name="计算 2 4 2 3 8" xfId="23688"/>
    <cellStyle name="20% - 强调文字颜色 3 4" xfId="23689"/>
    <cellStyle name="汇总 2 3 3 2 2 2" xfId="23690"/>
    <cellStyle name="标题 4 2 3 3 2 2" xfId="23691"/>
    <cellStyle name="汇总 2 2 4 2 4 2 4 2" xfId="23692"/>
    <cellStyle name="注释 2 3 3 4 3" xfId="23693"/>
    <cellStyle name="适中 2 2 2 2 6 3" xfId="23694"/>
    <cellStyle name="输入 2 5 2 3 4" xfId="23695"/>
    <cellStyle name="常规 5 3 2 2 5 2" xfId="23696"/>
    <cellStyle name="汇总 2 9 2 3 3" xfId="23697"/>
    <cellStyle name="计算 2 2 6 12" xfId="23698"/>
    <cellStyle name="解释性文本 2 2 3 3 2 2" xfId="23699"/>
    <cellStyle name="汇总 2 20" xfId="23700"/>
    <cellStyle name="汇总 2 15" xfId="23701"/>
    <cellStyle name="20% - 强调文字颜色 4 2 2 2 2 3 3" xfId="23702"/>
    <cellStyle name="40% - 强调文字颜色 5 2 8" xfId="23703"/>
    <cellStyle name="好 3 2 2 3 3" xfId="23704"/>
    <cellStyle name="超链接 2 5 4" xfId="23705"/>
    <cellStyle name="强调文字颜色 5 4 3 2" xfId="23706"/>
    <cellStyle name="计算 4 2 6 3" xfId="23707"/>
    <cellStyle name="汇总 2 3 6 2" xfId="23708"/>
    <cellStyle name="好 2 6 4" xfId="23709"/>
    <cellStyle name="输出 2 2 3 3 4 3" xfId="23710"/>
    <cellStyle name="输出 2 2 2 7 2 2" xfId="23711"/>
    <cellStyle name="输出 2 2 3 3 7" xfId="23712"/>
    <cellStyle name="汇总 4 3 3 3" xfId="23713"/>
    <cellStyle name="强调文字颜色 5 2 2 2 5 2" xfId="23714"/>
    <cellStyle name="汇总 2 2 2 5 2 2 2" xfId="23715"/>
    <cellStyle name="标题 2 2 2 3 4 3 2" xfId="23716"/>
    <cellStyle name="输入 2 2 18" xfId="23717"/>
    <cellStyle name="计算 4 2 4" xfId="23718"/>
    <cellStyle name="强调文字颜色 3 2 2 2 2 4" xfId="23719"/>
    <cellStyle name="60% - 强调文字颜色 6 3 3 5" xfId="23720"/>
    <cellStyle name="注释 2 2 3 6 2 2" xfId="23721"/>
    <cellStyle name="汇总 2 2 7 3 7" xfId="23722"/>
    <cellStyle name="输入 2 11 4" xfId="23723"/>
    <cellStyle name="汇总 2 2 7 2 2 3 3" xfId="23724"/>
    <cellStyle name="常规 4 3 3 5 2" xfId="23725"/>
    <cellStyle name="汇总 2 2 7 2 2 4 2" xfId="23726"/>
    <cellStyle name="计算 2 5 2 4 2 3" xfId="23727"/>
    <cellStyle name="汇总 2 3 2 3 4 3" xfId="23728"/>
    <cellStyle name="强调文字颜色 3 2 2 5 4" xfId="23729"/>
    <cellStyle name="20% - 强调文字颜色 2 3 3 2 2 2 2" xfId="23730"/>
    <cellStyle name="汇总 2 7 2 2 5 3" xfId="23731"/>
    <cellStyle name="40% - 强调文字颜色 6 2 2 4 5 2 2" xfId="23732"/>
    <cellStyle name="汇总 4 2 2 3 2 2" xfId="23733"/>
    <cellStyle name="解释性文本 2 2 3 2 2 3" xfId="23734"/>
    <cellStyle name="超链接 3 2 2 2" xfId="23735"/>
    <cellStyle name="汇总 2 2 6 2 2 5 2" xfId="23736"/>
    <cellStyle name="计算 2 4 2 4 3 3" xfId="23737"/>
    <cellStyle name="标题 4 2 2 2 2 3 2 2" xfId="23738"/>
    <cellStyle name="60% - 强调文字颜色 3 2 6 2" xfId="23739"/>
    <cellStyle name="强调文字颜色 4 2 7 2 3" xfId="23740"/>
    <cellStyle name="常规 6 2 5" xfId="23741"/>
    <cellStyle name="标题 5 2 2 4" xfId="23742"/>
    <cellStyle name="汇总 2 2 3 4 2 3 3" xfId="23743"/>
    <cellStyle name="注释 2 2 3 2 2 8" xfId="23744"/>
    <cellStyle name="链接单元格 2 4 3" xfId="23745"/>
    <cellStyle name="输入 3 2 3 3 2" xfId="23746"/>
    <cellStyle name="计算 2 2 4 2 2 2 3 2 2" xfId="23747"/>
    <cellStyle name="超链接 3 3 4 2 3 2" xfId="23748"/>
    <cellStyle name="汇总 2 2 2 2 5" xfId="23749"/>
    <cellStyle name="汇总 2 8 3 5" xfId="23750"/>
    <cellStyle name="40% - 强调文字颜色 1 2 2 2 2 2 2 2 2 2 2" xfId="23751"/>
    <cellStyle name="输出 2 3 3 2" xfId="23752"/>
    <cellStyle name="40% - 强调文字颜色 4 2 2 4 4 2" xfId="23753"/>
    <cellStyle name="60% - 强调文字颜色 6 2 3 2 4 2 2 2" xfId="23754"/>
    <cellStyle name="常规 3 3 2 2" xfId="23755"/>
    <cellStyle name="注释 7 2" xfId="23756"/>
    <cellStyle name="强调文字颜色 4 4 2 2 2" xfId="23757"/>
    <cellStyle name="输出 2 8 5 2 2" xfId="23758"/>
    <cellStyle name="差 3" xfId="23759"/>
    <cellStyle name="常规 6 2 2 2 2 3" xfId="23760"/>
    <cellStyle name="输出 2 2 3 2 2 4 3" xfId="23761"/>
    <cellStyle name="链接单元格 2 2 2 2 2 2 2 3" xfId="23762"/>
    <cellStyle name="40% - 强调文字颜色 6 3 2 2" xfId="23763"/>
    <cellStyle name="汇总 2 2 4 3 2 7" xfId="23764"/>
    <cellStyle name="输入 2 2 4 2 14" xfId="23765"/>
    <cellStyle name="标题 1 2 2 2 5 2 2 3" xfId="23766"/>
    <cellStyle name="输出 3 2 4 2" xfId="23767"/>
    <cellStyle name="汇总 2 7 3 2 3 2 2" xfId="23768"/>
    <cellStyle name="40% - 强调文字颜色 1 4 3 2 2" xfId="23769"/>
    <cellStyle name="标题 3 2 2 2 2 2 2 3" xfId="23770"/>
    <cellStyle name="注释 4 8" xfId="23771"/>
    <cellStyle name="60% - 强调文字颜色 5 3 2 4 2 2 2" xfId="23772"/>
    <cellStyle name="60% - 强调文字颜色 1 2 3 2 3 2" xfId="23773"/>
    <cellStyle name="输出 3 2 2 7" xfId="23774"/>
    <cellStyle name="60% - 强调文字颜色 3 2 2 5" xfId="23775"/>
    <cellStyle name="常规 4 2 4 5 2 2" xfId="23776"/>
    <cellStyle name="汇总 3 2 5 2 2" xfId="23777"/>
    <cellStyle name="20% - 强调文字颜色 3 2 4 3 2 2 2" xfId="23778"/>
    <cellStyle name="40% - 强调文字颜色 1 2 2 3 3 2" xfId="23779"/>
    <cellStyle name="常规 5 2 4 2 2" xfId="23780"/>
    <cellStyle name="输入 2 3 5 3" xfId="23781"/>
    <cellStyle name="强调文字颜色 6 4 2 2 2" xfId="23782"/>
    <cellStyle name="输出 2 2 3 2 2 5 3" xfId="23783"/>
    <cellStyle name="强调文字颜色 2 2 6" xfId="23784"/>
    <cellStyle name="强调文字颜色 6 2 2 2 5 3" xfId="23785"/>
    <cellStyle name="计算 2 2 4 4 4" xfId="23786"/>
    <cellStyle name="输出 2 4 5 5 2" xfId="23787"/>
    <cellStyle name="标题 1 2 2 4 6" xfId="23788"/>
    <cellStyle name="汇总 2 6 2 2 2 4 2" xfId="23789"/>
    <cellStyle name="汇总 2 6 3 2 4" xfId="23790"/>
    <cellStyle name="强调文字颜色 5 2 2 2 2 4 2" xfId="23791"/>
    <cellStyle name="好 2 2 5 4" xfId="23792"/>
    <cellStyle name="汇总 2 2 4 9 2 2" xfId="23793"/>
    <cellStyle name="40% - 强调文字颜色 6 2 2 2 4 2 2" xfId="23794"/>
    <cellStyle name="汇总 2 5 2 4 6" xfId="23795"/>
    <cellStyle name="注释 2 9 2 2" xfId="23796"/>
    <cellStyle name="输入 2 3 2 2 2 7" xfId="23797"/>
    <cellStyle name="解释性文本 2 2 3 3 3" xfId="23798"/>
    <cellStyle name="输出 2 2 3 6 3" xfId="23799"/>
    <cellStyle name="汇总 2 2 4 4 8" xfId="23800"/>
    <cellStyle name="20% - 强调文字颜色 4 2 2 2 2 4" xfId="23801"/>
    <cellStyle name="输出 2 5 4 3 2 2" xfId="23802"/>
    <cellStyle name="汇总 2 4 2 2 3 2 3" xfId="23803"/>
    <cellStyle name="60% - 强调文字颜色 2 2 2 6 3 2 2" xfId="23804"/>
    <cellStyle name="计算 2 5 2 5 4 2" xfId="23805"/>
    <cellStyle name="汇总 2 2 7 4 3" xfId="23806"/>
    <cellStyle name="汇总 2 6 2 2 2 2 2 2" xfId="23807"/>
    <cellStyle name="20% - 强调文字颜色 2 5 2 2 2 2" xfId="23808"/>
    <cellStyle name="标题 5 2 2 2 4 2 3" xfId="23809"/>
    <cellStyle name="输入 2 2 4 4 9" xfId="23810"/>
    <cellStyle name="标题 5 2 2 3 2 2 2 2 2" xfId="23811"/>
    <cellStyle name="常规 6 4 3 3" xfId="23812"/>
    <cellStyle name="计算 2 2 3 2 4 3 2" xfId="23813"/>
    <cellStyle name="注释 2 2 2 2 2 8" xfId="23814"/>
    <cellStyle name="计算 4 4 4 2" xfId="23815"/>
    <cellStyle name="40% - 强调文字颜色 6 2 2 2 2 3 2 2 2" xfId="23816"/>
    <cellStyle name="注释 3 3 2 3 2" xfId="23817"/>
    <cellStyle name="输出 2 5 4 5 2" xfId="23818"/>
    <cellStyle name="标题 1 2 3 2 2 2 2" xfId="23819"/>
    <cellStyle name="汇总 2 2 4 4 3" xfId="23820"/>
    <cellStyle name="60% - 强调文字颜色 1 2 2 2 4 3" xfId="23821"/>
    <cellStyle name="好 2 2 6 2 2" xfId="23822"/>
    <cellStyle name="注释 2 3 9" xfId="23823"/>
    <cellStyle name="输入 2 6 3 7" xfId="23824"/>
    <cellStyle name="20% - 强调文字颜色 3 2 2 3 3 3" xfId="23825"/>
    <cellStyle name="汇总 2 2 4 2 4 7" xfId="23826"/>
    <cellStyle name="计算 2 2 11 7" xfId="23827"/>
    <cellStyle name="汇总 2 2 3 2 2 2 2 2" xfId="23828"/>
    <cellStyle name="40% - 强调文字颜色 3 2 3 2 2 3" xfId="23829"/>
    <cellStyle name="20% - 强调文字颜色 5 3 4 2 2 2" xfId="23830"/>
    <cellStyle name="差 3 2 3 2 3" xfId="23831"/>
    <cellStyle name="汇总 2 2 4 2 2 3 2 2 2" xfId="23832"/>
    <cellStyle name="注释 2 2 2 2" xfId="23833"/>
    <cellStyle name="汇总 2 3 14" xfId="23834"/>
    <cellStyle name="计算 2 2 5 2 11" xfId="23835"/>
    <cellStyle name="常规 4 10" xfId="23836"/>
    <cellStyle name="超链接 3 4 2 4" xfId="23837"/>
    <cellStyle name="注释 2 2 4 4 2 3 2" xfId="23838"/>
    <cellStyle name="40% - 强调文字颜色 3 2 2 9 2" xfId="23839"/>
    <cellStyle name="汇总 2 5 3 9" xfId="23840"/>
    <cellStyle name="汇总 2 6 8 2 2" xfId="23841"/>
    <cellStyle name="输入 2 4 3 5 3" xfId="23842"/>
    <cellStyle name="常规 2 4 2 2 2 2" xfId="23843"/>
    <cellStyle name="汇总 2 8 3 5 2" xfId="23844"/>
    <cellStyle name="计算 3 2 2 5 3" xfId="23845"/>
    <cellStyle name="标题 5 5 4" xfId="23846"/>
    <cellStyle name="链接单元格 2 4 7" xfId="23847"/>
    <cellStyle name="强调文字颜色 6 4 3" xfId="23848"/>
    <cellStyle name="输入 2 5 2 3 2 3" xfId="23849"/>
    <cellStyle name="汇总 2 7 2 2 4 3" xfId="23850"/>
    <cellStyle name="好 3 3 4" xfId="23851"/>
    <cellStyle name="计算 2 4 3 3" xfId="23852"/>
    <cellStyle name="汇总 2 7 3 2 7" xfId="23853"/>
    <cellStyle name="注释 3 2 2 8" xfId="23854"/>
    <cellStyle name="标题 2 2 2 4 2 4" xfId="23855"/>
    <cellStyle name="常规 10 7 3" xfId="23856"/>
    <cellStyle name="警告文本 2 2 5 2 2" xfId="23857"/>
    <cellStyle name="20% - 强调文字颜色 5 2 3 4 3 2" xfId="23858"/>
    <cellStyle name="60% - 强调文字颜色 6 2 6 2" xfId="23859"/>
    <cellStyle name="标题 1 2 2 2 8" xfId="23860"/>
    <cellStyle name="强调文字颜色 1 2 2 5" xfId="23861"/>
    <cellStyle name="常规 11 3 4" xfId="23862"/>
    <cellStyle name="强调文字颜色 3 2 3" xfId="23863"/>
    <cellStyle name="计算 2 6 2 7 3" xfId="23864"/>
    <cellStyle name="强调文字颜色 3 2 2 4 4 3" xfId="23865"/>
    <cellStyle name="汇总 2 2 3 5 2 2 2" xfId="23866"/>
    <cellStyle name="20% - 强调文字颜色 1 2 2 4 3 2 2 2" xfId="23867"/>
    <cellStyle name="强调文字颜色 5 2 3 2 3 2 2" xfId="23868"/>
    <cellStyle name="汇总 2 6 2 2 6 2 2" xfId="23869"/>
    <cellStyle name="60% - 强调文字颜色 2 2 2 5 3" xfId="23870"/>
    <cellStyle name="常规 2 6" xfId="23871"/>
    <cellStyle name="链接单元格" xfId="23872" builtinId="24"/>
    <cellStyle name="超链接 3 2 2 2 3 2" xfId="23873"/>
    <cellStyle name="计算 2 3 8 3" xfId="23874"/>
    <cellStyle name="输出 2 3 2 2 2 3 2 2" xfId="23875"/>
    <cellStyle name="60% - 强调文字颜色 3 2 4 8" xfId="23876"/>
    <cellStyle name="20% - 强调文字颜色 3 2 3 4 3 2 2" xfId="23877"/>
    <cellStyle name="60% - 强调文字颜色 5 2 3 2 6" xfId="23878"/>
    <cellStyle name="输入 2 9 3" xfId="23879"/>
    <cellStyle name="汇总 2 2 4 2" xfId="23880"/>
    <cellStyle name="常规 4 2 4 2 3 3" xfId="23881"/>
    <cellStyle name="适中 2 2 3 4 2 2 2" xfId="23882"/>
    <cellStyle name="强调文字颜色 3 2 2 2 2 2 3 2" xfId="23883"/>
    <cellStyle name="强调文字颜色 1 3 3 3 2" xfId="23884"/>
    <cellStyle name="40% - 强调文字颜色 3 2 2 6 3" xfId="23885"/>
    <cellStyle name="输出 2 2 2 3 5 3" xfId="23886"/>
    <cellStyle name="汇总 3 3 4 3" xfId="23887"/>
    <cellStyle name="输出 2 2 4 2 4 3" xfId="23888"/>
    <cellStyle name="20% - 强调文字颜色 3 4 5" xfId="23889"/>
    <cellStyle name="60% - 强调文字颜色 1 2" xfId="23890"/>
    <cellStyle name="输入 2 5 4 4 3" xfId="23891"/>
    <cellStyle name="好 2 3 2 6 2 2" xfId="23892"/>
    <cellStyle name="汇总 2 12 5" xfId="23893"/>
    <cellStyle name="注释 2 2 3 4 2 2" xfId="23894"/>
    <cellStyle name="40% - 强调文字颜色 6 2 5 3" xfId="23895"/>
    <cellStyle name="计算 2 8 3 4 2" xfId="23896"/>
    <cellStyle name="计算 3 3 2 2 2 2" xfId="23897"/>
    <cellStyle name="输入 2 5 5 7" xfId="23898"/>
    <cellStyle name="40% - 强调文字颜色 2 2 4 4 3" xfId="23899"/>
    <cellStyle name="标题 5 2 2 2 4 4" xfId="23900"/>
    <cellStyle name="标题 5 3 4 4" xfId="23901"/>
    <cellStyle name="常规 7 2 2 3 2" xfId="23902"/>
    <cellStyle name="输出 2 2 6 2 2 2" xfId="23903"/>
    <cellStyle name="汇总 2 6 6 2 2" xfId="23904"/>
    <cellStyle name="汇总 2 3 3 9" xfId="23905"/>
    <cellStyle name="输出 2 2 3 2 2 2 2 2 3" xfId="23906"/>
    <cellStyle name="警告文本 2 2 2 2 5" xfId="23907"/>
    <cellStyle name="注释 2 2 3 2 5 2" xfId="23908"/>
    <cellStyle name="标题 4 2 2 2 4" xfId="23909"/>
    <cellStyle name="常规 2 3 2 2 2 3" xfId="23910"/>
    <cellStyle name="注释 2 3 2 5 3" xfId="23911"/>
    <cellStyle name="计算 4 3 2 2 2" xfId="23912"/>
    <cellStyle name="输出 2 2 6 3 2 5" xfId="23913"/>
    <cellStyle name="汇总 2 5 2 9 3" xfId="23914"/>
    <cellStyle name="强调文字颜色 6 3 3 3 2" xfId="23915"/>
    <cellStyle name="汇总 2 2 4 5 4 2 2" xfId="23916"/>
    <cellStyle name="常规 5 2 2 4 4 2 2" xfId="23917"/>
    <cellStyle name="输入 2 5 3 6" xfId="23918"/>
    <cellStyle name="计算 2 2 8 6" xfId="23919"/>
    <cellStyle name="20% - 强调文字颜色 3 2 2 2 3 2" xfId="23920"/>
    <cellStyle name="常规 8 3 4 2" xfId="23921"/>
    <cellStyle name="输出 2 5 3 5" xfId="23922"/>
    <cellStyle name="输入 4 2 2 2 3" xfId="23923"/>
    <cellStyle name="输出 2 6 3 3" xfId="23924"/>
    <cellStyle name="汇总 4 2 5 2" xfId="23925"/>
    <cellStyle name="汇总 2 3 2 2 2 2 4 2" xfId="23926"/>
    <cellStyle name="常规 3 6 2 2" xfId="23927"/>
    <cellStyle name="超链接 2 2 7" xfId="23928"/>
    <cellStyle name="汇总 2 5 2 2 2 8" xfId="23929"/>
    <cellStyle name="常规 2 2 2 2 3 3 2" xfId="23930"/>
    <cellStyle name="强调文字颜色 5 2 2 4 2 2 3" xfId="23931"/>
    <cellStyle name="强调文字颜色 1 2 3 5 3" xfId="23932"/>
    <cellStyle name="检查单元格 2 3 4 4" xfId="23933"/>
    <cellStyle name="强调文字颜色 5 6" xfId="23934"/>
    <cellStyle name="注释 2 2 5 3 2 5" xfId="23935"/>
    <cellStyle name="输出 2 2 2 4 5" xfId="23936"/>
    <cellStyle name="输出 2 6 2 4" xfId="23937"/>
    <cellStyle name="注释 2 2 9 3 2" xfId="23938"/>
    <cellStyle name="注释 2 2 3 12" xfId="23939"/>
    <cellStyle name="40% - 强调文字颜色 3 2 3 6" xfId="23940"/>
    <cellStyle name="适中 2 3 2 4 2 3" xfId="23941"/>
    <cellStyle name="警告文本 2 2 4 2 2 3" xfId="23942"/>
    <cellStyle name="输入 2 2 5 2 3 5" xfId="23943"/>
    <cellStyle name="汇总 2 2 7 2 6" xfId="23944"/>
    <cellStyle name="计算 2 2 4 2 3 3" xfId="23945"/>
    <cellStyle name="强调文字颜色 6 2 2 2 3 2 3" xfId="23946"/>
    <cellStyle name="强调文字颜色 5 2 3 5 2 3" xfId="23947"/>
    <cellStyle name="计算 2 2 3 2 2 2 3 2 2" xfId="23948"/>
    <cellStyle name="汇总 2 2 6 3 3 3" xfId="23949"/>
    <cellStyle name="常规 2 2 6" xfId="23950"/>
    <cellStyle name="常规 6 2 3 2 3 2" xfId="23951"/>
    <cellStyle name="输出 2 2 3 3 2 5 2" xfId="23952"/>
    <cellStyle name="强调文字颜色 3 2 3 2 2 2 2 3" xfId="23953"/>
    <cellStyle name="计算 2 3 3 2 6" xfId="23954"/>
    <cellStyle name="汇总 2 3 4 3 2" xfId="23955"/>
    <cellStyle name="警告文本 2 3 2 5" xfId="23956"/>
    <cellStyle name="计算 2 2 5 4 4" xfId="23957"/>
    <cellStyle name="强调文字颜色 6 2 2 3 5 3" xfId="23958"/>
    <cellStyle name="输出 3 2 2 6" xfId="23959"/>
    <cellStyle name="标题 5 3 3 2" xfId="23960"/>
    <cellStyle name="标题 5 2 2 2 3 2" xfId="23961"/>
    <cellStyle name="常规 2 4 2 2 2 2 2" xfId="23962"/>
    <cellStyle name="汇总 2 5 3 3 6" xfId="23963"/>
    <cellStyle name="计算 2 2 2 7 3" xfId="23964"/>
    <cellStyle name="计算 2 2 4 3 2 2 4 2" xfId="23965"/>
    <cellStyle name="链接单元格 2 2 3 2 2" xfId="23966"/>
    <cellStyle name="标题 4 3 2 6" xfId="23967"/>
    <cellStyle name="汇总 2 2 6 4 3 2 2" xfId="23968"/>
    <cellStyle name="常规 3 2 5 2" xfId="23969"/>
    <cellStyle name="汇总 2 6 2 2 2 4 3" xfId="23970"/>
    <cellStyle name="40% - 强调文字颜色 6 2 5 3 3 2" xfId="23971"/>
    <cellStyle name="解释性文本 2 2 9" xfId="23972"/>
    <cellStyle name="检查单元格 2 2 4 3 2 2" xfId="23973"/>
    <cellStyle name="强调文字颜色 1 2 2 5 2 2 2" xfId="23974"/>
    <cellStyle name="汇总 2 6 2 7 2" xfId="23975"/>
    <cellStyle name="汇总 2 3 2 3 5 2" xfId="23976"/>
    <cellStyle name="注释 5 3" xfId="23977"/>
    <cellStyle name="汇总 2 6 4 2 2" xfId="23978"/>
    <cellStyle name="汇总 2 2 5 2 2 6 3" xfId="23979"/>
    <cellStyle name="计算 2 2 6 2" xfId="23980"/>
    <cellStyle name="汇总 2 4 3 3 2 2" xfId="23981"/>
    <cellStyle name="强调文字颜色 3 2 3 2 5 3" xfId="23982"/>
    <cellStyle name="强调文字颜色 2 2 2 2 2 3 4" xfId="23983"/>
    <cellStyle name="60% - 强调文字颜色 3 2 4" xfId="23984"/>
    <cellStyle name="输入 2 5 2 9" xfId="23985"/>
    <cellStyle name="解释性文本 2 2 4 3 2 2" xfId="23986"/>
    <cellStyle name="计算 2 4 9 2" xfId="23987"/>
    <cellStyle name="计算 2 3 2 4 4 2" xfId="23988"/>
    <cellStyle name="常规 3 3 2 4 2 2" xfId="23989"/>
    <cellStyle name="输出 2 3 3 5 2 2" xfId="23990"/>
    <cellStyle name="常规 5 4 7" xfId="23991"/>
    <cellStyle name="计算 2 6 3 3 2 2 2" xfId="23992"/>
    <cellStyle name="汇总 2 7 6 2" xfId="23993"/>
    <cellStyle name="40% - 强调文字颜色 4 4" xfId="23994"/>
    <cellStyle name="超链接 3 6" xfId="23995"/>
    <cellStyle name="计算 2 2 8 8 3" xfId="23996"/>
    <cellStyle name="汇总 2 2 2 3 3 3 3" xfId="23997"/>
    <cellStyle name="好 2 2 2 2 4 2 3" xfId="23998"/>
    <cellStyle name="标题 1 2 2 4 3 2 3" xfId="23999"/>
    <cellStyle name="标题 4 3 11" xfId="24000"/>
    <cellStyle name="注释 2 2 2 3 3" xfId="24001"/>
    <cellStyle name="输出 2 2 3 3 10" xfId="24002"/>
    <cellStyle name="20% - 强调文字颜色 5 2 3 2 2 3 2" xfId="24003"/>
    <cellStyle name="适中 2 3 2 2 2 2" xfId="24004"/>
    <cellStyle name="强调文字颜色 5 2 3 2 5" xfId="24005"/>
    <cellStyle name="汇总 2 6 3 2 3 2" xfId="24006"/>
    <cellStyle name="计算 4 4" xfId="24007"/>
    <cellStyle name="输出 3 2 2 5 3" xfId="24008"/>
    <cellStyle name="链接单元格 2 2 2 2 4 2 3" xfId="24009"/>
    <cellStyle name="20% - 强调文字颜色 6 2 4 2 2 2 2" xfId="24010"/>
    <cellStyle name="常规 8 3 3 2" xfId="24011"/>
    <cellStyle name="汇总 2 2 4 2 7 3" xfId="24012"/>
    <cellStyle name="计算 2 2 14 3" xfId="24013"/>
    <cellStyle name="汇总 2 2 4 3 2 2 3 2 2" xfId="24014"/>
    <cellStyle name="汇总 4 2 3 2 3" xfId="24015"/>
    <cellStyle name="解释性文本 2 2 2 5 2 2" xfId="24016"/>
    <cellStyle name="汇总 2 2 2 12" xfId="24017"/>
    <cellStyle name="输出 2 2 2 3 5 2 2" xfId="24018"/>
    <cellStyle name="计算 2 5 3 5 3" xfId="24019"/>
    <cellStyle name="汇总 2 2 4 2 2 3 4" xfId="24020"/>
    <cellStyle name="强调文字颜色 1 2 2 6 3 2" xfId="24021"/>
    <cellStyle name="汇总 2 5 3 2 2 2 3" xfId="24022"/>
    <cellStyle name="强调文字颜色 6 2 5 2" xfId="24023"/>
    <cellStyle name="20% - 强调文字颜色 6 2 6 2 2" xfId="24024"/>
    <cellStyle name="常规 3 3 2 4" xfId="24025"/>
    <cellStyle name="汇总 2 8 3 8" xfId="24026"/>
    <cellStyle name="注释 2 2 2 2 2 2 3 2 2" xfId="24027"/>
    <cellStyle name="好 2 2 2 2 2 2 3" xfId="24028"/>
    <cellStyle name="计算 2 8 2 3 2" xfId="24029"/>
    <cellStyle name="适中 2 2 4 3 2" xfId="24030"/>
    <cellStyle name="输出 2 6 4 3" xfId="24031"/>
    <cellStyle name="标题 4 3 3 3 2" xfId="24032"/>
    <cellStyle name="汇总 2 9 3 4" xfId="24033"/>
    <cellStyle name="差 3 2 2 5" xfId="24034"/>
    <cellStyle name="常规 4 2 2 2 5" xfId="24035"/>
    <cellStyle name="20% - 强调文字颜色 2 2 2 2 2 3" xfId="24036"/>
    <cellStyle name="标题 2 2 4 9" xfId="24037"/>
    <cellStyle name="40% - 强调文字颜色 3 2 5 4 2 2" xfId="24038"/>
    <cellStyle name="汇总 2 3 2 2 3 3 3" xfId="24039"/>
    <cellStyle name="强调文字颜色 4 2 2 6 2 2" xfId="24040"/>
    <cellStyle name="输入 2 2 3 4 2 3" xfId="24041"/>
    <cellStyle name="计算 2 2 7 2 2 2" xfId="24042"/>
    <cellStyle name="计算 2 7 4 2 5" xfId="24043"/>
    <cellStyle name="计算 2 6 2 2 2 2 2 2" xfId="24044"/>
    <cellStyle name="汇总 2 2 5 3 2 3" xfId="24045"/>
    <cellStyle name="40% - 强调文字颜色 4 2 2 2 3 4" xfId="24046"/>
    <cellStyle name="强调文字颜色 3 2 4 2 2" xfId="24047"/>
    <cellStyle name="汇总 2 3 2 3 8" xfId="24048"/>
    <cellStyle name="20% - 强调文字颜色 5 2 2 2 2 2 4 3 2" xfId="24049"/>
    <cellStyle name="汇总 2 2 7 3 3 2" xfId="24050"/>
    <cellStyle name="常规 2 4" xfId="24051"/>
    <cellStyle name="常规 5 3 2 2 2" xfId="24052"/>
    <cellStyle name="输入 2 2 3 4 2 2 2 2" xfId="24053"/>
    <cellStyle name="标题 4 2 3 2 2 2 2 3" xfId="24054"/>
    <cellStyle name="解释性文本 3 2 5 3" xfId="24055"/>
    <cellStyle name="输出 2 2 2 2 3 4" xfId="24056"/>
    <cellStyle name="强调文字颜色 3 4 4" xfId="24057"/>
    <cellStyle name="强调文字颜色 4 2 2 5" xfId="24058"/>
    <cellStyle name="标题 1 2 3 3 3 2" xfId="24059"/>
    <cellStyle name="汇总 4 2 3 2 2 2" xfId="24060"/>
    <cellStyle name="输出 2 2 3 2 3 3 3" xfId="24061"/>
    <cellStyle name="超链接 3 5 2 2 3" xfId="24062"/>
    <cellStyle name="输入 2 2 2 2 2 2 5" xfId="24063"/>
    <cellStyle name="输入 2 2 2 6 2 2" xfId="24064"/>
    <cellStyle name="计算 2 5 2 5 7" xfId="24065"/>
    <cellStyle name="计算 3 4 4 3" xfId="24066"/>
    <cellStyle name="输出 2 2 5 2 4 3" xfId="24067"/>
    <cellStyle name="20% - 强调文字颜色 5 2 2 3 3 3" xfId="24068"/>
    <cellStyle name="汇总 2 3 10" xfId="24069"/>
    <cellStyle name="适中 3 2 2 2" xfId="24070"/>
    <cellStyle name="汇总 3 2 5 2" xfId="24071"/>
    <cellStyle name="计算 2 2 6 2 2 2 2 2 2" xfId="24072"/>
    <cellStyle name="40% - 强调文字颜色 6 2 2 3 2" xfId="24073"/>
    <cellStyle name="链接单元格 2 2 2 5 2 2" xfId="24074"/>
    <cellStyle name="适中 2 2 2 3" xfId="24075"/>
    <cellStyle name="汇总 2 2 2 4 4" xfId="24076"/>
    <cellStyle name="差 2 2 3 4 3" xfId="24077"/>
    <cellStyle name="强调文字颜色 1 2 3 4 3 2 2" xfId="24078"/>
    <cellStyle name="警告文本 2 5 2 3" xfId="24079"/>
    <cellStyle name="检查单元格 2 3 5 2 3" xfId="24080"/>
    <cellStyle name="常规 4 5 3 2 2" xfId="24081"/>
    <cellStyle name="汇总 2 6 5 2" xfId="24082"/>
    <cellStyle name="好 2 4 5" xfId="24083"/>
    <cellStyle name="计算 2 3 4 4" xfId="24084"/>
    <cellStyle name="注释 2 2 6 2 3" xfId="24085"/>
    <cellStyle name="40% - 强调文字颜色 1 2 2 5 3 2" xfId="24086"/>
    <cellStyle name="汇总 2 2 5 2 5 2 2" xfId="24087"/>
    <cellStyle name="汇总 2 3 2 3" xfId="24088"/>
    <cellStyle name="检查单元格 2 2 3 6 3" xfId="24089"/>
    <cellStyle name="输出 2 7 6" xfId="24090"/>
    <cellStyle name="输出 2 2 6 3 2 4" xfId="24091"/>
    <cellStyle name="汇总 2 5 2 9 2" xfId="24092"/>
    <cellStyle name="汇总 2 7 4 6" xfId="24093"/>
    <cellStyle name="注释 3 2 7 2 2" xfId="24094"/>
    <cellStyle name="强调文字颜色 3 2 3 3 5" xfId="24095"/>
    <cellStyle name="常规 4 3 3 2 3 2" xfId="24096"/>
    <cellStyle name="汇总 2 2 5 2 3 6" xfId="24097"/>
    <cellStyle name="汇总 2 3 4 2 2 2" xfId="24098"/>
    <cellStyle name="20% - 强调文字颜色 3 3 6" xfId="24099"/>
    <cellStyle name="输出 2 2 4 2 3 4" xfId="24100"/>
    <cellStyle name="计算 2 6 2 5" xfId="24101"/>
    <cellStyle name="注释 2 4 3 4 3" xfId="24102"/>
    <cellStyle name="输出 3 2 3 2 2" xfId="24103"/>
    <cellStyle name="标题 1 2 2 4 2 3 3" xfId="24104"/>
    <cellStyle name="注释 2 4 2 3 2 2 2" xfId="24105"/>
    <cellStyle name="输入 2 2 4 4 8" xfId="24106"/>
    <cellStyle name="汇总 2 8 2 2 2 3" xfId="24107"/>
    <cellStyle name="检查单元格 2 2 2 2 4" xfId="24108"/>
    <cellStyle name="输入 2 4 2 2 3 3" xfId="24109"/>
    <cellStyle name="输入 4 3 4" xfId="24110"/>
    <cellStyle name="输入 2 2 4 3 2 2 2 3" xfId="24111"/>
    <cellStyle name="汇总 2 9 3 2 2 2" xfId="24112"/>
    <cellStyle name="20% - 强调文字颜色 3 2 2 9 2" xfId="24113"/>
    <cellStyle name="60% - 强调文字颜色 3 2 7" xfId="24114"/>
    <cellStyle name="输入 2 5 3 4 2" xfId="24115"/>
    <cellStyle name="好 2 6 3 3" xfId="24116"/>
    <cellStyle name="汇总 3 2 5 3" xfId="24117"/>
    <cellStyle name="输入 2 2 4 4 7" xfId="24118"/>
    <cellStyle name="计算 2 9 6" xfId="24119"/>
    <cellStyle name="适中 2 3 8" xfId="24120"/>
    <cellStyle name="输出 2 3 4 2" xfId="24121"/>
    <cellStyle name="输出 2 2 7 5 2 2" xfId="24122"/>
    <cellStyle name="计算 2 6 2 4 3 2 2" xfId="24123"/>
    <cellStyle name="40% - 强调文字颜色 6 2 2 3 7" xfId="24124"/>
    <cellStyle name="汇总 2 2 4 2 3 6" xfId="24125"/>
    <cellStyle name="常规 4 3 2 2 3 2" xfId="24126"/>
    <cellStyle name="适中 3 2 2" xfId="24127"/>
    <cellStyle name="标题 5 2 3 3 3 3" xfId="24128"/>
    <cellStyle name="输出 2 4 2 2 2 7" xfId="24129"/>
    <cellStyle name="计算 2 2 9 8" xfId="24130"/>
    <cellStyle name="差 2 2 3 3 3 3" xfId="24131"/>
    <cellStyle name="汇总 2 2 2 3 4 3" xfId="24132"/>
    <cellStyle name="强调文字颜色 1 2 6 3 2 2" xfId="24133"/>
    <cellStyle name="60% - 强调文字颜色 3 3 2 4 2" xfId="24134"/>
    <cellStyle name="输出 2 2 2 4 6" xfId="24135"/>
    <cellStyle name="标题 4 2 6 3" xfId="24136"/>
    <cellStyle name="常规 7 4 2 2 2 2" xfId="24137"/>
    <cellStyle name="常规 9 3 2 5" xfId="24138"/>
    <cellStyle name="60% - 强调文字颜色 6 3 4 3" xfId="24139"/>
    <cellStyle name="强调文字颜色 3 2 2 2 3 2" xfId="24140"/>
    <cellStyle name="注释 3 7 3" xfId="24141"/>
    <cellStyle name="适中 2 4 2 2 2" xfId="24142"/>
    <cellStyle name="标题 4 5 2 3" xfId="24143"/>
    <cellStyle name="60% - 强调文字颜色 3 5 2" xfId="24144"/>
    <cellStyle name="60% - 强调文字颜色 4 2 2 3 5" xfId="24145"/>
    <cellStyle name="链接单元格 2 2 2 7" xfId="24146"/>
    <cellStyle name="注释 2 6 2 4 3" xfId="24147"/>
    <cellStyle name="20% - 强调文字颜色 5 2 5 4" xfId="24148"/>
    <cellStyle name="Normal 3 2 3 2" xfId="24149"/>
    <cellStyle name="计算 2 2 2 3 7 2" xfId="24150"/>
    <cellStyle name="汇总 2 4 3 3 2" xfId="24151"/>
    <cellStyle name="计算 2 2 6" xfId="24152"/>
    <cellStyle name="常规 4 6 3 3" xfId="24153"/>
    <cellStyle name="常规 2 2 2 2 2 3 3 2" xfId="24154"/>
    <cellStyle name="检查单元格 2 2 4 5 2" xfId="24155"/>
    <cellStyle name="输入 2 2 8 2 6" xfId="24156"/>
    <cellStyle name="40% - 强调文字颜色 1 3 2 4 2 2 2" xfId="24157"/>
    <cellStyle name="20% - 强调文字颜色 2 2 7 3" xfId="24158"/>
    <cellStyle name="注释 2 3 2 6 2" xfId="24159"/>
    <cellStyle name="标题 2 3 2 2 2 2 2 2" xfId="24160"/>
    <cellStyle name="注释 2 3 2 3" xfId="24161"/>
    <cellStyle name="适中 2 2 3 3 3 2" xfId="24162"/>
    <cellStyle name="注释 2 5 3 2 2 2 2" xfId="24163"/>
    <cellStyle name="输出 2 7 2 3" xfId="24164"/>
    <cellStyle name="超链接 3 2 2 5 2" xfId="24165"/>
    <cellStyle name="标题 3 2 3 2 2 3 2" xfId="24166"/>
    <cellStyle name="常规 4 2 3 3 2" xfId="24167"/>
    <cellStyle name="40% - 强调文字颜色 3 2 3 4 2 2" xfId="24168"/>
    <cellStyle name="强调文字颜色 5 4 2 2" xfId="24169"/>
    <cellStyle name="输出 2 2 2 4 3 2 2" xfId="24170"/>
    <cellStyle name="汇总 2 2 7 2 7" xfId="24171"/>
    <cellStyle name="常规 5 2 2 3 2" xfId="24172"/>
    <cellStyle name="60% - 强调文字颜色 4 2 2 2" xfId="24173"/>
    <cellStyle name="差 2 3 2 4 2 2" xfId="24174"/>
    <cellStyle name="输出 2 5 2 2 5" xfId="24175"/>
    <cellStyle name="强调文字颜色 3 2 3 2 4 3 2" xfId="24176"/>
    <cellStyle name="计算 2 2 5 2 2" xfId="24177"/>
    <cellStyle name="计算 2 8 5 3" xfId="24178"/>
    <cellStyle name="输出 4 2 6 3" xfId="24179"/>
    <cellStyle name="适中 2 2 7 3" xfId="24180"/>
    <cellStyle name="汇总 2 5 3 4" xfId="24181"/>
    <cellStyle name="计算 2 2 7 2 2 2 3" xfId="24182"/>
    <cellStyle name="百分比 2 2 2 5 3" xfId="24183"/>
    <cellStyle name="强调文字颜色 5 2 2 6 4" xfId="24184"/>
    <cellStyle name="注释 2 2 3 2 2 3 2 3" xfId="24185"/>
    <cellStyle name="汇总 2 17" xfId="24186"/>
    <cellStyle name="汇总 2 22" xfId="24187"/>
    <cellStyle name="汇总 2 2 8 6 3" xfId="24188"/>
    <cellStyle name="常规 5 6 5" xfId="24189"/>
    <cellStyle name="常规 3 3 3 2" xfId="24190"/>
    <cellStyle name="注释 8 2" xfId="24191"/>
    <cellStyle name="链接单元格 2 2 3 4 3" xfId="24192"/>
    <cellStyle name="常规 5 2 5 2 3 3" xfId="24193"/>
    <cellStyle name="解释性文本 2 2 4 5 2" xfId="24194"/>
    <cellStyle name="60% - 强调文字颜色 5 2 4 3 3 2" xfId="24195"/>
    <cellStyle name="40% - 强调文字颜色 1 4 2 4 2" xfId="24196"/>
    <cellStyle name="计算 2 2 4 2 9 2 2" xfId="24197"/>
    <cellStyle name="常规 5 2 2 2 4" xfId="24198"/>
    <cellStyle name="40% - 强调文字颜色 5 3 5 2" xfId="24199"/>
    <cellStyle name="汇总 2 2 7 4 5" xfId="24200"/>
    <cellStyle name="计算 2 5 2 3 3 2 2" xfId="24201"/>
    <cellStyle name="适中 2 4 2 2 2 3" xfId="24202"/>
    <cellStyle name="汇总 2 6 13" xfId="24203"/>
    <cellStyle name="40% - 强调文字颜色 1 2 2 3 7" xfId="24204"/>
    <cellStyle name="20% - 强调文字颜色 5 2 2 2 3 2 2" xfId="24205"/>
    <cellStyle name="60% - 强调文字颜色 6 2 3 4 2 2 2" xfId="24206"/>
    <cellStyle name="常规 13 2 2 4 2" xfId="24207"/>
    <cellStyle name="差 2 3 2 5" xfId="24208"/>
    <cellStyle name="汇总 2 12 4" xfId="24209"/>
    <cellStyle name="20% - 强调文字颜色 3 4 4" xfId="24210"/>
    <cellStyle name="适中 2 2 2 3 2" xfId="24211"/>
    <cellStyle name="40% - 强调文字颜色 6 2 2 3 2 2" xfId="24212"/>
    <cellStyle name="链接单元格 2 2 2 5 2 2 2" xfId="24213"/>
    <cellStyle name="常规 4 3 5 2 2" xfId="24214"/>
    <cellStyle name="计算 2 3 2 4 2" xfId="24215"/>
    <cellStyle name="汇总 2 6 3 2 2" xfId="24216"/>
    <cellStyle name="输入 2 2 3 2 3" xfId="24217"/>
    <cellStyle name="标题 3 2 6 4" xfId="24218"/>
    <cellStyle name="输入 2 5 2 2 7" xfId="24219"/>
    <cellStyle name="输出 2 3 2 2 2 5" xfId="24220"/>
    <cellStyle name="警告文本 2 2 2 3 2 2" xfId="24221"/>
    <cellStyle name="检查单元格 2 2 2 2 3 2 2" xfId="24222"/>
    <cellStyle name="20% - 强调文字颜色 3 3 5 2 2" xfId="24223"/>
    <cellStyle name="输入 2 2 8 5 2" xfId="24224"/>
    <cellStyle name="好 2 2 2 6 2" xfId="24225"/>
    <cellStyle name="强调文字颜色 2 2 4 3 2" xfId="24226"/>
    <cellStyle name="输出 2 5 4 7" xfId="24227"/>
    <cellStyle name="汇总 2 2 2 3 2 6" xfId="24228"/>
    <cellStyle name="标题 1 2 3 2 2 4" xfId="24229"/>
    <cellStyle name="汇总 2 2 4 13" xfId="24230"/>
    <cellStyle name="标题 3 2 4 2 2 2" xfId="24231"/>
    <cellStyle name="好 4 2 2 2 2 2" xfId="24232"/>
    <cellStyle name="解释性文本 3 9" xfId="24233"/>
    <cellStyle name="汇总 2 2 6 2 4" xfId="24234"/>
    <cellStyle name="汇总 2 2 4 3 2 3 2 2" xfId="24235"/>
    <cellStyle name="输入 2 2 5 9 2" xfId="24236"/>
    <cellStyle name="强调文字颜色 2 2 2 2 2 2 4" xfId="24237"/>
    <cellStyle name="注释 2 8 2 4" xfId="24238"/>
    <cellStyle name="汇总 2 4 2 2 4 3" xfId="24239"/>
    <cellStyle name="差 4 2 2" xfId="24240"/>
    <cellStyle name="输出 3 3 3 3" xfId="24241"/>
    <cellStyle name="40% - 强调文字颜色 3 2 2 2 2 2 2 2 2" xfId="24242"/>
    <cellStyle name="计算 2 10 5" xfId="24243"/>
    <cellStyle name="输出 2 6 4 2 3" xfId="24244"/>
    <cellStyle name="强调文字颜色 5 2 2 3 9" xfId="24245"/>
    <cellStyle name="计算 2 2 2 10 2 2" xfId="24246"/>
    <cellStyle name="好 6 2 3" xfId="24247"/>
    <cellStyle name="计算 2 3 2 3 3 3" xfId="24248"/>
    <cellStyle name="好 2 2 4 3 3" xfId="24249"/>
    <cellStyle name="常规 10 5 2 3" xfId="24250"/>
    <cellStyle name="超链接 2 2 3 3 4" xfId="24251"/>
    <cellStyle name="链接单元格 2 5 3" xfId="24252"/>
    <cellStyle name="警告文本 2 2 2 2 5 3" xfId="24253"/>
    <cellStyle name="60% - 强调文字颜色 4 3 4 2 2" xfId="24254"/>
    <cellStyle name="输入 2 2 8 3 2" xfId="24255"/>
    <cellStyle name="输入 2 2 4 4 2 3" xfId="24256"/>
    <cellStyle name="常规 5 2 3 5 2 2" xfId="24257"/>
    <cellStyle name="注释 2 3 3 4" xfId="24258"/>
    <cellStyle name="汇总 2 2 5 2 2 2 2" xfId="24259"/>
    <cellStyle name="20% - 强调文字颜色 2 2 2 7 2 2" xfId="24260"/>
    <cellStyle name="汇总 2 2 2 5 3" xfId="24261"/>
    <cellStyle name="输出 2 2 9" xfId="24262"/>
    <cellStyle name="60% - 强调文字颜色 2 2 2 2 2 3 2 2" xfId="24263"/>
    <cellStyle name="强调文字颜色 6 2 3 2 4 3" xfId="24264"/>
    <cellStyle name="20% - 强调文字颜色 3 2 3 2 2 2 3 2" xfId="24265"/>
    <cellStyle name="计算 2 4 4 4 2" xfId="24266"/>
    <cellStyle name="标题 5 3 9" xfId="24267"/>
    <cellStyle name="计算 2 2 3 5" xfId="24268"/>
    <cellStyle name="汇总 2 5 4 3" xfId="24269"/>
    <cellStyle name="计算 4 2 2 4" xfId="24270"/>
    <cellStyle name="20% - 强调文字颜色 6 2 3 6 2" xfId="24271"/>
    <cellStyle name="输入 2 9 2 5" xfId="24272"/>
    <cellStyle name="检查单元格 3 3 2 2" xfId="24273"/>
    <cellStyle name="40% - 强调文字颜色 3 2 2 2 2 3 2 2" xfId="24274"/>
    <cellStyle name="计算 2 7 2 3 2 2" xfId="24275"/>
    <cellStyle name="计算 2 2 7 3 4" xfId="24276"/>
    <cellStyle name="汇总 2 7 3 4 3" xfId="24277"/>
    <cellStyle name="标题 7 3 2 2" xfId="24278"/>
    <cellStyle name="标题 5 2 4 2 2 2" xfId="24279"/>
    <cellStyle name="汇总 2 9 2 5 2" xfId="24280"/>
    <cellStyle name="解释性文本 2 2 3 4 2 2 2" xfId="24281"/>
    <cellStyle name="注释 2 6 3 7" xfId="24282"/>
    <cellStyle name="标题 3 2 2 3 2 2 2" xfId="24283"/>
    <cellStyle name="超链接 2 3 2 4 2" xfId="24284"/>
    <cellStyle name="适中 2 3 2 2 2 2 2" xfId="24285"/>
    <cellStyle name="20% - 强调文字颜色 5 2 3 2 2 3 2 2" xfId="24286"/>
    <cellStyle name="超链接 2 3 2 3" xfId="24287"/>
    <cellStyle name="常规 4 2 4 3 2 2" xfId="24288"/>
    <cellStyle name="强调文字颜色 6 3 10" xfId="24289"/>
    <cellStyle name="标题 1 2 2 6 2 2 2" xfId="24290"/>
    <cellStyle name="60% - 强调文字颜色 3 2 10" xfId="24291"/>
    <cellStyle name="计算 2 7 4 2 3 2" xfId="24292"/>
    <cellStyle name="输入 2 7 6 2" xfId="24293"/>
    <cellStyle name="强调文字颜色 1 2 2 2 4 2" xfId="24294"/>
    <cellStyle name="汇总 2 2 3 4 2 2 2 2" xfId="24295"/>
    <cellStyle name="汇总 2 2 7 2 9" xfId="24296"/>
    <cellStyle name="计算 2 14 3" xfId="24297"/>
    <cellStyle name="常规 10 4 6" xfId="24298"/>
    <cellStyle name="输出 2 2 3 2 2 2 3 2" xfId="24299"/>
    <cellStyle name="常规 6 2 3 5 2 2" xfId="24300"/>
    <cellStyle name="解释性文本 2 2 2 2 2 2 2 2" xfId="24301"/>
    <cellStyle name="汇总 2 2 2 4 2 4 3" xfId="24302"/>
    <cellStyle name="计算 2 5 2 3 3 4 2" xfId="24303"/>
    <cellStyle name="标题 1 2 3 3 2 2 3" xfId="24304"/>
    <cellStyle name="20% - 强调文字颜色 2 6" xfId="24305"/>
    <cellStyle name="标题 2 2 2 2 2 4" xfId="24306"/>
    <cellStyle name="输入 2 2 4 5 4 2 2" xfId="24307"/>
    <cellStyle name="汇总 2 3 2 2 2 8" xfId="24308"/>
    <cellStyle name="常规 3 3 3 2 2 2 2 2" xfId="24309"/>
    <cellStyle name="汇总 2 7 5 4" xfId="24310"/>
    <cellStyle name="40% - 强调文字颜色 3 6" xfId="24311"/>
    <cellStyle name="强调文字颜色 1 2 6 2 2" xfId="24312"/>
    <cellStyle name="输入 2 2 6 7 2" xfId="24313"/>
    <cellStyle name="计算 2 4 2 2 2 4" xfId="24314"/>
    <cellStyle name="20% - 强调文字颜色 1 2 2 2 2 2 2 2 2 2 2" xfId="24315"/>
    <cellStyle name="汇总 2 6 2 2 4" xfId="24316"/>
    <cellStyle name="输入 2 3 3 3 2" xfId="24317"/>
    <cellStyle name="输出 2 3 2 8" xfId="24318"/>
    <cellStyle name="注释 2 2 6 3 6" xfId="24319"/>
    <cellStyle name="超链接 2 2 2 2 4 3" xfId="24320"/>
    <cellStyle name="输入 2 2 6 7 2 2" xfId="24321"/>
    <cellStyle name="适中 2 4 6" xfId="24322"/>
    <cellStyle name="常规 5 4 4 3 2 2" xfId="24323"/>
    <cellStyle name="60% - 强调文字颜色 6 4 2 2 2" xfId="24324"/>
    <cellStyle name="输出 2 2 7 4 2 2" xfId="24325"/>
    <cellStyle name="输出 2 5 2 3" xfId="24326"/>
    <cellStyle name="汇总 2 4 3 2 2" xfId="24327"/>
    <cellStyle name="常规 2 3 4 2 2" xfId="24328"/>
    <cellStyle name="常规 2 3 2 4 3 2" xfId="24329"/>
    <cellStyle name="强调文字颜色 4 2 3 3 2 2 2" xfId="24330"/>
    <cellStyle name="输出 3 3 2" xfId="24331"/>
    <cellStyle name="检查单元格 2 2 2 2 3 2 3" xfId="24332"/>
    <cellStyle name="汇总 2 2 6 9 2" xfId="24333"/>
    <cellStyle name="链接单元格 2 2 3 2 3" xfId="24334"/>
    <cellStyle name="输出 2 5 6" xfId="24335"/>
    <cellStyle name="注释 2 4 2 3 2 2 3" xfId="24336"/>
    <cellStyle name="40% - 强调文字颜色 2 2 2 4 3 3" xfId="24337"/>
    <cellStyle name="输入 2 2 6 2 2 2 3" xfId="24338"/>
    <cellStyle name="适中 2 4 3" xfId="24339"/>
    <cellStyle name="输出 4 4 2" xfId="24340"/>
    <cellStyle name="输出 2 3 2 5 3" xfId="24341"/>
    <cellStyle name="汇总 2 2 3 3 6 2 2" xfId="24342"/>
    <cellStyle name="汇总 2 2 2 2 2 2 2 2" xfId="24343"/>
    <cellStyle name="输出 2 4 4 3 2 2" xfId="24344"/>
    <cellStyle name="标题 4 2 3 2 3" xfId="24345"/>
    <cellStyle name="常规 2 3 2 3 2 2" xfId="24346"/>
    <cellStyle name="输出 2 2 3 2 3 4 2 2" xfId="24347"/>
    <cellStyle name="汇总 2 2 6 2 2 2 3" xfId="24348"/>
    <cellStyle name="输入 3 2 7" xfId="24349"/>
    <cellStyle name="常规 6 2 2 3 2 2 2" xfId="24350"/>
    <cellStyle name="检查单元格 2 2 2" xfId="24351"/>
    <cellStyle name="输入 3 2 8 2" xfId="24352"/>
    <cellStyle name="标题 3 2 2 2 5 2 3" xfId="24353"/>
    <cellStyle name="计算 2 4 2 3 4 3" xfId="24354"/>
    <cellStyle name="输出 2 2 6 9" xfId="24355"/>
    <cellStyle name="计算 3 2 3 2 2" xfId="24356"/>
    <cellStyle name="计算 2 7 4 6" xfId="24357"/>
    <cellStyle name="无色 6" xfId="24358"/>
    <cellStyle name="常规 7 2 2 3 2 2" xfId="24359"/>
    <cellStyle name="常规 5 4 2 2" xfId="24360"/>
    <cellStyle name="标题 5 2 3 2 2 2 2" xfId="24361"/>
    <cellStyle name="常规 2 2 2 2 2 4 3 2" xfId="24362"/>
    <cellStyle name="60% - 强调文字颜色 1 2 2 3 3 3" xfId="24363"/>
    <cellStyle name="好 2 2 2 4 3 3" xfId="24364"/>
    <cellStyle name="解释性文本 2 2 2 2 2 3 2" xfId="24365"/>
    <cellStyle name="超链接 2 2 2 2 2" xfId="24366"/>
    <cellStyle name="40% - 强调文字颜色 1 2 3 2 4 3 2" xfId="24367"/>
    <cellStyle name="注释 2 2 7 4 2" xfId="24368"/>
    <cellStyle name="输出 2 4 3 4" xfId="24369"/>
    <cellStyle name="好 2 2 2 2 3 2 2" xfId="24370"/>
    <cellStyle name="汇总 2 5 2 3 7 2" xfId="24371"/>
    <cellStyle name="汇总 2 5 2 3 3 2 2 2" xfId="24372"/>
    <cellStyle name="20% - 强调文字颜色 3 2 2 2 6" xfId="24373"/>
    <cellStyle name="警告文本 2 3 2 3 4" xfId="24374"/>
    <cellStyle name="解释性文本 2 2 2 2 4" xfId="24375"/>
    <cellStyle name="常规 5 5 2 5 2 2" xfId="24376"/>
    <cellStyle name="警告文本 2 4 4 2 2" xfId="24377"/>
    <cellStyle name="20% - 强调文字颜色 5 2 5 3 3 2" xfId="24378"/>
    <cellStyle name="40% - 强调文字颜色 1 2 3 2 2 3 3 2" xfId="24379"/>
    <cellStyle name="常规 7 2 4 2 2" xfId="24380"/>
    <cellStyle name="汇总 2 8 8" xfId="24381"/>
    <cellStyle name="好 2 4 2 2" xfId="24382"/>
    <cellStyle name="好 4 2 2 2 2" xfId="24383"/>
    <cellStyle name="标题 4 3 2 4 3" xfId="24384"/>
    <cellStyle name="20% - 强调文字颜色 3 3 2" xfId="24385"/>
    <cellStyle name="汇总 2 11 2" xfId="24386"/>
    <cellStyle name="输入 2 2 4 2 3 4 2 2" xfId="24387"/>
    <cellStyle name="汇总 3 2 3 4 2" xfId="24388"/>
    <cellStyle name="输出 2 4 2 8 3" xfId="24389"/>
    <cellStyle name="强调文字颜色 1 2 3 2 3 2 2 2" xfId="24390"/>
    <cellStyle name="警告文本 2 2 2 3 3 2" xfId="24391"/>
    <cellStyle name="超链接 3 7 2 2" xfId="24392"/>
    <cellStyle name="适中 2 3 2 2 5" xfId="24393"/>
    <cellStyle name="常规 9 2 5 3" xfId="24394"/>
    <cellStyle name="常规 13 4 2 4" xfId="24395"/>
    <cellStyle name="好 2 2 6 2" xfId="24396"/>
    <cellStyle name="汇总 2 6 3 3 2" xfId="24397"/>
    <cellStyle name="汇总 2 5 5 2" xfId="24398"/>
    <cellStyle name="注释 2 4 3 2 2 2 3" xfId="24399"/>
    <cellStyle name="常规 7 2 3 2 2 2" xfId="24400"/>
    <cellStyle name="输出 2 3 4 3 2" xfId="24401"/>
    <cellStyle name="标题 6 4 3" xfId="24402"/>
    <cellStyle name="20% - 强调文字颜色 4 3 2 3" xfId="24403"/>
    <cellStyle name="60% - 强调文字颜色 1 2 2 2 3 3" xfId="24404"/>
    <cellStyle name="注释 2 2 2 11" xfId="24405"/>
    <cellStyle name="强调文字颜色 2 2 2 3 2" xfId="24406"/>
    <cellStyle name="输出 2 4 5" xfId="24407"/>
    <cellStyle name="汇总 2 3 2 7" xfId="24408"/>
    <cellStyle name="20% - 强调文字颜色 3 2 3 5 2 2 2" xfId="24409"/>
    <cellStyle name="强调文字颜色 3 3 4 2" xfId="24410"/>
    <cellStyle name="输出 2 2 2 2 2 4 2" xfId="24411"/>
    <cellStyle name="常规 3 7 2 4 2" xfId="24412"/>
    <cellStyle name="计算 2 4 3 2 7" xfId="24413"/>
    <cellStyle name="60% - 强调文字颜色 2 2 2 2 4" xfId="24414"/>
    <cellStyle name="输出 5 6" xfId="24415"/>
    <cellStyle name="计算 2 2 6 3 2" xfId="24416"/>
    <cellStyle name="60% - 强调文字颜色 2 2 5 3 2 2" xfId="24417"/>
    <cellStyle name="检查单元格 2 2 6 4" xfId="24418"/>
    <cellStyle name="计算 2 8 6 2 2" xfId="24419"/>
    <cellStyle name="强调文字颜色 1 2 2 7 3" xfId="24420"/>
    <cellStyle name="40% - 强调文字颜色 3 2 2 4 5" xfId="24421"/>
    <cellStyle name="常规 8 2 2 2 3" xfId="24422"/>
    <cellStyle name="注释 2 2 5 2 4 2" xfId="24423"/>
    <cellStyle name="计算 2 2 4 8" xfId="24424"/>
    <cellStyle name="常规 12 3 5 3" xfId="24425"/>
    <cellStyle name="60% - 强调文字颜色 2 2 2 2 2 5 2" xfId="24426"/>
    <cellStyle name="汇总 2 2 5 5" xfId="24427"/>
    <cellStyle name="强调文字颜色 6 2 4 2 2 2" xfId="24428"/>
    <cellStyle name="输出 2 2 4 4 2 3" xfId="24429"/>
    <cellStyle name="计算 2 4 2 4 3" xfId="24430"/>
    <cellStyle name="链接单元格 2 7 2" xfId="24431"/>
    <cellStyle name="强调文字颜色 4 2 2 3 5" xfId="24432"/>
    <cellStyle name="注释 2 2 4 2 2 4 2 2" xfId="24433"/>
    <cellStyle name="输入 2 2 6 6 2 2" xfId="24434"/>
    <cellStyle name="标题 4 2 3 2 2 4" xfId="24435"/>
    <cellStyle name="计算 2 2 4 14" xfId="24436"/>
    <cellStyle name="好 2 2 4 5" xfId="24437"/>
    <cellStyle name="强调文字颜色 5 2 2 2 2 3 3" xfId="24438"/>
    <cellStyle name="计算 2 5 5 6 2" xfId="24439"/>
    <cellStyle name="计算 2 2 3 3 4 2" xfId="24440"/>
    <cellStyle name="检查单元格 2 3 4 3 3" xfId="24441"/>
    <cellStyle name="强调文字颜色 1 2 3 5 2 3" xfId="24442"/>
    <cellStyle name="差 2 5" xfId="24443"/>
    <cellStyle name="计算 2 2 3 2 3 2 3" xfId="24444"/>
    <cellStyle name="计算 4 3 3 3" xfId="24445"/>
    <cellStyle name="输入 2 5 2 2 8" xfId="24446"/>
    <cellStyle name="40% - 强调文字颜色 3 2 3 2 5 2" xfId="24447"/>
    <cellStyle name="计算 2 2 2 3 8" xfId="24448"/>
    <cellStyle name="20% - 强调文字颜色 5 2 3 2 5 2 2" xfId="24449"/>
    <cellStyle name="适中 2 6 3" xfId="24450"/>
    <cellStyle name="输出 4 6 2" xfId="24451"/>
    <cellStyle name="汇总 2 2 7 3 2 3" xfId="24452"/>
    <cellStyle name="警告文本 2 2 2 2 6" xfId="24453"/>
    <cellStyle name="注释 2 2 3 2 5 3" xfId="24454"/>
    <cellStyle name="20% - 强调文字颜色 3 2 2 7 2 2" xfId="24455"/>
    <cellStyle name="标题 1 3 2 2 3 2 2" xfId="24456"/>
    <cellStyle name="20% - 强调文字颜色 5 2 4 4 2 2" xfId="24457"/>
    <cellStyle name="输出 2 2 7 3 3 2" xfId="24458"/>
    <cellStyle name="计算 2 6 2 8" xfId="24459"/>
    <cellStyle name="常规 3 4 2 2" xfId="24460"/>
    <cellStyle name="输出 2 4 3 3" xfId="24461"/>
    <cellStyle name="计算 2 6 4 2 4 3" xfId="24462"/>
    <cellStyle name="计算 2 2 7 2 4 3" xfId="24463"/>
    <cellStyle name="输出 2 5 2 2 6 2" xfId="24464"/>
    <cellStyle name="60% - 强调文字颜色 5 2 2 4 2 2 2 2" xfId="24465"/>
    <cellStyle name="60% - 强调文字颜色 1 2 3 4 2 2" xfId="24466"/>
    <cellStyle name="好 2 4 6 2" xfId="24467"/>
    <cellStyle name="20% - 强调文字颜色 2 2 3 2 2 4 3 2" xfId="24468"/>
    <cellStyle name="20% - 强调文字颜色 1 2 2 2 2 5 2" xfId="24469"/>
    <cellStyle name="汇总 2 2 4 14" xfId="24470"/>
    <cellStyle name="标题 3 2 4 2 2 3" xfId="24471"/>
    <cellStyle name="40% - 强调文字颜色 2 2 2 4 2 3 2" xfId="24472"/>
    <cellStyle name="百分比 2 2 2 4" xfId="24473"/>
    <cellStyle name="输出 2 2 4 2 3 3 2" xfId="24474"/>
    <cellStyle name="60% - 强调文字颜色 6 2 2 4 3 3" xfId="24475"/>
    <cellStyle name="解释性文本 2 2 4 5" xfId="24476"/>
    <cellStyle name="好 2 2 2 6 3" xfId="24477"/>
    <cellStyle name="超链接 2 2 2 2 2 3 2" xfId="24478"/>
    <cellStyle name="计算 2 10 3 3 2 2" xfId="24479"/>
    <cellStyle name="计算 2 2 8 2 2 3 3" xfId="24480"/>
    <cellStyle name="输出 2 4 4 2 2 3" xfId="24481"/>
    <cellStyle name="强调文字颜色 6 6 2" xfId="24482"/>
    <cellStyle name="标题 4 4 2 3 2 2 2" xfId="24483"/>
    <cellStyle name="强调文字颜色 5 2 2 4 3 2 2" xfId="24484"/>
    <cellStyle name="检查单元格 2 4 4 3" xfId="24485"/>
    <cellStyle name="常规 3 2 2 4" xfId="24486"/>
    <cellStyle name="计算 2 2 4 2 2 4 2" xfId="24487"/>
    <cellStyle name="强调文字颜色 6 2 7 2" xfId="24488"/>
    <cellStyle name="计算 3 2 7" xfId="24489"/>
    <cellStyle name="汇总 2 4 4 3 3" xfId="24490"/>
    <cellStyle name="汇总 2 7 2 2 2 3" xfId="24491"/>
    <cellStyle name="强调文字颜色 6 2 2 4 2 2 3" xfId="24492"/>
    <cellStyle name="标题 5 3 2 8" xfId="24493"/>
    <cellStyle name="检查单元格 2 2 4 3 4" xfId="24494"/>
    <cellStyle name="注释 2 4 3 3" xfId="24495"/>
    <cellStyle name="超链接 2 5 2 2 2 2" xfId="24496"/>
    <cellStyle name="输入 2 5 2 2 9" xfId="24497"/>
    <cellStyle name="汇总 2 2 7 5 3 3" xfId="24498"/>
    <cellStyle name="计算 2 2 4 2 4 4" xfId="24499"/>
    <cellStyle name="汇总 2 2 4 3 9" xfId="24500"/>
    <cellStyle name="计算 2 2 6 3 6 2" xfId="24501"/>
    <cellStyle name="差 2 5 4" xfId="24502"/>
    <cellStyle name="强调文字颜色 2 2 4 5 3" xfId="24503"/>
    <cellStyle name="警告文本 3 3 4" xfId="24504"/>
    <cellStyle name="20% - 强调文字颜色 5 2 2 4 5 2" xfId="24505"/>
    <cellStyle name="60% - 强调文字颜色 5 2 8 2" xfId="24506"/>
    <cellStyle name="标题 2 3" xfId="24507"/>
    <cellStyle name="注释 2 2 5 2 6" xfId="24508"/>
    <cellStyle name="输入 2 3 2 2 2" xfId="24509"/>
    <cellStyle name="标题 5 2 5 3 2" xfId="24510"/>
    <cellStyle name="汇总 2 3 11 3" xfId="24511"/>
    <cellStyle name="标题 4 2 2 3 4 2 2" xfId="24512"/>
    <cellStyle name="注释 5 2 3" xfId="24513"/>
    <cellStyle name="常规 4 3 3 2 3 2 2" xfId="24514"/>
    <cellStyle name="汇总 2 6 4 2 5" xfId="24515"/>
    <cellStyle name="计算 2 3 3 6 2" xfId="24516"/>
    <cellStyle name="20% - 强调文字颜色 4 3 5 2" xfId="24517"/>
    <cellStyle name="60% - 强调文字颜色 4 2 2 10" xfId="24518"/>
    <cellStyle name="注释 2 2 3 2 2 4 2 2" xfId="24519"/>
    <cellStyle name="输入 2 5 4 2 3 2" xfId="24520"/>
    <cellStyle name="60% - 强调文字颜色 6 2 2 4 4 2" xfId="24521"/>
    <cellStyle name="强调文字颜色 3 2 3 2 4 2 2 2" xfId="24522"/>
    <cellStyle name="计算 2 5 3 2 5" xfId="24523"/>
    <cellStyle name="计算 2 6 3 4 2 2" xfId="24524"/>
    <cellStyle name="60% - 强调文字颜色 5 2 3 2 4 2" xfId="24525"/>
    <cellStyle name="好 2 2 2 4 2 2 2" xfId="24526"/>
    <cellStyle name="60% - 强调文字颜色 3 4 4" xfId="24527"/>
    <cellStyle name="汇总 2 5 3 2 2 4 3" xfId="24528"/>
    <cellStyle name="常规 5 6 2 3 2" xfId="24529"/>
    <cellStyle name="强调文字颜色 2 3 7" xfId="24530"/>
    <cellStyle name="注释 2 2 4 6 3" xfId="24531"/>
    <cellStyle name="输入 2 2 4 3 8" xfId="24532"/>
    <cellStyle name="输出 2 6 2 6" xfId="24533"/>
    <cellStyle name="汇总 3 5 3 2 2" xfId="24534"/>
    <cellStyle name="注释 3 3 2 4" xfId="24535"/>
    <cellStyle name="常规 8 2 2 3 3 2" xfId="24536"/>
    <cellStyle name="输入 2 4 3 3" xfId="24537"/>
    <cellStyle name="计算 2 2 6 3 2 3 2" xfId="24538"/>
    <cellStyle name="汇总 2 4 3 2 4 2" xfId="24539"/>
    <cellStyle name="汇总 2 4 4 4" xfId="24540"/>
    <cellStyle name="输入 2 4 2 4 2 2" xfId="24541"/>
    <cellStyle name="40% - 强调文字颜色 6 2 3 7 2" xfId="24542"/>
    <cellStyle name="差 3 6" xfId="24543"/>
    <cellStyle name="计算 2 9 5 3" xfId="24544"/>
    <cellStyle name="常规 13 4 3 3" xfId="24545"/>
    <cellStyle name="输出 2 3 2 4 2" xfId="24546"/>
    <cellStyle name="注释 2 2 6 3 2 2" xfId="24547"/>
    <cellStyle name="输入 2 5 14" xfId="24548"/>
    <cellStyle name="常规 10 2 3 2 4 2" xfId="24549"/>
    <cellStyle name="计算 2 2 6 5 2 2" xfId="24550"/>
    <cellStyle name="常规 2 2 2 8 2 2 2" xfId="24551"/>
    <cellStyle name="强调文字颜色 3 2 2 3 7" xfId="24552"/>
    <cellStyle name="输入 2 5 2 2 2 2 2 2" xfId="24553"/>
    <cellStyle name="输入 3 2 3 2" xfId="24554"/>
    <cellStyle name="差 2 2 2 5 2 2 3" xfId="24555"/>
    <cellStyle name="20% - 强调文字颜色 3 2 8" xfId="24556"/>
    <cellStyle name="计算 2 2 3 2 2 2 3 2" xfId="24557"/>
    <cellStyle name="常规 7 5 2" xfId="24558"/>
    <cellStyle name="计算 2 2 6 4 2 2 3" xfId="24559"/>
    <cellStyle name="60% - 强调文字颜色 2 4 3 2 2 2" xfId="24560"/>
    <cellStyle name="汇总 2 2 8 10" xfId="24561"/>
    <cellStyle name="计算 2 5 3 6 2" xfId="24562"/>
    <cellStyle name="注释 2 2 3 2 3 4" xfId="24563"/>
    <cellStyle name="强调文字颜色 6 3 6" xfId="24564"/>
    <cellStyle name="标题 4 3 2 4 2 2" xfId="24565"/>
    <cellStyle name="输出 2 2 5 3 2" xfId="24566"/>
    <cellStyle name="常规 6 8 2" xfId="24567"/>
    <cellStyle name="强调文字颜色 3 2 2 9" xfId="24568"/>
    <cellStyle name="标题 4 2 5 2 2 3" xfId="24569"/>
    <cellStyle name="输入 2 2 5 3 4 2" xfId="24570"/>
    <cellStyle name="40% - 强调文字颜色 5 5 2 2" xfId="24571"/>
    <cellStyle name="输入 2 3 2 5" xfId="24572"/>
    <cellStyle name="解释性文本 2 3 2 3" xfId="24573"/>
    <cellStyle name="40% - 强调文字颜色 1 2 2 7 2" xfId="24574"/>
    <cellStyle name="常规 7 2 2 2 2 2 2 2" xfId="24575"/>
    <cellStyle name="汇总 2 2 4 2 4 3" xfId="24576"/>
    <cellStyle name="计算 2 2 11 3" xfId="24577"/>
    <cellStyle name="计算 2 2 2 4 9" xfId="24578"/>
    <cellStyle name="输入 3 2 5 2 2" xfId="24579"/>
    <cellStyle name="计算 3 3 8" xfId="24580"/>
    <cellStyle name="输出 4 7" xfId="24581"/>
    <cellStyle name="汇总 2 7 10 2" xfId="24582"/>
    <cellStyle name="汇总 2 9 2 8" xfId="24583"/>
    <cellStyle name="常规 6 6 3 2 2" xfId="24584"/>
    <cellStyle name="计算 2 2 3 4 3" xfId="24585"/>
    <cellStyle name="输入 2 2 4 3 3 2" xfId="24586"/>
    <cellStyle name="20% - 强调文字颜色 6 2 2 4 4" xfId="24587"/>
    <cellStyle name="汇总 2 6 4 3 2 2" xfId="24588"/>
    <cellStyle name="20% - 强调文字颜色 4 2 2 2 2 2 3 2" xfId="24589"/>
    <cellStyle name="汇总 2 2 8 5 3 2 2" xfId="24590"/>
    <cellStyle name="标题 4 4 3 2 2" xfId="24591"/>
    <cellStyle name="强调文字颜色 5 2 3 3 3" xfId="24592"/>
    <cellStyle name="计算 2 5 3 2 3 2" xfId="24593"/>
    <cellStyle name="汇总 2 2 6 5 5" xfId="24594"/>
    <cellStyle name="强调文字颜色 6 2 2 2 2 5 2" xfId="24595"/>
    <cellStyle name="超链接 2 3 8" xfId="24596"/>
    <cellStyle name="常规 4 3 4 6" xfId="24597"/>
    <cellStyle name="常规 2 2 2 2 3 2 2 2" xfId="24598"/>
    <cellStyle name="20% - 强调文字颜色 2 2 2 2 2 2 2 2 2" xfId="24599"/>
    <cellStyle name="超链接 2 4 3 2 2" xfId="24600"/>
    <cellStyle name="标题 3 2 6 2" xfId="24601"/>
    <cellStyle name="强调文字颜色 4 2 2 3 4 2 2" xfId="24602"/>
    <cellStyle name="常规 5 6 6" xfId="24603"/>
    <cellStyle name="汇总 2 4 2 3 2" xfId="24604"/>
    <cellStyle name="汇总 2 2 3 5 2" xfId="24605"/>
    <cellStyle name="说明文本 4 2" xfId="24606"/>
    <cellStyle name="20% - 强调文字颜色 1 2 5 2 3 2" xfId="24607"/>
    <cellStyle name="汇总 2 8 3 4 3" xfId="24608"/>
    <cellStyle name="计算 4 2" xfId="24609"/>
    <cellStyle name="输入 2 2 6 4 3 2" xfId="24610"/>
    <cellStyle name="注释 2 2 5 11" xfId="24611"/>
    <cellStyle name="注释 4" xfId="24612"/>
    <cellStyle name="汇总 2 2 4 2 4 4 2 2" xfId="24613"/>
    <cellStyle name="汇总 2 2 4 2 2 5" xfId="24614"/>
    <cellStyle name="60% - 强调文字颜色 3 4 2 2 2 2 2" xfId="24615"/>
    <cellStyle name="常规 7 2 2 5 2" xfId="24616"/>
    <cellStyle name="输入 2 4 7 2" xfId="24617"/>
    <cellStyle name="汇总 2 4 3 2 2 2 2" xfId="24618"/>
    <cellStyle name="差 2 2 2 5 2 3" xfId="24619"/>
    <cellStyle name="20% - 强调文字颜色 3 2 7 3 2" xfId="24620"/>
    <cellStyle name="注释 2 2 4 2 2 2 2 2" xfId="24621"/>
    <cellStyle name="输入 2 2 5 2 2 5 3" xfId="24622"/>
    <cellStyle name="计算 2 4 2 2 3 3 2 2" xfId="24623"/>
    <cellStyle name="检查单元格 2 2 5 2 3" xfId="24624"/>
    <cellStyle name="输入 2 15 3" xfId="24625"/>
    <cellStyle name="强调文字颜色 3 2 2 2 4 2 3" xfId="24626"/>
    <cellStyle name="汇总 2 4 3 7 2" xfId="24627"/>
    <cellStyle name="计算 2 6 6" xfId="24628"/>
    <cellStyle name="好 2 4 4 2 2" xfId="24629"/>
    <cellStyle name="60% - 强调文字颜色 1 3 6 2" xfId="24630"/>
    <cellStyle name="汇总 3 2 9" xfId="24631"/>
    <cellStyle name="计算 2 5 2 4 4 3" xfId="24632"/>
    <cellStyle name="输入 2 14 3" xfId="24633"/>
    <cellStyle name="汇总 2 2 3 2 3 8" xfId="24634"/>
    <cellStyle name="常规 6 7 2" xfId="24635"/>
    <cellStyle name="输出 2 2 5 2 2" xfId="24636"/>
    <cellStyle name="常规 5 6 2 2 2" xfId="24637"/>
    <cellStyle name="汇总 2 5 3 2 2 3 3" xfId="24638"/>
    <cellStyle name="好 3 6" xfId="24639"/>
    <cellStyle name="常规 5 3 3 2 2 2" xfId="24640"/>
    <cellStyle name="注释 2 2 4 2 2 2 3" xfId="24641"/>
    <cellStyle name="输入 2 2 4 2 2 3 3 2" xfId="24642"/>
    <cellStyle name="汇总 2 3 10 3" xfId="24643"/>
    <cellStyle name="60% - 强调文字颜色 6 3 3 4 2" xfId="24644"/>
    <cellStyle name="强调文字颜色 3 2 2 2 2 3 2" xfId="24645"/>
    <cellStyle name="60% - 强调文字颜色 6 2 2 8 3" xfId="24646"/>
    <cellStyle name="输入 2 5 4 6 2" xfId="24647"/>
    <cellStyle name="强调文字颜色 1 3 3" xfId="24648"/>
    <cellStyle name="标题 2 2 2 6 2 3" xfId="24649"/>
    <cellStyle name="计算 2 2 3 2 3 6" xfId="24650"/>
    <cellStyle name="标题 4 2 3 5 2 2 2" xfId="24651"/>
    <cellStyle name="汇总 2 2 5 3 8" xfId="24652"/>
    <cellStyle name="计算 2 6 4 3 3" xfId="24653"/>
    <cellStyle name="标题 3 2 4 3" xfId="24654"/>
    <cellStyle name="输入 2 5 9 3" xfId="24655"/>
    <cellStyle name="强调文字颜色 5 3 2 2 3" xfId="24656"/>
    <cellStyle name="输出 2 2 5 6 2 2" xfId="24657"/>
    <cellStyle name="汇总 2 2 4 4 5" xfId="24658"/>
    <cellStyle name="强调文字颜色 3 2 2 6 3 2" xfId="24659"/>
    <cellStyle name="20% - 强调文字颜色 5 2 5 2 3 2" xfId="24660"/>
    <cellStyle name="警告文本 2 4 3 2 2" xfId="24661"/>
    <cellStyle name="差 2 3 3 3 3" xfId="24662"/>
    <cellStyle name="输入 2 2 4 2 2 7" xfId="24663"/>
    <cellStyle name="60% - 强调文字颜色 4 3 2 3" xfId="24664"/>
    <cellStyle name="常规 3 3 2 4 3 2 2" xfId="24665"/>
    <cellStyle name="适中 2 3 2 3 3 2" xfId="24666"/>
    <cellStyle name="输入 2 5 2 2 2 8" xfId="24667"/>
    <cellStyle name="常规 8 2 2 3 2" xfId="24668"/>
    <cellStyle name="常规 3 2 4 2 3 3" xfId="24669"/>
    <cellStyle name="计算 2 3 2 2 5 2 2" xfId="24670"/>
    <cellStyle name="计算 2 10 3" xfId="24671"/>
    <cellStyle name="常规 2 2 5 2 2" xfId="24672"/>
    <cellStyle name="20% - 强调文字颜色 2 2 5 3 2 2" xfId="24673"/>
    <cellStyle name="注释 2 2 3 2 2 3" xfId="24674"/>
    <cellStyle name="汇总 2 2 4 5 2 3" xfId="24675"/>
    <cellStyle name="注释 2 7 9" xfId="24676"/>
    <cellStyle name="常规 8 4" xfId="24677"/>
    <cellStyle name="20% - 强调文字颜色 5 2 6 2" xfId="24678"/>
    <cellStyle name="汇总 2 6 8 2" xfId="24679"/>
    <cellStyle name="强调文字颜色 6 2 5 3 2" xfId="24680"/>
    <cellStyle name="汇总 2 12 3 3" xfId="24681"/>
    <cellStyle name="计算 2 4 3 3 2 2" xfId="24682"/>
    <cellStyle name="计算 2 2 4 9 3" xfId="24683"/>
    <cellStyle name="60% - 强调文字颜色 3 2 2 4 4" xfId="24684"/>
    <cellStyle name="汇总 2 2 6 4 3 2" xfId="24685"/>
    <cellStyle name="常规 3 2 5" xfId="24686"/>
    <cellStyle name="60% - 强调文字颜色 1 2 2 3 3 2 2" xfId="24687"/>
    <cellStyle name="计算 2 2 7 3 3 2 2" xfId="24688"/>
    <cellStyle name="40% - 强调文字颜色 1 6 2 2 2" xfId="24689"/>
    <cellStyle name="常规 12 6" xfId="24690"/>
    <cellStyle name="输入 2 2 5 2 2 4 3" xfId="24691"/>
    <cellStyle name="强调文字颜色 5 2 3 2 3 2 2 2" xfId="24692"/>
    <cellStyle name="汇总 2 2 4 2 3 2 7" xfId="24693"/>
    <cellStyle name="标题 4 2 2 3 5" xfId="24694"/>
    <cellStyle name="输出 2 2 6 2 3 3" xfId="24695"/>
    <cellStyle name="汇总 2 2 2 2 2 3 3 2 2" xfId="24696"/>
    <cellStyle name="输出 2 6 2 3 2 2" xfId="24697"/>
    <cellStyle name="计算 2 2 2 2 10 2" xfId="24698"/>
    <cellStyle name="无色 7" xfId="24699"/>
    <cellStyle name="强调文字颜色 6 2 2 3 2 2 2 3" xfId="24700"/>
    <cellStyle name="20% - 强调文字颜色 4 2 7 2 2" xfId="24701"/>
    <cellStyle name="汇总 2 6 4 2 4 3" xfId="24702"/>
    <cellStyle name="强调文字颜色 3 2 4 4 2 2" xfId="24703"/>
    <cellStyle name="超链接 3 7" xfId="24704"/>
    <cellStyle name="常规 12 2 2 5" xfId="24705"/>
    <cellStyle name="常规 2 8" xfId="24706"/>
    <cellStyle name="计算 2 6 2 2 5 2 2" xfId="24707"/>
    <cellStyle name="超链接 3 2 2 2 3 4" xfId="24708"/>
    <cellStyle name="计算 2 6 2 6 3" xfId="24709"/>
    <cellStyle name="检查单元格 2 2 2 2 4 4" xfId="24710"/>
    <cellStyle name="差 2 2 2 2 3" xfId="24711"/>
    <cellStyle name="强调文字颜色 2 2 2 2 3 5" xfId="24712"/>
    <cellStyle name="40% - 强调文字颜色 5 2 3 3 2 2 2 2 2" xfId="24713"/>
    <cellStyle name="标题 6 2 2 3" xfId="24714"/>
    <cellStyle name="20% - 强调文字颜色 6 2 3 2 2 5" xfId="24715"/>
    <cellStyle name="计算 2 2 2 2 2 2 8" xfId="24716"/>
    <cellStyle name="解释性文本 2 3 6" xfId="24717"/>
    <cellStyle name="标题 7 3" xfId="24718"/>
    <cellStyle name="检查单元格 2 2 5" xfId="24719"/>
    <cellStyle name="60% - 强调文字颜色 6 2 8" xfId="24720"/>
    <cellStyle name="20% - 强调文字颜色 5 2 3 2 2" xfId="24721"/>
    <cellStyle name="输出 2 4 2 3 2 2 2 2" xfId="24722"/>
    <cellStyle name="汇总 2 6 2 9" xfId="24723"/>
    <cellStyle name="计算 2 6 4 2 3 2 2" xfId="24724"/>
    <cellStyle name="无色 4 2 2" xfId="24725"/>
    <cellStyle name="输出 2 2 6 4 4" xfId="24726"/>
    <cellStyle name="汇总 2 2 8 5 3" xfId="24727"/>
    <cellStyle name="警告文本 2 2 9" xfId="24728"/>
    <cellStyle name="强调文字颜色 6 2 2 8" xfId="24729"/>
    <cellStyle name="汇总 2 7 6" xfId="24730"/>
    <cellStyle name="适中 3 4 3" xfId="24731"/>
    <cellStyle name="输出 5 4 2" xfId="24732"/>
    <cellStyle name="常规 2 2 4 2 2 2" xfId="24733"/>
    <cellStyle name="标题 4 2 2 3 4 3 2" xfId="24734"/>
    <cellStyle name="注释 5 3 3" xfId="24735"/>
    <cellStyle name="强调文字颜色 4 2 2 2 2 2 2 2 3" xfId="24736"/>
    <cellStyle name="常规 2 2 2 3 2 2" xfId="24737"/>
    <cellStyle name="适中 2 3 3 2 3" xfId="24738"/>
    <cellStyle name="标题 1 2 4 3" xfId="24739"/>
    <cellStyle name="60% - 强调文字颜色 6 3 6 2" xfId="24740"/>
    <cellStyle name="输出 2 2 9 7" xfId="24741"/>
    <cellStyle name="警告文本 2 2 6 2 2" xfId="24742"/>
    <cellStyle name="汇总 2 2 5 3 5 2" xfId="24743"/>
    <cellStyle name="注释 2 6 9 2" xfId="24744"/>
    <cellStyle name="输出 2 7 4 5" xfId="24745"/>
    <cellStyle name="常规 2 2 4 2 2 2 2" xfId="24746"/>
    <cellStyle name="输出 5 4 2 2" xfId="24747"/>
    <cellStyle name="标题 5 3 5" xfId="24748"/>
    <cellStyle name="链接单元格 2 2 4 2 3 2" xfId="24749"/>
    <cellStyle name="常规 4 2 8" xfId="24750"/>
    <cellStyle name="汇总 2 4 4 2 4 2 2" xfId="24751"/>
    <cellStyle name="输入 2 2 4 3 2 5 2" xfId="24752"/>
    <cellStyle name="常规 5 2 3 4 2 4 2" xfId="24753"/>
    <cellStyle name="40% - 强调文字颜色 3 3 3 3 2" xfId="24754"/>
    <cellStyle name="20% - 强调文字颜色 1 2 3 4 3 2 2" xfId="24755"/>
    <cellStyle name="强调文字颜色 4 2 6 2 3" xfId="24756"/>
    <cellStyle name="检查单元格 2 2 3 4 3 2" xfId="24757"/>
    <cellStyle name="强调文字颜色 1 2 2 4 3 3 2" xfId="24758"/>
    <cellStyle name="计算 2 2 4 5 7" xfId="24759"/>
    <cellStyle name="标题 2 2 3 4 2 2 2" xfId="24760"/>
    <cellStyle name="注释 2 4 3 2 2 2 2 2" xfId="24761"/>
    <cellStyle name="计算 3 2 3 3 3" xfId="24762"/>
    <cellStyle name="强调文字颜色 3 2 2 3 2 3" xfId="24763"/>
    <cellStyle name="常规 5 3 2 2 5" xfId="24764"/>
    <cellStyle name="标题 4 2 2 2 2 2 2 2 2 2" xfId="24765"/>
    <cellStyle name="常规 11 4 2 4 2" xfId="24766"/>
    <cellStyle name="差 2 3 2 4 2 2 2" xfId="24767"/>
    <cellStyle name="输入 2 2 4 8" xfId="24768"/>
    <cellStyle name="20% - 强调文字颜色 5 2 5 2 2 2 2" xfId="24769"/>
    <cellStyle name="标题 4 2 2 4 3 2 2 2" xfId="24770"/>
    <cellStyle name="强调文字颜色 5 2 2 3 2 2 3" xfId="24771"/>
    <cellStyle name="20% - 强调文字颜色 3 2 2 2 2 2 4 3" xfId="24772"/>
    <cellStyle name="常规 2 2 2 4" xfId="24773"/>
    <cellStyle name="计算 2 2 4 2 2 3" xfId="24774"/>
    <cellStyle name="计算 2 4 4 2 6" xfId="24775"/>
    <cellStyle name="40% - 强调文字颜色 3 2 3 3 2 2" xfId="24776"/>
    <cellStyle name="20% - 强调文字颜色 2 2 2 2 2 2 2 2 2 2" xfId="24777"/>
    <cellStyle name="链接单元格 3 10" xfId="24778"/>
    <cellStyle name="差 3 2 3 2 2 2" xfId="24779"/>
    <cellStyle name="汇总 3 2 2 2 3 2" xfId="24780"/>
    <cellStyle name="汇总 2 5 6 2" xfId="24781"/>
    <cellStyle name="常规 4 5 2 3 2" xfId="24782"/>
    <cellStyle name="60% - 强调文字颜色 3 2 2 2 2 5" xfId="24783"/>
    <cellStyle name="汇总 2 9 2 4" xfId="24784"/>
    <cellStyle name="40% - 强调文字颜色 5 2 2 4 4 2 2" xfId="24785"/>
    <cellStyle name="强调文字颜色 6 2 4 4 4" xfId="24786"/>
    <cellStyle name="标题 2 2 2 3 6" xfId="24787"/>
    <cellStyle name="常规 11 2 6 3" xfId="24788"/>
    <cellStyle name="40% - 强调文字颜色 1 2 5 5" xfId="24789"/>
    <cellStyle name="超链接 3 3 7" xfId="24790"/>
    <cellStyle name="汇总 4 2 3 3 2" xfId="24791"/>
    <cellStyle name="输出 2 2 4 3 4" xfId="24792"/>
    <cellStyle name="解释性文本 2 3 2 4 2 3" xfId="24793"/>
    <cellStyle name="标题 1 2 3 2 2 2 2 2 2" xfId="24794"/>
    <cellStyle name="输入 2 2 4 2 2 2 2 2 2 2" xfId="24795"/>
    <cellStyle name="标题 3 2 4 4" xfId="24796"/>
    <cellStyle name="强调文字颜色 4 2 3 5" xfId="24797"/>
    <cellStyle name="输入 2 2 5 2 2 2 3" xfId="24798"/>
    <cellStyle name="标题 1 3 2 2 4 2" xfId="24799"/>
    <cellStyle name="40% - 强调文字颜色 4 2 3 2 2 3 3 2 2" xfId="24800"/>
    <cellStyle name="20% - 强调文字颜色 3 2 2 8 2" xfId="24801"/>
    <cellStyle name="输出 2 2 5" xfId="24802"/>
    <cellStyle name="标题 4 2 3 2 6" xfId="24803"/>
    <cellStyle name="注释 2 2 3 2 2 2 2 3" xfId="24804"/>
    <cellStyle name="汇总 2 4 7 2 2" xfId="24805"/>
    <cellStyle name="计算 2 2 8 4 2 2" xfId="24806"/>
    <cellStyle name="汇总 2 2 8 4 3 2 2" xfId="24807"/>
    <cellStyle name="汇总 2 7 14" xfId="24808"/>
    <cellStyle name="强调文字颜色 3 2 2 5 3 3" xfId="24809"/>
    <cellStyle name="输出 2 7 2 2 2 2" xfId="24810"/>
    <cellStyle name="强调文字颜色 1 2 8" xfId="24811"/>
    <cellStyle name="20% - 强调文字颜色 1 2 2 2 3 3 2 2" xfId="24812"/>
    <cellStyle name="计算 2 7 2 2 2 3 2" xfId="24813"/>
    <cellStyle name="标题 1 2 3 2 6 2 2" xfId="24814"/>
    <cellStyle name="检查单元格 3 2 2 3 2" xfId="24815"/>
    <cellStyle name="差 2 2 11" xfId="24816"/>
    <cellStyle name="20% - 强调文字颜色 2 2 2 3 3 3 2" xfId="24817"/>
    <cellStyle name="强调文字颜色 5 4 5" xfId="24818"/>
    <cellStyle name="输出 2 2 3 5 3 2 2" xfId="24819"/>
    <cellStyle name="常规 5 6 2" xfId="24820"/>
    <cellStyle name="汇总 2 2 3 3 8" xfId="24821"/>
    <cellStyle name="汇总 2 4 2 2 7 2" xfId="24822"/>
    <cellStyle name="超链接 2 3 4" xfId="24823"/>
    <cellStyle name="适中 2 2 3 2 2 2 2" xfId="24824"/>
    <cellStyle name="汇总 2 2 7 3 5" xfId="24825"/>
    <cellStyle name="汇总 2 5 2 3 2 3" xfId="24826"/>
    <cellStyle name="60% - 强调文字颜色 4 3 2 4 2" xfId="24827"/>
    <cellStyle name="输入 2 2 6 5 2" xfId="24828"/>
    <cellStyle name="40% - 强调文字颜色 6 2 2" xfId="24829"/>
    <cellStyle name="计算 2 2 8 3 4 2" xfId="24830"/>
    <cellStyle name="输入 2 2 2 4 5 2" xfId="24831"/>
    <cellStyle name="计算 2 6 2 3 4" xfId="24832"/>
    <cellStyle name="汇总 2 2 4 3 2 2 3 3" xfId="24833"/>
    <cellStyle name="常规 6 4 3 3 2" xfId="24834"/>
    <cellStyle name="40% - 强调文字颜色 1 2 3 4 2 2" xfId="24835"/>
    <cellStyle name="常规 3 2 4 2 3 4" xfId="24836"/>
    <cellStyle name="常规 11 3 2 4 2" xfId="24837"/>
    <cellStyle name="计算 2 2 6 3 5 3" xfId="24838"/>
    <cellStyle name="汇总 2 5 8 2 2" xfId="24839"/>
    <cellStyle name="汇总 2 2 3 11" xfId="24840"/>
    <cellStyle name="检查单元格 2 2 4 3 3" xfId="24841"/>
    <cellStyle name="强调文字颜色 1 2 2 5 2 3" xfId="24842"/>
    <cellStyle name="汇总 2 3 2 3 6" xfId="24843"/>
    <cellStyle name="计算 2 7 3 2 6" xfId="24844"/>
    <cellStyle name="60% - 强调文字颜色 5 2 4 2 2" xfId="24845"/>
    <cellStyle name="常规 6 4" xfId="24846"/>
    <cellStyle name="60% - 强调文字颜色 4 2 2 2 3 6" xfId="24847"/>
    <cellStyle name="计算 2 2 10 2 3" xfId="24848"/>
    <cellStyle name="计算 2 7 4 4 3" xfId="24849"/>
    <cellStyle name="检查单元格 2 2 3 5" xfId="24850"/>
    <cellStyle name="解释性文本 2 2 4 2 4" xfId="24851"/>
    <cellStyle name="汇总 2 2 4 3 4 2" xfId="24852"/>
    <cellStyle name="标题 2 4 2 3 2" xfId="24853"/>
    <cellStyle name="强调文字颜色 3 2 2 4 3" xfId="24854"/>
    <cellStyle name="40% - 强调文字颜色 6 2 2 2 5 2" xfId="24855"/>
    <cellStyle name="输入 2 5 3 2 3 2 2" xfId="24856"/>
    <cellStyle name="检查单元格 2 2 3 5 3" xfId="24857"/>
    <cellStyle name="强调文字颜色 1 2 2 4 4 3" xfId="24858"/>
    <cellStyle name="计算 2 5 2 3 4 3" xfId="24859"/>
    <cellStyle name="60% - 强调文字颜色 4 4 2 4" xfId="24860"/>
    <cellStyle name="标题 2 2 2 2 3 2 2 3" xfId="24861"/>
    <cellStyle name="百分比 2 2 2 4 4" xfId="24862"/>
    <cellStyle name="常规 5 5 3" xfId="24863"/>
    <cellStyle name="汇总 2 4 2 3 3 2 2" xfId="24864"/>
    <cellStyle name="差 2 2 2 2 2 2 2 2" xfId="24865"/>
    <cellStyle name="标题 1 2 5 3 2 2" xfId="24866"/>
    <cellStyle name="注释 2 7 2 4" xfId="24867"/>
    <cellStyle name="计算 2 5 4 6 3" xfId="24868"/>
    <cellStyle name="汇总 3 3" xfId="24869"/>
    <cellStyle name="计算 2 2 9 5" xfId="24870"/>
    <cellStyle name="输出 2 4 2 2 2 4" xfId="24871"/>
    <cellStyle name="输入 2 8 11" xfId="24872"/>
    <cellStyle name="百分比 2 4 2 2" xfId="24873"/>
    <cellStyle name="强调文字颜色 6 2 6 3 2" xfId="24874"/>
    <cellStyle name="输出 2 5 3 3 2 2" xfId="24875"/>
    <cellStyle name="标题 3 2 2 2 2 5 3" xfId="24876"/>
    <cellStyle name="汇总 2 5 3 3 4 2 2" xfId="24877"/>
    <cellStyle name="计算 2 2 4 4 3 4" xfId="24878"/>
    <cellStyle name="强调文字颜色 3 2 3 3 7" xfId="24879"/>
    <cellStyle name="汇总 2 2 5 2 3 8" xfId="24880"/>
    <cellStyle name="输出 2 2 3 5 4 3" xfId="24881"/>
    <cellStyle name="计算 3 2 2 3 3 3" xfId="24882"/>
    <cellStyle name="20% - 强调文字颜色 3 2 9 2" xfId="24883"/>
    <cellStyle name="注释 2 2 2 2 2 4 3" xfId="24884"/>
    <cellStyle name="汇总 2 2 3 2 2 3 2 2 2" xfId="24885"/>
    <cellStyle name="输出 2 2 3 2 2 2 4 3" xfId="24886"/>
    <cellStyle name="计算 2 4 2 2 3 4" xfId="24887"/>
    <cellStyle name="汇总 2 6 6 3" xfId="24888"/>
    <cellStyle name="Normal 3" xfId="24889"/>
    <cellStyle name="标题 2 2 2 4 3 2 2 2" xfId="24890"/>
    <cellStyle name="计算 3 3 2 2" xfId="24891"/>
    <cellStyle name="标题 4 4 6" xfId="24892"/>
    <cellStyle name="标题 1 2 2 3 2 2 2" xfId="24893"/>
    <cellStyle name="汇总 2 2 3 6" xfId="24894"/>
    <cellStyle name="计算 2 3 2 2 2 2" xfId="24895"/>
    <cellStyle name="注释 2 2 3 2 2 4 2" xfId="24896"/>
    <cellStyle name="注释 2 2 2 9" xfId="24897"/>
    <cellStyle name="汇总 2 2 2 10 2 2" xfId="24898"/>
    <cellStyle name="解释性文本 2 2 3 2 2" xfId="24899"/>
    <cellStyle name="汇总 2 17 2" xfId="24900"/>
    <cellStyle name="40% - 强调文字颜色 6 2 2 2 5" xfId="24901"/>
    <cellStyle name="输入 2 5 3 2 3 2" xfId="24902"/>
    <cellStyle name="输入 3 2 4" xfId="24903"/>
    <cellStyle name="输入 2 5 2 2 2 2 3" xfId="24904"/>
    <cellStyle name="标题 1 2 4 5" xfId="24905"/>
    <cellStyle name="常规 9 3 5 3" xfId="24906"/>
    <cellStyle name="20% - 强调文字颜色 3 2 3 2 4 3" xfId="24907"/>
    <cellStyle name="标题 2 2 2 2 2" xfId="24908"/>
    <cellStyle name="汇总 2 6 2 3 8" xfId="24909"/>
    <cellStyle name="注释 2 2 3 3 2 2 2 3" xfId="24910"/>
    <cellStyle name="注释 2 6 3 6" xfId="24911"/>
    <cellStyle name="强调文字颜色 6 2 2 3 2 3" xfId="24912"/>
    <cellStyle name="常规 7 5 3 2 2" xfId="24913"/>
    <cellStyle name="输入 2 4 2 3 2 2" xfId="24914"/>
    <cellStyle name="汇总 3 7 3" xfId="24915"/>
    <cellStyle name="强调文字颜色 6 3 2 5" xfId="24916"/>
    <cellStyle name="标题 1 2 4 2 3" xfId="24917"/>
    <cellStyle name="标题 2 2 2 3 3 2 3" xfId="24918"/>
    <cellStyle name="计算 2 5 2 3 2" xfId="24919"/>
    <cellStyle name="常规 5 6 2 5" xfId="24920"/>
    <cellStyle name="输出 2 5 2 3 6" xfId="24921"/>
    <cellStyle name="标题 2 2 2 2 2 4 2 2 2" xfId="24922"/>
    <cellStyle name="常规 5 6 5 2 2" xfId="24923"/>
    <cellStyle name="计算 2 5 4 2 4 2" xfId="24924"/>
    <cellStyle name="汇总 2 2 5 4 2 3 2 2" xfId="24925"/>
    <cellStyle name="汇总 2 3 9 2" xfId="24926"/>
    <cellStyle name="输入 2 4 2 2 5" xfId="24927"/>
    <cellStyle name="注释 2 6 8 2" xfId="24928"/>
    <cellStyle name="计算 2 16" xfId="24929"/>
    <cellStyle name="计算 2 21" xfId="24930"/>
    <cellStyle name="40% - 强调文字颜色 6 2 2 2 5 2 2" xfId="24931"/>
    <cellStyle name="计算 2 10 2 6" xfId="24932"/>
    <cellStyle name="输出 2 4 3 3 2 2" xfId="24933"/>
    <cellStyle name="计算 2 2 4 6" xfId="24934"/>
    <cellStyle name="计算 2 2 4 5 2 2 2" xfId="24935"/>
    <cellStyle name="常规 5 3 2 5" xfId="24936"/>
    <cellStyle name="60% - 强调文字颜色 5 2 4" xfId="24937"/>
    <cellStyle name="强调文字颜色 2 4 2 2 2" xfId="24938"/>
    <cellStyle name="常规 9 6 4" xfId="24939"/>
    <cellStyle name="计算 2 2 3 3 4 2 2" xfId="24940"/>
    <cellStyle name="注释 2 4 2 2 4 3" xfId="24941"/>
    <cellStyle name="40% - 强调文字颜色 1 2 2 3 3 3 2" xfId="24942"/>
    <cellStyle name="60% - 强调文字颜色 5 3 2 3 2 2 2" xfId="24943"/>
    <cellStyle name="常规 13 3 2 5" xfId="24944"/>
    <cellStyle name="20% - 强调文字颜色 6 2 7 3" xfId="24945"/>
    <cellStyle name="汇总 2 2 8 8 3" xfId="24946"/>
    <cellStyle name="汇总 2 7 5 3 3" xfId="24947"/>
    <cellStyle name="输入 2 2 3 3 5" xfId="24948"/>
    <cellStyle name="计算 2 2 9 2 4" xfId="24949"/>
    <cellStyle name="汇总 2 5 5 4" xfId="24950"/>
    <cellStyle name="20% - 强调文字颜色 3 2 2 4 3 2" xfId="24951"/>
    <cellStyle name="注释 2 2 6 3 2 5" xfId="24952"/>
    <cellStyle name="常规 9 3 2 4 2" xfId="24953"/>
    <cellStyle name="好 2 2 2 2 3 3 2 2" xfId="24954"/>
    <cellStyle name="计算 2 2 8 7 3" xfId="24955"/>
    <cellStyle name="超链接 2 6" xfId="24956"/>
    <cellStyle name="超链接 3 3 2 3 2 2 2" xfId="24957"/>
    <cellStyle name="链接单元格 2 2 3 3 2 2" xfId="24958"/>
    <cellStyle name="40% - 强调文字颜色 3 2 4 3 3 2" xfId="24959"/>
    <cellStyle name="解释性文本 2 2 2 2 8" xfId="24960"/>
    <cellStyle name="计算 2 2 5 2 2 2 5" xfId="24961"/>
    <cellStyle name="链接单元格 2 6 3 3" xfId="24962"/>
    <cellStyle name="汇总 3 6 2" xfId="24963"/>
    <cellStyle name="输出 2 2 2 6 3" xfId="24964"/>
    <cellStyle name="强调文字颜色 1 2 3 2 3 3 2 2" xfId="24965"/>
    <cellStyle name="注释 2 2 9 2 3" xfId="24966"/>
    <cellStyle name="常规 7 2 2 2 3 3 2" xfId="24967"/>
    <cellStyle name="60% - 强调文字颜色 6 2 2 2 4 2 2 2" xfId="24968"/>
    <cellStyle name="40% - 强调文字颜色 3 2 2 4 4 2" xfId="24969"/>
    <cellStyle name="常规 12 6 2" xfId="24970"/>
    <cellStyle name="常规 5 2 3 4 2 3 3" xfId="24971"/>
    <cellStyle name="输入 2 2 4 3 2 4 3" xfId="24972"/>
    <cellStyle name="20% - 强调文字颜色 2 2 2 2 2 2 4 2" xfId="24973"/>
    <cellStyle name="常规 13 2 2 2 5" xfId="24974"/>
    <cellStyle name="常规 3 3 2 5 2" xfId="24975"/>
    <cellStyle name="标题 5 7 3" xfId="24976"/>
    <cellStyle name="适中 2 3 2" xfId="24977"/>
    <cellStyle name="适中 3 9" xfId="24978"/>
    <cellStyle name="常规 5 2 3 4 2 3 2 2" xfId="24979"/>
    <cellStyle name="输入 2 2 4 3 2 4 2 2" xfId="24980"/>
    <cellStyle name="注释 3 2 2 5" xfId="24981"/>
    <cellStyle name="汇总 2 2 5 3 7" xfId="24982"/>
    <cellStyle name="输入 2 5 3 2 2 2 2 2" xfId="24983"/>
    <cellStyle name="输出 2 2 6 4 2 2" xfId="24984"/>
    <cellStyle name="输出 3 2 3" xfId="24985"/>
    <cellStyle name="解释性文本 2 4 3 3 2 2" xfId="24986"/>
    <cellStyle name="40% - 强调文字颜色 2 2 2 2 2 2 3 3 2 2" xfId="24987"/>
    <cellStyle name="汇总 2 2 3 2 3 5 2" xfId="24988"/>
    <cellStyle name="输入 2 3 14" xfId="24989"/>
    <cellStyle name="20% - 强调文字颜色 6 2 3 2 4 3 2 2" xfId="24990"/>
    <cellStyle name="标题 2 2 2 3 9" xfId="24991"/>
    <cellStyle name="计算 2 6 3 6 3" xfId="24992"/>
    <cellStyle name="强调文字颜色 4 4 4 2" xfId="24993"/>
    <cellStyle name="输入 2 4 3 6 2" xfId="24994"/>
    <cellStyle name="常规 8 2 4 2 2" xfId="24995"/>
    <cellStyle name="60% - 强调文字颜色 2 2 3 5" xfId="24996"/>
    <cellStyle name="输出 2 2 5 4 2" xfId="24997"/>
    <cellStyle name="注释 2 2 5 6 2 2" xfId="24998"/>
    <cellStyle name="60% - 强调文字颜色 1 2 3 3 3 2" xfId="24999"/>
    <cellStyle name="计算 2 2 4 2 3 2 4" xfId="25000"/>
    <cellStyle name="汇总 2 3 2 4 2" xfId="25001"/>
    <cellStyle name="40% - 强调文字颜色 4 3 2 3 2 2" xfId="25002"/>
    <cellStyle name="输出 2 2 4 2 2 4 2 2" xfId="25003"/>
    <cellStyle name="计算 2 2 8 3 2 2 2 2" xfId="25004"/>
    <cellStyle name="40% - 强调文字颜色 3 2 2 2 2 2 2 3 2" xfId="25005"/>
    <cellStyle name="计算 2 11 5" xfId="25006"/>
    <cellStyle name="20% - 强调文字颜色 2 3 2 2 3" xfId="25007"/>
    <cellStyle name="注释 3 3 6 2 2" xfId="25008"/>
    <cellStyle name="解释性文本 2 2 3 6 2" xfId="25009"/>
    <cellStyle name="40% - 强调文字颜色 4 2 2 7 2 2" xfId="25010"/>
    <cellStyle name="汇总 3 2 2 3 3 2" xfId="25011"/>
    <cellStyle name="20% - 强调文字颜色 6 2 2 2 6 2 2 2" xfId="25012"/>
    <cellStyle name="输入 2 3 3 4 2 2" xfId="25013"/>
    <cellStyle name="标题 4 2 2 2 3 2 2" xfId="25014"/>
    <cellStyle name="常规 2 3 2 2 2 2 2 2" xfId="25015"/>
    <cellStyle name="汇总 2 2 5 2 2 3 2 2 2" xfId="25016"/>
    <cellStyle name="汇总 2 4 2 7 2 2" xfId="25017"/>
    <cellStyle name="60% - 强调文字颜色 2 2 2 2 2 2 2 2 2 2" xfId="25018"/>
    <cellStyle name="强调文字颜色 2 2 2 3 2 2 3" xfId="25019"/>
    <cellStyle name="20% - 强调文字颜色 5 4 2 3 2" xfId="25020"/>
    <cellStyle name="输出 2 4 5 2 3" xfId="25021"/>
    <cellStyle name="常规 5 2 4 2 3 2 2" xfId="25022"/>
    <cellStyle name="好 3 2 3 2 3" xfId="25023"/>
    <cellStyle name="计算 2 5 4 4 2" xfId="25024"/>
    <cellStyle name="注释 2 4 2 6 2 2" xfId="25025"/>
    <cellStyle name="计算 2 5 4 2 2 2" xfId="25026"/>
    <cellStyle name="强调文字颜色 5 2 2 3 3 3 2" xfId="25027"/>
    <cellStyle name="常规 8 3 2" xfId="25028"/>
    <cellStyle name="超链接 2 5 3 3 2" xfId="25029"/>
    <cellStyle name="标题 4 2 7 2" xfId="25030"/>
    <cellStyle name="输入 2 2 2 10 2" xfId="25031"/>
    <cellStyle name="60% - 强调文字颜色 4 2 3 5 2 2 2" xfId="25032"/>
    <cellStyle name="20% - 强调文字颜色 3 2 2 3 3 2 2" xfId="25033"/>
    <cellStyle name="输入 2 9 2 2 2 2" xfId="25034"/>
    <cellStyle name="检查单元格 3 2" xfId="25035"/>
    <cellStyle name="输入 3 3 8" xfId="25036"/>
    <cellStyle name="40% - 强调文字颜色 4 3 2 2 3" xfId="25037"/>
    <cellStyle name="常规 10 2 3 3 4 2" xfId="25038"/>
    <cellStyle name="常规 5 2 2 2 2 3 2" xfId="25039"/>
    <cellStyle name="输入 2 2 4 5 6" xfId="25040"/>
    <cellStyle name="常规 7 3 3 2 2" xfId="25041"/>
    <cellStyle name="常规 3 4 3 2 2" xfId="25042"/>
    <cellStyle name="计算 2 2 4 2 2 2 2 3 2" xfId="25043"/>
    <cellStyle name="汇总 2 2 2 3 5 2 2" xfId="25044"/>
    <cellStyle name="强调文字颜色 3 2 2 4 2 2 2 2" xfId="25045"/>
    <cellStyle name="强调文字颜色 2 2 2 2 2 5 2 2" xfId="25046"/>
    <cellStyle name="输出 3 3 5 3" xfId="25047"/>
    <cellStyle name="差 4 4 2" xfId="25048"/>
    <cellStyle name="标题 4 2 3 4 3 3" xfId="25049"/>
    <cellStyle name="汇总 2 2 9 8" xfId="25050"/>
    <cellStyle name="强调文字颜色 1 2 5 2" xfId="25051"/>
    <cellStyle name="计算 2 3 2 2 2 3 2 2" xfId="25052"/>
    <cellStyle name="汇总 2 2 3 7 2 2" xfId="25053"/>
    <cellStyle name="输入 2 2 8 2 4" xfId="25054"/>
    <cellStyle name="强调文字颜色 6 5 2" xfId="25055"/>
    <cellStyle name="20% - 强调文字颜色 2 3 2 4 2 2 2" xfId="25056"/>
    <cellStyle name="计算 2 2 4 4 3 2 2" xfId="25057"/>
    <cellStyle name="强调文字颜色 6 2 2 2 5 2 2 2" xfId="25058"/>
    <cellStyle name="计算 2 5 2 11 3" xfId="25059"/>
    <cellStyle name="输入 2 3 3" xfId="25060"/>
    <cellStyle name="输出 2 3 2 6 3" xfId="25061"/>
    <cellStyle name="链接单元格 5 3" xfId="25062"/>
    <cellStyle name="汇总 2 2 3 4 2 4 3" xfId="25063"/>
    <cellStyle name="计算 2 5 10" xfId="25064"/>
    <cellStyle name="输出 2 2 3 2 2 3 3" xfId="25065"/>
    <cellStyle name="汇总 2 5 2 6 5" xfId="25066"/>
    <cellStyle name="60% - 强调文字颜色 5 2 2 3 5" xfId="25067"/>
    <cellStyle name="40% - 强调文字颜色 1 2 2 6" xfId="25068"/>
    <cellStyle name="计算 2 4 4 2 4 2" xfId="25069"/>
    <cellStyle name="40% - 强调文字颜色 4 2 2 4 2" xfId="25070"/>
    <cellStyle name="计算 2 5 2 4 2 4 2" xfId="25071"/>
    <cellStyle name="计算 3 3 3 2 2" xfId="25072"/>
    <cellStyle name="差 2 2 8 3" xfId="25073"/>
    <cellStyle name="解释性文本 2 3 2 5" xfId="25074"/>
    <cellStyle name="检查单元格 2 4 5 2" xfId="25075"/>
    <cellStyle name="好 2 3 2 2 3 2" xfId="25076"/>
    <cellStyle name="输出 2 5 2" xfId="25077"/>
    <cellStyle name="注释 2 2 3 2 2 2 2 2 2 2" xfId="25078"/>
    <cellStyle name="标题 4 2 3 2 5 2 2" xfId="25079"/>
    <cellStyle name="60% - 强调文字颜色 2 2 3 2 2 2 2 2" xfId="25080"/>
    <cellStyle name="输出 2 7 2 5" xfId="25081"/>
    <cellStyle name="输入 2 2 3 3 2 2 3" xfId="25082"/>
    <cellStyle name="常规 7 6" xfId="25083"/>
    <cellStyle name="计算 2 2 2 2 13" xfId="25084"/>
    <cellStyle name="链接单元格 3 2 2 3" xfId="25085"/>
    <cellStyle name="强调文字颜色 6 4 2" xfId="25086"/>
    <cellStyle name="注释 2 2 5 2 2 7" xfId="25087"/>
    <cellStyle name="标题 4 4 2 5" xfId="25088"/>
    <cellStyle name="标题 2 2 2 2 2 4 2 3" xfId="25089"/>
    <cellStyle name="常规 5 2 3 2 2 4 2" xfId="25090"/>
    <cellStyle name="解释性文本 2 8 3 2" xfId="25091"/>
    <cellStyle name="计算 2 3 3 3" xfId="25092"/>
    <cellStyle name="汇总 2 16 3" xfId="25093"/>
    <cellStyle name="标题 2 2 3 2 3 4" xfId="25094"/>
    <cellStyle name="计算 2 2 3 3 3 5" xfId="25095"/>
    <cellStyle name="60% - 强调文字颜色 6 2 2 4 3 2 2 2" xfId="25096"/>
    <cellStyle name="计算 2 3 4 5 3" xfId="25097"/>
    <cellStyle name="注释 2 2 2 2 3 2 2" xfId="25098"/>
    <cellStyle name="汇总 2 6 5 3 3" xfId="25099"/>
    <cellStyle name="汇总 2 2 5 2 2 4 2 2" xfId="25100"/>
    <cellStyle name="注释 2 2 4 2 3 3 2" xfId="25101"/>
    <cellStyle name="注释 6 2 2" xfId="25102"/>
    <cellStyle name="常规 12 2 4 3" xfId="25103"/>
    <cellStyle name="输入 7 2 2" xfId="25104"/>
    <cellStyle name="60% - 强调文字颜色 4 2 2 4 3 2" xfId="25105"/>
    <cellStyle name="常规 7 3 5 2" xfId="25106"/>
    <cellStyle name="输出 2 3 13" xfId="25107"/>
    <cellStyle name="输入 2 2 2 2 2 4 2" xfId="25108"/>
    <cellStyle name="标题 1 2 6 2" xfId="25109"/>
    <cellStyle name="解释性文本 2 2 2 2 3 3 2" xfId="25110"/>
    <cellStyle name="超链接 2 2 3 2 2" xfId="25111"/>
    <cellStyle name="注释 2 8 2 2 2 2" xfId="25112"/>
    <cellStyle name="60% - 强调文字颜色 5 2 2 2 4 2 2" xfId="25113"/>
    <cellStyle name="20% - 强调文字颜色 4 4 2 2" xfId="25114"/>
    <cellStyle name="计算 2 2 4 5 8" xfId="25115"/>
    <cellStyle name="强调文字颜色 4 2 2 2 4 2 3" xfId="25116"/>
    <cellStyle name="解释性文本 2 2 5 2" xfId="25117"/>
    <cellStyle name="汇总 3 4 3 3" xfId="25118"/>
    <cellStyle name="强调文字颜色 5 5 3" xfId="25119"/>
    <cellStyle name="输出 2 2 2 4 4 3" xfId="25120"/>
    <cellStyle name="输出 2 5 3 5 2" xfId="25121"/>
    <cellStyle name="输入 2 2 3 2 2 3 2 2" xfId="25122"/>
    <cellStyle name="60% - 强调文字颜色 5 2 7" xfId="25123"/>
    <cellStyle name="常规 5 3 2 8" xfId="25124"/>
    <cellStyle name="60% - 强调文字颜色 6 2 3 6 3" xfId="25125"/>
    <cellStyle name="输入 2 5 5 4 2" xfId="25126"/>
    <cellStyle name="注释 3 7 2 2" xfId="25127"/>
    <cellStyle name="好 2 5 4" xfId="25128"/>
    <cellStyle name="Normal 2 2 2" xfId="25129"/>
    <cellStyle name="20% - 强调文字颜色 6 2 2 2 2 2 4 2 2 2" xfId="25130"/>
    <cellStyle name="输出 2 7 8" xfId="25131"/>
    <cellStyle name="输入 4 4" xfId="25132"/>
    <cellStyle name="标题 5 4 6" xfId="25133"/>
    <cellStyle name="计算 4 3 2" xfId="25134"/>
    <cellStyle name="标题 5 2 2 5" xfId="25135"/>
    <cellStyle name="超链接 2 2 2 2 3 2 3" xfId="25136"/>
    <cellStyle name="40% - 强调文字颜色 5 2 2 2 2 2 3 3 2 2" xfId="25137"/>
    <cellStyle name="计算 2 4 4" xfId="25138"/>
    <cellStyle name="强调文字颜色 2 3 3 2" xfId="25139"/>
    <cellStyle name="适中 2 3 3 5" xfId="25140"/>
    <cellStyle name="标题 1 2 7" xfId="25141"/>
    <cellStyle name="输入 2 2 2 2 2 5" xfId="25142"/>
    <cellStyle name="注释 2 11 2 2" xfId="25143"/>
    <cellStyle name="计算 2 7 3 4 2 2" xfId="25144"/>
    <cellStyle name="汇总 2 3 2 8 2" xfId="25145"/>
    <cellStyle name="60% - 强调文字颜色 4 2 6 2 2 2" xfId="25146"/>
    <cellStyle name="计算 2 5 2 2 8" xfId="25147"/>
    <cellStyle name="计算 2 2 7 4 5" xfId="25148"/>
    <cellStyle name="计算 2 2 2 5 4 2" xfId="25149"/>
    <cellStyle name="汇总 2 5 3 3 4 2" xfId="25150"/>
    <cellStyle name="40% - 强调文字颜色 4 2 2" xfId="25151"/>
    <cellStyle name="强调文字颜色 2 2 2 2 4 2 2" xfId="25152"/>
    <cellStyle name="输出 2 3 7 2 2" xfId="25153"/>
    <cellStyle name="输入" xfId="25154" builtinId="20"/>
    <cellStyle name="汇总 2 2 2 3 2 3" xfId="25155"/>
    <cellStyle name="60% - 强调文字颜色 6 2 3 4 4" xfId="25156"/>
    <cellStyle name="计算 2 7 4 2 3 2 2" xfId="25157"/>
    <cellStyle name="40% - 强调文字颜色 6 2 5 3 2 2" xfId="25158"/>
    <cellStyle name="汇总 2 6 2 2 2 3 3" xfId="25159"/>
    <cellStyle name="注释 2 2 3 4 2 2 2 2" xfId="25160"/>
    <cellStyle name="强调文字颜色 5 2 2 2 2 5 2" xfId="25161"/>
    <cellStyle name="好 2 2 6 4" xfId="25162"/>
    <cellStyle name="适中 2 9" xfId="25163"/>
    <cellStyle name="输出 2 5 2 2 4 3" xfId="25164"/>
    <cellStyle name="检查单元格 2 5 2 2 2" xfId="25165"/>
    <cellStyle name="适中 3 5" xfId="25166"/>
    <cellStyle name="强调文字颜色 3 2 3 2 4" xfId="25167"/>
    <cellStyle name="汇总 2 2 5 2 2 5" xfId="25168"/>
    <cellStyle name="计算 2 2 6 2 2 2 5" xfId="25169"/>
    <cellStyle name="输入 2 2 7 2 4 2" xfId="25170"/>
    <cellStyle name="计算 2 2 7 7 2" xfId="25171"/>
    <cellStyle name="汇总 2 2 6 2 3 3 3" xfId="25172"/>
    <cellStyle name="汇总 2 8 3 4 2" xfId="25173"/>
    <cellStyle name="20% - 强调文字颜色 2 2 2 2 2 4 3 2" xfId="25174"/>
    <cellStyle name="无色 2 4" xfId="25175"/>
    <cellStyle name="好 4 2 2" xfId="25176"/>
    <cellStyle name="输入 2 2 3 3 5 2" xfId="25177"/>
    <cellStyle name="计算 2 2 9 2 4 2" xfId="25178"/>
    <cellStyle name="汇总 2 5 5 4 2" xfId="25179"/>
    <cellStyle name="输出 2 2 3 2 7 2 2" xfId="25180"/>
    <cellStyle name="常规 6 3 2 2 4 2 2" xfId="25181"/>
    <cellStyle name="20% - 强调文字颜色 6 3 3 2" xfId="25182"/>
    <cellStyle name="计算 2 5 2 3 3 3 2 2" xfId="25183"/>
    <cellStyle name="标题 4 2 2 2 2 3 2" xfId="25184"/>
    <cellStyle name="强调文字颜色 3 2 2 2 3 6" xfId="25185"/>
    <cellStyle name="输出 2 2 5 3 2 4" xfId="25186"/>
    <cellStyle name="差 2 3 2 2 2 2 2 2" xfId="25187"/>
    <cellStyle name="输出 3 2 7" xfId="25188"/>
    <cellStyle name="汇总 2 4 2 9 2" xfId="25189"/>
    <cellStyle name="汇总 2 2 5 2 2 3 4 2" xfId="25190"/>
    <cellStyle name="输入 3 2 7 2 2" xfId="25191"/>
    <cellStyle name="差 2 2 2 2 5 3" xfId="25192"/>
    <cellStyle name="输入 2 2 3 4 2 2" xfId="25193"/>
    <cellStyle name="输入 2 2 4 9 2" xfId="25194"/>
    <cellStyle name="常规 3 3 9 2" xfId="25195"/>
    <cellStyle name="汇总 2 2 4 3 2 2 2 2" xfId="25196"/>
    <cellStyle name="输出 2 3 4 2 4" xfId="25197"/>
    <cellStyle name="40% - 强调文字颜色 3 2 3 2 2 3 2 2" xfId="25198"/>
    <cellStyle name="检查单元格 2 9" xfId="25199"/>
    <cellStyle name="输入 2 2 5 2 3 2 3" xfId="25200"/>
    <cellStyle name="计算 3 2 3 5" xfId="25201"/>
    <cellStyle name="输入 2 2 3 2 2 2 4" xfId="25202"/>
    <cellStyle name="输出 2 5 4 2 2 2" xfId="25203"/>
    <cellStyle name="计算 2 2 2 2 7" xfId="25204"/>
    <cellStyle name="强调文字颜色 2 2 2 6 2 3" xfId="25205"/>
    <cellStyle name="输出 2 7 5 3" xfId="25206"/>
    <cellStyle name="60% - 强调文字颜色 2 2 2 3 3 3 2" xfId="25207"/>
    <cellStyle name="汇总 3 3 3 5" xfId="25208"/>
    <cellStyle name="强调文字颜色 4 2 7" xfId="25209"/>
    <cellStyle name="差 4 2 3 2 2 2" xfId="25210"/>
    <cellStyle name="40% - 强调文字颜色 4 2 2 2 2 4 2" xfId="25211"/>
    <cellStyle name="链接单元格 2 2 3 6 3" xfId="25212"/>
    <cellStyle name="40% - 强调文字颜色 6 3 3 4" xfId="25213"/>
    <cellStyle name="输入 3 2 3 2 2 2" xfId="25214"/>
    <cellStyle name="强调文字颜色 1 2 3 4" xfId="25215"/>
    <cellStyle name="标题 1 2 2 3 7" xfId="25216"/>
    <cellStyle name="输出 2 5 3 4 3" xfId="25217"/>
    <cellStyle name="差 2 2 2 3 2 2 2 3" xfId="25218"/>
    <cellStyle name="输出 2 2 3 2 3 2 6" xfId="25219"/>
    <cellStyle name="强调文字颜色 1 2 3 2 4 2" xfId="25220"/>
    <cellStyle name="好 2 2 5 3 2" xfId="25221"/>
    <cellStyle name="60% - 强调文字颜色 5 2 5 3 2 2" xfId="25222"/>
    <cellStyle name="百分比 2 4 2 2 2" xfId="25223"/>
    <cellStyle name="20% - 强调文字颜色 3 2 2 2 2 4 3 2 2" xfId="25224"/>
    <cellStyle name="超链接 3 3 4 4 2" xfId="25225"/>
    <cellStyle name="强调文字颜色 3 2 2 8" xfId="25226"/>
    <cellStyle name="输入 5 3 3" xfId="25227"/>
    <cellStyle name="标题 4 2 5 2 2 2" xfId="25228"/>
    <cellStyle name="常规 6 4 4 3 2" xfId="25229"/>
    <cellStyle name="计算 2 2 3 3 3" xfId="25230"/>
    <cellStyle name="适中 2 4 2 2 2 2" xfId="25231"/>
    <cellStyle name="超链接 3 5 3 2" xfId="25232"/>
    <cellStyle name="输入 2 8" xfId="25233"/>
    <cellStyle name="计算 2 5 2 16" xfId="25234"/>
    <cellStyle name="好 3 4 2 2" xfId="25235"/>
    <cellStyle name="强调文字颜色 2 2 7" xfId="25236"/>
    <cellStyle name="20% - 强调文字颜色 3 2 4 2" xfId="25237"/>
    <cellStyle name="差 2 2 5 2 2" xfId="25238"/>
    <cellStyle name="汇总 2 2 4 2 3" xfId="25239"/>
    <cellStyle name="计算 2 2 10" xfId="25240"/>
    <cellStyle name="60% - 强调文字颜色 1 2 3 2 3 3" xfId="25241"/>
    <cellStyle name="输出 3 2 2 8" xfId="25242"/>
    <cellStyle name="60% - 强调文字颜色 2 2 4 3 2 2" xfId="25243"/>
    <cellStyle name="汇总 2 6 2 4 3" xfId="25244"/>
    <cellStyle name="计算 5 2 3" xfId="25245"/>
    <cellStyle name="计算 2 3 4 2 2 2" xfId="25246"/>
    <cellStyle name="计算 2 2 8 9 2" xfId="25247"/>
    <cellStyle name="常规 5 5 2 3 2" xfId="25248"/>
    <cellStyle name="60% - 强调文字颜色 1 2 4 7" xfId="25249"/>
    <cellStyle name="60% - 强调文字颜色 1 2 2 3 4 2" xfId="25250"/>
    <cellStyle name="常规 4 3 7 2" xfId="25251"/>
    <cellStyle name="20% - 强调文字颜色 2 3 3" xfId="25252"/>
    <cellStyle name="解释性文本 2 2 3 3 2 2 2" xfId="25253"/>
    <cellStyle name="计算 2 2 6 12 2" xfId="25254"/>
    <cellStyle name="常规 2 3 2 3 3 2" xfId="25255"/>
    <cellStyle name="输入 2 2 4 2 2 3 2 2" xfId="25256"/>
    <cellStyle name="输入 2 3 2 5 3" xfId="25257"/>
    <cellStyle name="输出 2 2 4 2 2 2 2 3" xfId="25258"/>
    <cellStyle name="计算 2 2 4 2 4 3" xfId="25259"/>
    <cellStyle name="汇总 2 2 8 2 4 2 2" xfId="25260"/>
    <cellStyle name="警告文本 2 6 4" xfId="25261"/>
    <cellStyle name="60% - 强调文字颜色 6 2 2 4 2 3 2" xfId="25262"/>
    <cellStyle name="计算 2 2 2 2 9 2" xfId="25263"/>
    <cellStyle name="常规 5 2 2 4 2 3 2 2" xfId="25264"/>
    <cellStyle name="输入 2 5 2 2 2 2 3 2" xfId="25265"/>
    <cellStyle name="输入 3 2 4 2" xfId="25266"/>
    <cellStyle name="链接单元格 2 4 3 2 2" xfId="25267"/>
    <cellStyle name="输出 2 5 3 2 4" xfId="25268"/>
    <cellStyle name="40% - 强调文字颜色 1 2 5 3 3 2" xfId="25269"/>
    <cellStyle name="计算 2 11 3 2 2" xfId="25270"/>
    <cellStyle name="20% - 强调文字颜色 5 2 2 2 2 4 2" xfId="25271"/>
    <cellStyle name="适中 2 2 2 2 3 2" xfId="25272"/>
    <cellStyle name="输入 4 2 2 2" xfId="25273"/>
    <cellStyle name="注释 2 2 8 4" xfId="25274"/>
    <cellStyle name="汇总 2 2 8 3 2" xfId="25275"/>
    <cellStyle name="计算 2 7 3 2 3 3" xfId="25276"/>
    <cellStyle name="常规 6 6" xfId="25277"/>
    <cellStyle name="计算 4 2 2 2 2 2" xfId="25278"/>
    <cellStyle name="计算 4 2 3 5" xfId="25279"/>
    <cellStyle name="输出 2 2 6 2" xfId="25280"/>
    <cellStyle name="常规 7 7" xfId="25281"/>
    <cellStyle name="计算 3 2 2 3" xfId="25282"/>
    <cellStyle name="强调文字颜色 1 2 3 2 4 2 2" xfId="25283"/>
    <cellStyle name="强调文字颜色 5 2 3 5 2 2" xfId="25284"/>
    <cellStyle name="汇总 2 2 4 2 2 2" xfId="25285"/>
    <cellStyle name="输入 2 9 3 2 2" xfId="25286"/>
    <cellStyle name="计算 2 3 3 2 8" xfId="25287"/>
    <cellStyle name="超链接 2 2 2 5" xfId="25288"/>
    <cellStyle name="标题 3 2 2 2 2 3" xfId="25289"/>
    <cellStyle name="汇总 2 2 7 3 2 4" xfId="25290"/>
    <cellStyle name="标题 3 2 2 2 3 2 2 2 2" xfId="25291"/>
    <cellStyle name="常规 2 2 2 2 2 2 2 2 2 2" xfId="25292"/>
    <cellStyle name="输入 3 2 2 3" xfId="25293"/>
    <cellStyle name="输出 2 2 4 3 4 3" xfId="25294"/>
    <cellStyle name="警告文本 2 4 8" xfId="25295"/>
    <cellStyle name="汇总 2 5 2 2 2 4 2" xfId="25296"/>
    <cellStyle name="20% - 强调文字颜色 5 2 3 2 5 2" xfId="25297"/>
    <cellStyle name="标题 3 2 2 2 2 7" xfId="25298"/>
    <cellStyle name="60% - 强调文字颜色 4 2 2 2 2" xfId="25299"/>
    <cellStyle name="输入 2 4 5" xfId="25300"/>
    <cellStyle name="输出 2 5 3 7" xfId="25301"/>
    <cellStyle name="常规 3 4" xfId="25302"/>
    <cellStyle name="汇总 2 6 4 2 4 2" xfId="25303"/>
    <cellStyle name="60% - 强调文字颜色 2 2 3 6" xfId="25304"/>
    <cellStyle name="强调文字颜色 5 2 2 7 2 2" xfId="25305"/>
    <cellStyle name="汇总 2 8 2 2 6" xfId="25306"/>
    <cellStyle name="40% - 强调文字颜色 6 2 2 2 2 2 4 3 2" xfId="25307"/>
    <cellStyle name="输出 2 2 3 2 2 2 4" xfId="25308"/>
    <cellStyle name="标题 4 5" xfId="25309"/>
    <cellStyle name="百分比 2 5 3 2 2" xfId="25310"/>
    <cellStyle name="输入 2 2 4 2 4 2 5" xfId="25311"/>
    <cellStyle name="强调文字颜色 1 3 9" xfId="25312"/>
    <cellStyle name="60% - 强调文字颜色 6 2 2 2 2 3" xfId="25313"/>
    <cellStyle name="输出 2 3 6" xfId="25314"/>
    <cellStyle name="强调文字颜色 2 2 2 2 3" xfId="25315"/>
    <cellStyle name="常规 5 2 3 4 3 2" xfId="25316"/>
    <cellStyle name="输入 2 2 4 3 3 3" xfId="25317"/>
    <cellStyle name="链接单元格 2 2 2 4 3 2 2" xfId="25318"/>
    <cellStyle name="常规 4 2 7 2" xfId="25319"/>
    <cellStyle name="20% - 强调文字颜色 1 3 3" xfId="25320"/>
    <cellStyle name="好 3 3 2 2" xfId="25321"/>
    <cellStyle name="标题 4 4 3 3" xfId="25322"/>
    <cellStyle name="计算 3 2 2 3 3 2 2" xfId="25323"/>
    <cellStyle name="计算 2 2 3 3 6" xfId="25324"/>
    <cellStyle name="常规 4 5 2 3 2 2" xfId="25325"/>
    <cellStyle name="汇总 2 5 6 2 2" xfId="25326"/>
    <cellStyle name="计算 2 2 5 4 2" xfId="25327"/>
    <cellStyle name="计算 2 2 5 2 2 2 4 2" xfId="25328"/>
    <cellStyle name="解释性文本 2 3 4" xfId="25329"/>
    <cellStyle name="强调文字颜色 2 2 3 2 5 3" xfId="25330"/>
    <cellStyle name="常规 9 7 2" xfId="25331"/>
    <cellStyle name="输出 2 2 8 2 2" xfId="25332"/>
    <cellStyle name="汇总 2 5 4 3 4" xfId="25333"/>
    <cellStyle name="注释 2 5 2 2 2 2 2 2" xfId="25334"/>
    <cellStyle name="40% - 强调文字颜色 6 2 2 4 3" xfId="25335"/>
    <cellStyle name="汇总 2 17 2 2" xfId="25336"/>
    <cellStyle name="输出 2 8 9" xfId="25337"/>
    <cellStyle name="强调文字颜色 1 2 6 2" xfId="25338"/>
    <cellStyle name="计算 3 2 4" xfId="25339"/>
    <cellStyle name="计算 2 6 2 2 2 6" xfId="25340"/>
    <cellStyle name="标题 2 2 2 3 2" xfId="25341"/>
    <cellStyle name="计算 2 2 5 2 2 4 2 2" xfId="25342"/>
    <cellStyle name="注释 2 2 6 6 3" xfId="25343"/>
    <cellStyle name="常规 13 2 3 2 2 2" xfId="25344"/>
    <cellStyle name="输出 3 2 7 3" xfId="25345"/>
    <cellStyle name="好 2 2 5 2 2" xfId="25346"/>
    <cellStyle name="标题 4 2 8 3" xfId="25347"/>
    <cellStyle name="汇总 2 2 4 4 3 2" xfId="25348"/>
    <cellStyle name="输出 2 6 2 9" xfId="25349"/>
    <cellStyle name="强调文字颜色 6 2 2 3" xfId="25350"/>
    <cellStyle name="链接单元格 2 4 2 3" xfId="25351"/>
    <cellStyle name="注释 2 4 2 2 2 3 2" xfId="25352"/>
    <cellStyle name="强调文字颜色 2 3 4" xfId="25353"/>
    <cellStyle name="常规 10 4 5" xfId="25354"/>
    <cellStyle name="注释 3 3 3 2 2" xfId="25355"/>
    <cellStyle name="计算 2 2 2 4 5" xfId="25356"/>
    <cellStyle name="常规 2 4 3 2 2" xfId="25357"/>
    <cellStyle name="输出 2 4 3 2" xfId="25358"/>
    <cellStyle name="汇总 2 9 3 5" xfId="25359"/>
    <cellStyle name="计算 3 2 5 2" xfId="25360"/>
    <cellStyle name="20% - 强调文字颜色 4 2 2 3 4" xfId="25361"/>
    <cellStyle name="常规 2 2 2 2 2 2 2" xfId="25362"/>
    <cellStyle name="输入 2 2 2 2 2 6" xfId="25363"/>
    <cellStyle name="超链接 2 2 3 4" xfId="25364"/>
    <cellStyle name="标题 3 2 2 2 3 2" xfId="25365"/>
    <cellStyle name="计算 2 2 6 4 2 3 2" xfId="25366"/>
    <cellStyle name="汇总 2 5 2 4 2 2 2" xfId="25367"/>
    <cellStyle name="汇总 2 2 7 10" xfId="25368"/>
    <cellStyle name="60% - 强调文字颜色 5 2 3 2 4 2 2" xfId="25369"/>
    <cellStyle name="计算 2 6 4 4 3" xfId="25370"/>
    <cellStyle name="汇总 2 2 4 2 2 3 2 2" xfId="25371"/>
    <cellStyle name="输出 2 3 4 6" xfId="25372"/>
    <cellStyle name="40% - 强调文字颜色 3 2 3 2 2 4 2" xfId="25373"/>
    <cellStyle name="计算 2 2 2 2 7 2" xfId="25374"/>
    <cellStyle name="适中 3 7 3" xfId="25375"/>
    <cellStyle name="输出 2 6 2 4 2 2" xfId="25376"/>
    <cellStyle name="标题 2 2 3 7 2" xfId="25377"/>
    <cellStyle name="注释 2 3 3 5" xfId="25378"/>
    <cellStyle name="检查单元格 2 2 7" xfId="25379"/>
    <cellStyle name="输入 4 3 2" xfId="25380"/>
    <cellStyle name="汇总 2 2 7 4 2 2 2" xfId="25381"/>
    <cellStyle name="计算 2 2 8 2 2 2" xfId="25382"/>
    <cellStyle name="输入 2 2 2 3 3 2" xfId="25383"/>
    <cellStyle name="汇总 2 6 2 3 2 2" xfId="25384"/>
    <cellStyle name="常规_New Follow" xfId="25385"/>
    <cellStyle name="20% - 强调文字颜色 3 2 3 2 3 2 2" xfId="25386"/>
    <cellStyle name="60% - 强调文字颜色 4 2 4 4 2 2 2" xfId="25387"/>
    <cellStyle name="差 4 4 2 2 2" xfId="25388"/>
    <cellStyle name="20% - 强调文字颜色 6 2 2 3 3 2 2" xfId="25389"/>
    <cellStyle name="注释 3 2 7 3" xfId="25390"/>
    <cellStyle name="常规 2 2 2 2 2 4 2 2 2" xfId="25391"/>
    <cellStyle name="40% - 强调文字颜色 5 2 7 2" xfId="25392"/>
    <cellStyle name="20% - 强调文字颜色 4 2 2 2 2 3 2 2" xfId="25393"/>
    <cellStyle name="计算 2 5 2 9 2 2" xfId="25394"/>
    <cellStyle name="链接单元格 2 7" xfId="25395"/>
    <cellStyle name="标题 2 2 3 2 2 4" xfId="25396"/>
    <cellStyle name="20% - 强调文字颜色 4 2 2 2 3 3 2" xfId="25397"/>
    <cellStyle name="40% - 强调文字颜色 6 2 7" xfId="25398"/>
    <cellStyle name="汇总 2 5 5 5" xfId="25399"/>
    <cellStyle name="好 4 3" xfId="25400"/>
    <cellStyle name="输出 2 2 4 2 4 2" xfId="25401"/>
    <cellStyle name="输出 2 10 3 2" xfId="25402"/>
    <cellStyle name="输出 3 2 3 3" xfId="25403"/>
    <cellStyle name="链接单元格 2 2 2 6" xfId="25404"/>
    <cellStyle name="输出 2 6 3 2 3" xfId="25405"/>
    <cellStyle name="20% - 强调文字颜色 6 2 2 2 2 3 3" xfId="25406"/>
    <cellStyle name="20% - 强调文字颜色 4 3 5" xfId="25407"/>
    <cellStyle name="标题 5 2 9" xfId="25408"/>
    <cellStyle name="标题 3 2 2 6 3 3" xfId="25409"/>
    <cellStyle name="计算 2 2 2 5" xfId="25410"/>
    <cellStyle name="汇总 2 2 4 3 2 6 2" xfId="25411"/>
    <cellStyle name="计算 2 2 3 4 4 3" xfId="25412"/>
    <cellStyle name="输出 2 2 2 4 4 2" xfId="25413"/>
    <cellStyle name="强调文字颜色 5 5 2" xfId="25414"/>
    <cellStyle name="输出 3 2 2" xfId="25415"/>
    <cellStyle name="检查单元格 2 2 4 3 2 3" xfId="25416"/>
    <cellStyle name="汇总 2 2 5 3 6" xfId="25417"/>
    <cellStyle name="汇总 2 2 4 2 2 8" xfId="25418"/>
    <cellStyle name="汇总 2 2 4 3 2 4 3" xfId="25419"/>
    <cellStyle name="计算 2 2 3 4 2 4" xfId="25420"/>
    <cellStyle name="注释 2 2 3 2 2 7" xfId="25421"/>
    <cellStyle name="常规 4 2 3 2 2 3" xfId="25422"/>
    <cellStyle name="解释性文本 2 6 3 3" xfId="25423"/>
    <cellStyle name="输出 2 2 7 10" xfId="25424"/>
    <cellStyle name="标题 2 4 3 2" xfId="25425"/>
    <cellStyle name="计算 2 7 3 4 3" xfId="25426"/>
    <cellStyle name="汇总 2 3 2 9" xfId="25427"/>
    <cellStyle name="计算 2 15" xfId="25428"/>
    <cellStyle name="计算 2 20" xfId="25429"/>
    <cellStyle name="解释性文本 2 7 2" xfId="25430"/>
    <cellStyle name="输入 2 5 2 3 8" xfId="25431"/>
    <cellStyle name="60% - 强调文字颜色 6 2 2 2 3 2 2 2 2" xfId="25432"/>
    <cellStyle name="汇总 2 4 2 3 4 2 2" xfId="25433"/>
    <cellStyle name="输出 2 4 5 4 2 2" xfId="25434"/>
    <cellStyle name="常规 6 5 3" xfId="25435"/>
    <cellStyle name="计算 2 6 2 4 2 2 2" xfId="25436"/>
    <cellStyle name="强调文字颜色 5 2 4 3 2" xfId="25437"/>
    <cellStyle name="20% - 强调文字颜色 2 2 2 8" xfId="25438"/>
    <cellStyle name="汇总 2 8 8 2" xfId="25439"/>
    <cellStyle name="标题 1 2 2 2 4" xfId="25440"/>
    <cellStyle name="超链接 3 2 2 5" xfId="25441"/>
    <cellStyle name="标题 3 2 3 2 2 3" xfId="25442"/>
    <cellStyle name="汇总 2 2 6 2 2 5 2 2" xfId="25443"/>
    <cellStyle name="检查单元格 2 2 6 2 3" xfId="25444"/>
    <cellStyle name="汇总 2 2 5 2 3 2 3" xfId="25445"/>
    <cellStyle name="汇总 3 2 3 2 2 2" xfId="25446"/>
    <cellStyle name="注释 4 2 7 2" xfId="25447"/>
    <cellStyle name="输入 2 2 2 4 2 2 3" xfId="25448"/>
    <cellStyle name="汇总 2 2 4 2 5 5" xfId="25449"/>
    <cellStyle name="计算 2 2 7 9 2" xfId="25450"/>
    <cellStyle name="汇总 2 7 2 2 2 5" xfId="25451"/>
    <cellStyle name="强调文字颜色 6 2 3 2 3 2 3" xfId="25452"/>
    <cellStyle name="计算 2 3 4 2 3 3" xfId="25453"/>
    <cellStyle name="标题 4 2 2 2 7" xfId="25454"/>
    <cellStyle name="输出 2 2 6 2 2 5" xfId="25455"/>
    <cellStyle name="常规 7 2 2 5" xfId="25456"/>
    <cellStyle name="汇总 2 5 2 3 3 5" xfId="25457"/>
    <cellStyle name="输出 2 2 3 3 2 2 2 2 2" xfId="25458"/>
    <cellStyle name="汇总 2 5 2 2 3 4 2 2" xfId="25459"/>
    <cellStyle name="40% - 强调文字颜色 4" xfId="25460" builtinId="43"/>
    <cellStyle name="输入 2 8 3 2 5" xfId="25461"/>
    <cellStyle name="差 2 2 4 2" xfId="25462"/>
    <cellStyle name="常规 2 2 6 3 2 2" xfId="25463"/>
    <cellStyle name="强调文字颜色 5 2 7 2" xfId="25464"/>
    <cellStyle name="警告文本 2 3 2 6" xfId="25465"/>
    <cellStyle name="汇总 2 3 4 3 3" xfId="25466"/>
    <cellStyle name="链接单元格 2 4" xfId="25467"/>
    <cellStyle name="输出 2 2 7 3 2 2" xfId="25468"/>
    <cellStyle name="标题 2 2 5 3 2 2" xfId="25469"/>
    <cellStyle name="输出 2 4 2 3" xfId="25470"/>
    <cellStyle name="汇总 2 2 3 2 3 3 2 2" xfId="25471"/>
    <cellStyle name="适中 2 2 3 6 2 2" xfId="25472"/>
    <cellStyle name="常规 13 3" xfId="25473"/>
    <cellStyle name="超链接 2 3 2 3 2 2 2" xfId="25474"/>
    <cellStyle name="计算 2 2 7 4 3 2 2" xfId="25475"/>
    <cellStyle name="计算 2 2 3 4 3 2" xfId="25476"/>
    <cellStyle name="标题 2 2 2 4 5 2" xfId="25477"/>
    <cellStyle name="Normal 5 2 2 2" xfId="25478"/>
    <cellStyle name="输入 2 2 7 2 2 2" xfId="25479"/>
    <cellStyle name="输入 3 2 2 5 3" xfId="25480"/>
    <cellStyle name="解释性文本 2 4 3 4 2" xfId="25481"/>
    <cellStyle name="强调文字颜色 1 2 2 9" xfId="25482"/>
    <cellStyle name="标题 4 2 3 2 2 3" xfId="25483"/>
    <cellStyle name="解释性文本 3 10" xfId="25484"/>
    <cellStyle name="常规 10 3 2 3 2" xfId="25485"/>
    <cellStyle name="输入 2 7 2 2 4" xfId="25486"/>
    <cellStyle name="标题 5 2 2 2 4" xfId="25487"/>
    <cellStyle name="标题 5 3 4" xfId="25488"/>
    <cellStyle name="强调文字颜色 3 2 2 2 3" xfId="25489"/>
    <cellStyle name="输入 2 8 3 3 2" xfId="25490"/>
    <cellStyle name="好 2 3 4 3 3" xfId="25491"/>
    <cellStyle name="常规 3 3 3 2 2 2 2" xfId="25492"/>
    <cellStyle name="检查单元格 2 4 6 2" xfId="25493"/>
    <cellStyle name="输出 2 7 2 2 3" xfId="25494"/>
    <cellStyle name="60% - 强调文字颜色 3 2 2 4 3 3 2" xfId="25495"/>
    <cellStyle name="计算 2 15 2 2" xfId="25496"/>
    <cellStyle name="百分比 2 2 2 5 2 2" xfId="25497"/>
    <cellStyle name="适中 2 2 3 3 4" xfId="25498"/>
    <cellStyle name="注释 2 4 2 3 5 2" xfId="25499"/>
    <cellStyle name="常规 13 2 3 2" xfId="25500"/>
    <cellStyle name="汇总 2 2 5 15" xfId="25501"/>
    <cellStyle name="好 2 2 2 2 2" xfId="25502"/>
    <cellStyle name="检查单元格 2 2 6" xfId="25503"/>
    <cellStyle name="差 2 3 3 6" xfId="25504"/>
    <cellStyle name="强调文字颜色 3 2 3 5 2 2" xfId="25505"/>
    <cellStyle name="汇总 2 7 2 7" xfId="25506"/>
    <cellStyle name="输入 2 2 11 5" xfId="25507"/>
    <cellStyle name="20% - 强调文字颜色 2 2 2 2 2 2 5 2 2" xfId="25508"/>
    <cellStyle name="标题 4 2 4 2 2" xfId="25509"/>
    <cellStyle name="无色 2 3 3" xfId="25510"/>
    <cellStyle name="计算 2 3 2 2 2 6" xfId="25511"/>
    <cellStyle name="链接单元格 2 4 3 2" xfId="25512"/>
    <cellStyle name="输出 2 5 2 2 2 2" xfId="25513"/>
    <cellStyle name="计算 2 7 5 6" xfId="25514"/>
    <cellStyle name="计算 2 2 4 2 12" xfId="25515"/>
    <cellStyle name="输出 2 4 4 2 4" xfId="25516"/>
    <cellStyle name="常规 6 2 4 2 2" xfId="25517"/>
    <cellStyle name="强调文字颜色 2 2 2 2 4 3 3" xfId="25518"/>
    <cellStyle name="计算 2 5 2 8" xfId="25519"/>
    <cellStyle name="注释 2 4 2 4 6" xfId="25520"/>
    <cellStyle name="常规 13 3 4" xfId="25521"/>
    <cellStyle name="好 2 2 3 3" xfId="25522"/>
    <cellStyle name="强调文字颜色 1 2 7 3" xfId="25523"/>
    <cellStyle name="60% - 强调文字颜色 2 2 2 5 2 2" xfId="25524"/>
    <cellStyle name="计算 3 3 5" xfId="25525"/>
    <cellStyle name="60% - 强调文字颜色 5 2 3 2" xfId="25526"/>
    <cellStyle name="常规 5 3 2 4 2" xfId="25527"/>
    <cellStyle name="百分比" xfId="25528" builtinId="5"/>
    <cellStyle name="汇总 2 2 4 2 2 3 5 2" xfId="25529"/>
    <cellStyle name="适中 2 2 3 4 4" xfId="25530"/>
    <cellStyle name="输出 2 2 4 3 3" xfId="25531"/>
    <cellStyle name="常规 5 8 3" xfId="25532"/>
    <cellStyle name="注释 2 3 6 2 2" xfId="25533"/>
    <cellStyle name="输入 2 6 3 4 2 2" xfId="25534"/>
    <cellStyle name="汇总 3 2 3" xfId="25535"/>
    <cellStyle name="检查单元格 2 3 2 7" xfId="25536"/>
    <cellStyle name="汇总 2 6 2 3 3 3" xfId="25537"/>
    <cellStyle name="标题 3 2 3 2 2 2 2 2" xfId="25538"/>
    <cellStyle name="超链接 3 2 2 4 2 2" xfId="25539"/>
    <cellStyle name="汇总 2 2 7 3 4 3" xfId="25540"/>
    <cellStyle name="注释 2 2 7 4" xfId="25541"/>
    <cellStyle name="注释 2 4 2 2 6" xfId="25542"/>
    <cellStyle name="20% - 强调文字颜色 3 2 3 7" xfId="25543"/>
    <cellStyle name="40% - 强调文字颜色 1 2 3 2 2 2 2 2 2" xfId="25544"/>
    <cellStyle name="计算 2 2 4 2 2 4" xfId="25545"/>
    <cellStyle name="差 2 2 2 2 5" xfId="25546"/>
    <cellStyle name="常规 11 3 5 2" xfId="25547"/>
    <cellStyle name="强调文字颜色 3 2 4 2" xfId="25548"/>
    <cellStyle name="计算 3 10" xfId="25549"/>
    <cellStyle name="超链接 3 2 4 2 4" xfId="25550"/>
    <cellStyle name="常规 4 3 2 2 3" xfId="25551"/>
    <cellStyle name="链接单元格 2 3 2 6 3" xfId="25552"/>
    <cellStyle name="输出 2 2 10 3" xfId="25553"/>
    <cellStyle name="常规 16 3" xfId="25554"/>
    <cellStyle name="汇总 2 2 9 2 7" xfId="25555"/>
    <cellStyle name="计算 2 5 3 2 2 3 2" xfId="25556"/>
    <cellStyle name="计算 2 4 4 2 3" xfId="25557"/>
    <cellStyle name="超链接 3 3 2 3 2 2" xfId="25558"/>
    <cellStyle name="常规 5 2 4 2 4" xfId="25559"/>
    <cellStyle name="60% - 强调文字颜色 6 2 2 2 3 2 2 2 3" xfId="25560"/>
    <cellStyle name="强调文字颜色 4 2 2 2 2 3 3 2 2" xfId="25561"/>
    <cellStyle name="计算 2 4 2 2 2 5" xfId="25562"/>
    <cellStyle name="超链接 3 3 2 3 3 2" xfId="25563"/>
    <cellStyle name="注释 2 2 4 2 2 2 5" xfId="25564"/>
    <cellStyle name="常规 11 4 2 3 3" xfId="25565"/>
    <cellStyle name="标题 4 2 3 2 7" xfId="25566"/>
    <cellStyle name="注释 2 2 3 2 2 2 2 4" xfId="25567"/>
    <cellStyle name="60% - 强调文字颜色 3 4 2 3 2 2 2" xfId="25568"/>
    <cellStyle name="计算 3 16" xfId="25569"/>
    <cellStyle name="40% - 强调文字颜色 5 3 4 2 2" xfId="25570"/>
    <cellStyle name="常规 5 3 4" xfId="25571"/>
    <cellStyle name="20% - 强调文字颜色 3 2 3 2 2 3 2" xfId="25572"/>
    <cellStyle name="输出 2 4 2 3 2 4" xfId="25573"/>
    <cellStyle name="汇总 3 5" xfId="25574"/>
    <cellStyle name="输出 2 7 5 2 2" xfId="25575"/>
    <cellStyle name="强调文字颜色 2 2 2 6 2 2 2" xfId="25576"/>
    <cellStyle name="20% - 强调文字颜色 3 2 2 6 3 2" xfId="25577"/>
    <cellStyle name="输出 2 3 4 3" xfId="25578"/>
    <cellStyle name="超链接 2 4 2 2" xfId="25579"/>
    <cellStyle name="解释性文本 2 2 2 4 2 3" xfId="25580"/>
    <cellStyle name="计算 2 5 2 5 4" xfId="25581"/>
    <cellStyle name="计算 3 2 3 2 3" xfId="25582"/>
    <cellStyle name="强调文字颜色 1 2 3 2 4 2 2 2" xfId="25583"/>
    <cellStyle name="输出 2 7 2 3 2 2" xfId="25584"/>
    <cellStyle name="输出 3 2 10" xfId="25585"/>
    <cellStyle name="差 2 2 2 2 2" xfId="25586"/>
    <cellStyle name="检查单元格 2 2 2 2 4 3" xfId="25587"/>
    <cellStyle name="计算 2 6 4 4 2" xfId="25588"/>
    <cellStyle name="适中 3 4" xfId="25589"/>
    <cellStyle name="常规 12 4 2 2 2" xfId="25590"/>
    <cellStyle name="计算 2 2 4 2 2 5" xfId="25591"/>
    <cellStyle name="汇总 2 4 2 2 2 2 2 2" xfId="25592"/>
    <cellStyle name="计算 4 4 2" xfId="25593"/>
    <cellStyle name="40% - 强调文字颜色 2 2 3 2 5 2 2" xfId="25594"/>
    <cellStyle name="常规 8 6" xfId="25595"/>
    <cellStyle name="强调文字颜色 3 2 2 2 2 3 2 2 2" xfId="25596"/>
    <cellStyle name="注释 2 2 5 9" xfId="25597"/>
    <cellStyle name="输出 2 3 8 2 2" xfId="25598"/>
    <cellStyle name="汇总 2 2 2 6 2 2 2" xfId="25599"/>
    <cellStyle name="汇总 2 5 2 11 2" xfId="25600"/>
    <cellStyle name="强调文字颜色 3 2 2 2 2 2 2 2 3" xfId="25601"/>
    <cellStyle name="强调文字颜色 4 2 9" xfId="25602"/>
    <cellStyle name="60% - 强调文字颜色 5 4 2" xfId="25603"/>
    <cellStyle name="强调文字颜色 5 4 2" xfId="25604"/>
    <cellStyle name="输出 2 2 2 4 3 2" xfId="25605"/>
    <cellStyle name="强调文字颜色 3 2 2 2 2 2 4" xfId="25606"/>
    <cellStyle name="40% - 强调文字颜色 3 2 3 4 2" xfId="25607"/>
    <cellStyle name="汇总 2 2 5 9 3" xfId="25608"/>
    <cellStyle name="计算 2 5 3" xfId="25609"/>
    <cellStyle name="输入 2 2 5 9" xfId="25610"/>
    <cellStyle name="常规 6 2 5 3 2" xfId="25611"/>
    <cellStyle name="计算 2 2 4 2 2 2 2 2 2 2" xfId="25612"/>
    <cellStyle name="计算 2 9 7" xfId="25613"/>
    <cellStyle name="输出 2 8 2 2" xfId="25614"/>
    <cellStyle name="差 2 2 3 4 4" xfId="25615"/>
    <cellStyle name="汇总 2 2 2 4 5" xfId="25616"/>
    <cellStyle name="20% - 强调文字颜色 5 2 2 4 2 2 2" xfId="25617"/>
    <cellStyle name="汇总 2 6 2 4 3 2" xfId="25618"/>
    <cellStyle name="计算 5 2 3 2" xfId="25619"/>
    <cellStyle name="40% - 强调文字颜色 1 2 3 2 5 2 2 2" xfId="25620"/>
    <cellStyle name="常规 4 5 3" xfId="25621"/>
    <cellStyle name="适中 2 2 3 8" xfId="25622"/>
    <cellStyle name="计算 2 2 6 3 2 3 3" xfId="25623"/>
    <cellStyle name="解释性文本 2 3 3 2 2" xfId="25624"/>
    <cellStyle name="注释 2 5 2" xfId="25625"/>
    <cellStyle name="适中 2 3 2 5 3" xfId="25626"/>
    <cellStyle name="汇总 2 2 4 2 14" xfId="25627"/>
    <cellStyle name="标题 5 4 3" xfId="25628"/>
    <cellStyle name="输出 2 4 2 2 6 2" xfId="25629"/>
    <cellStyle name="60% - 强调文字颜色 3 5 2 2 2 2" xfId="25630"/>
    <cellStyle name="60% - 强调文字颜色 6 3 2 2 2" xfId="25631"/>
    <cellStyle name="输出 2 2 5 7 2" xfId="25632"/>
    <cellStyle name="标题 3 2 2 2 2 3 3 3" xfId="25633"/>
    <cellStyle name="注释 2 2 7 2 2 2 2" xfId="25634"/>
    <cellStyle name="常规 5 4 2 2 2" xfId="25635"/>
    <cellStyle name="超链接 2 3 4 2 3 2" xfId="25636"/>
    <cellStyle name="常规 4 3 2 2 4" xfId="25637"/>
    <cellStyle name="标题 5 3 7 2" xfId="25638"/>
    <cellStyle name="计算 2 2 3 3 2" xfId="25639"/>
    <cellStyle name="汇总 2 2 5 2 2 2 3 2 2" xfId="25640"/>
    <cellStyle name="输入 2 4 4 3 2" xfId="25641"/>
    <cellStyle name="常规 3 2 4 2 3 3 2 2" xfId="25642"/>
    <cellStyle name="强调文字颜色 1 3 6" xfId="25643"/>
    <cellStyle name="好 2 2 5 3 3" xfId="25644"/>
    <cellStyle name="解释性文本 2 4 3 4" xfId="25645"/>
    <cellStyle name="标题 1 2 3 8" xfId="25646"/>
    <cellStyle name="60% - 强调文字颜色 4 2 2 2 2 3 2 2 2" xfId="25647"/>
    <cellStyle name="解释性文本 2 4 6 2" xfId="25648"/>
    <cellStyle name="标题 3 2 4 9" xfId="25649"/>
    <cellStyle name="注释 2 4 2 2 2 6" xfId="25650"/>
    <cellStyle name="20% - 强调文字颜色 5 2 2 2 2 2 3 3 2" xfId="25651"/>
    <cellStyle name="链接单元格 2 2 2 3 2 3" xfId="25652"/>
    <cellStyle name="标题 4 2 3 6 3" xfId="25653"/>
    <cellStyle name="输入 2 4 4 4 2" xfId="25654"/>
    <cellStyle name="常规 4 2 2 8" xfId="25655"/>
    <cellStyle name="强调文字颜色 5 2 4 3 2 2" xfId="25656"/>
    <cellStyle name="链接单元格 2 4 10" xfId="25657"/>
    <cellStyle name="输入 2 2 8 2 3 3" xfId="25658"/>
    <cellStyle name="检查单元格 2 2 4 2" xfId="25659"/>
    <cellStyle name="汇总 3 2 9 2" xfId="25660"/>
    <cellStyle name="强调文字颜色 6" xfId="25661" builtinId="49"/>
    <cellStyle name="常规 4 6 3" xfId="25662"/>
    <cellStyle name="输入 3 3 7" xfId="25663"/>
    <cellStyle name="输出 2 2 3 5 2 2 3" xfId="25664"/>
    <cellStyle name="输出 2 2 4 4 4 2" xfId="25665"/>
    <cellStyle name="常规 13 6" xfId="25666"/>
    <cellStyle name="解释性文本 2 3 4 3 2 2" xfId="25667"/>
    <cellStyle name="注释 3 6 2 2" xfId="25668"/>
    <cellStyle name="解释性文本 2 3 2 2 2 3" xfId="25669"/>
    <cellStyle name="解释性文本 2 4 3 2" xfId="25670"/>
    <cellStyle name="计算 3 2 4 2 2" xfId="25671"/>
    <cellStyle name="20% - 强调文字颜色 4 2 2 2 4 2" xfId="25672"/>
    <cellStyle name="输入 2 9 2 6" xfId="25673"/>
    <cellStyle name="20% - 强调文字颜色 3 2 2 6 2 2" xfId="25674"/>
    <cellStyle name="标题 1 3 2 2 2 2 2" xfId="25675"/>
    <cellStyle name="汇总 2 8 3 6" xfId="25676"/>
    <cellStyle name="强调文字颜色 5 2 3 2 3 2 3" xfId="25677"/>
    <cellStyle name="计算 2 2 5 2 3 3 2" xfId="25678"/>
    <cellStyle name="汇总 2 4 2 2 8" xfId="25679"/>
    <cellStyle name="常规 5 2 2 2 2 2 3 2 2" xfId="25680"/>
    <cellStyle name="40% - 强调文字颜色 4 2 5 2 2 2 2" xfId="25681"/>
    <cellStyle name="警告文本 2 2 3 8" xfId="25682"/>
    <cellStyle name="计算 2 2 4 2 4 2 7" xfId="25683"/>
    <cellStyle name="常规 4 4 4 3 3" xfId="25684"/>
    <cellStyle name="差 4 5 2" xfId="25685"/>
    <cellStyle name="常规 4 3 5 2" xfId="25686"/>
    <cellStyle name="计算 2 9 6 2 2" xfId="25687"/>
    <cellStyle name="强调文字颜色 5 2 4 9" xfId="25688"/>
    <cellStyle name="汇总 2 2 6 2 3 2 2 2" xfId="25689"/>
    <cellStyle name="常规 2 5 2 2" xfId="25690"/>
    <cellStyle name="计算 2 2 2 11" xfId="25691"/>
    <cellStyle name="20% - 强调文字颜色 2 2 3 4" xfId="25692"/>
    <cellStyle name="40% - 强调文字颜色 3 2 3 2 4 2 2 2" xfId="25693"/>
    <cellStyle name="计算 2 5 2 3 2 3" xfId="25694"/>
    <cellStyle name="60% - 强调文字颜色 6 6 2 2 2" xfId="25695"/>
    <cellStyle name="常规 2 2 2 2 2 3 3" xfId="25696"/>
    <cellStyle name="强调文字颜色 1 2 2 5 4" xfId="25697"/>
    <cellStyle name="检查单元格 2 2 4 5" xfId="25698"/>
    <cellStyle name="汇总 2 2 3 2 3 3 3" xfId="25699"/>
    <cellStyle name="差 2 2 2 2 3 2 2 3" xfId="25700"/>
    <cellStyle name="输入 2 2 3 12" xfId="25701"/>
    <cellStyle name="常规 3 4 2" xfId="25702"/>
    <cellStyle name="60% - 强调文字颜色 4 2 2 2 2 2" xfId="25703"/>
    <cellStyle name="计算 2 6 2 2 6 3" xfId="25704"/>
    <cellStyle name="输入 2 3 2 3 2 3" xfId="25705"/>
    <cellStyle name="注释 3 14" xfId="25706"/>
    <cellStyle name="链接单元格 2 3 2 4 3 2" xfId="25707"/>
    <cellStyle name="20% - 强调文字颜色 1 2 3 2 2 4" xfId="25708"/>
    <cellStyle name="计算 2 3 2 7 2" xfId="25709"/>
    <cellStyle name="汇总 2 6 3 3 5" xfId="25710"/>
    <cellStyle name="20% - 强调文字颜色 3 2 3 2 5 2" xfId="25711"/>
    <cellStyle name="标题 1 2 2 2 2 7" xfId="25712"/>
    <cellStyle name="常规 4 2 2 2 3 3 3" xfId="25713"/>
    <cellStyle name="输出 3 6 2" xfId="25714"/>
    <cellStyle name="计算 2 2 6 4 2 2 2 2" xfId="25715"/>
    <cellStyle name="计算 3 5 3 3" xfId="25716"/>
    <cellStyle name="汇总 2 6 2 6 2" xfId="25717"/>
    <cellStyle name="计算 5 4 2" xfId="25718"/>
    <cellStyle name="60% - 强调文字颜色 4 6" xfId="25719"/>
    <cellStyle name="注释 2 6 13" xfId="25720"/>
    <cellStyle name="汇总 2 5 3 2 5 3" xfId="25721"/>
    <cellStyle name="计算 2 2 11 4 2" xfId="25722"/>
    <cellStyle name="汇总 2 2 4 2 4 4 2" xfId="25723"/>
    <cellStyle name="检查单元格 2 4 4 2 2 2" xfId="25724"/>
    <cellStyle name="常规 5 3 6 2" xfId="25725"/>
    <cellStyle name="计算 3 4 2 3" xfId="25726"/>
    <cellStyle name="40% - 强调文字颜色 2 2 2 2 2 4 2" xfId="25727"/>
    <cellStyle name="注释 2 2 3 5 2 2 2 2" xfId="25728"/>
    <cellStyle name="60% - 强调文字颜色 1 3 2 2 3 2 2" xfId="25729"/>
    <cellStyle name="强调文字颜色 1 2 6 2 2 2" xfId="25730"/>
    <cellStyle name="常规 8 2 2 4" xfId="25731"/>
    <cellStyle name="计算 2 5 5 2" xfId="25732"/>
    <cellStyle name="40% - 强调文字颜色 6 3 2 4 2" xfId="25733"/>
    <cellStyle name="输出 2 2 3 2 3 4 3" xfId="25734"/>
    <cellStyle name="20% - 强调文字颜色 3 2 2 2 2 2 2 2" xfId="25735"/>
    <cellStyle name="计算 2 2 8 4 3 3" xfId="25736"/>
    <cellStyle name="强调文字颜色 5 2 3 6 2" xfId="25737"/>
    <cellStyle name="20% - 强调文字颜色 2 2 3 3 3" xfId="25738"/>
    <cellStyle name="注释 2 3 2 2 2 3" xfId="25739"/>
    <cellStyle name="40% - 强调文字颜色 5 2 2 2 3 3 2 2" xfId="25740"/>
    <cellStyle name="警告文本 2 2 6 3 2" xfId="25741"/>
    <cellStyle name="汇总 2 2 5 3 6 2" xfId="25742"/>
    <cellStyle name="汇总 2 3 7" xfId="25743"/>
    <cellStyle name="汇总 2 5 8 2" xfId="25744"/>
    <cellStyle name="常规 5 3 5" xfId="25745"/>
    <cellStyle name="好 3 4 2 3" xfId="25746"/>
    <cellStyle name="强调文字颜色 5 2 2 3 5 3" xfId="25747"/>
    <cellStyle name="警告文本 3 2 2" xfId="25748"/>
    <cellStyle name="40% - 强调文字颜色 1 2 2 2 2 2 5" xfId="25749"/>
    <cellStyle name="计算 2 5 5 2 3" xfId="25750"/>
    <cellStyle name="常规 8 2 2 4 3" xfId="25751"/>
    <cellStyle name="差 2 2 5 2 3" xfId="25752"/>
    <cellStyle name="汇总 2 2 4 2 4" xfId="25753"/>
    <cellStyle name="解释性文本 2 3 2 6 2 2" xfId="25754"/>
    <cellStyle name="好 2 2 2 2 3 3 3" xfId="25755"/>
    <cellStyle name="汇总 2 5" xfId="25756"/>
    <cellStyle name="计算 2 5 3 2 2 2" xfId="25757"/>
    <cellStyle name="强调文字颜色 2 2 2 2 3 2 2 2" xfId="25758"/>
    <cellStyle name="常规 2 2 6 2 2 2" xfId="25759"/>
    <cellStyle name="链接单元格 2 2 4 2 3" xfId="25760"/>
    <cellStyle name="40% - 强调文字颜色 4 2 3 2 4 2 2 2" xfId="25761"/>
    <cellStyle name="输出 2 3 4 2 2 2 2" xfId="25762"/>
    <cellStyle name="输出 3 8 3" xfId="25763"/>
    <cellStyle name="注释 2 6 3 3 2 2" xfId="25764"/>
    <cellStyle name="计算 2 5 2 3 3 2 3" xfId="25765"/>
    <cellStyle name="强调文字颜色 3 2 2 3 5" xfId="25766"/>
    <cellStyle name="常规 2 6 2" xfId="25767"/>
    <cellStyle name="输入 2 3 7 2" xfId="25768"/>
    <cellStyle name="强调文字颜色 2 4 5" xfId="25769"/>
    <cellStyle name="超链接 2 3 3 5" xfId="25770"/>
    <cellStyle name="标题 2 2 9" xfId="25771"/>
    <cellStyle name="40% - 强调文字颜色 6 2 2 2 4 2 2 2" xfId="25772"/>
    <cellStyle name="汇总 2 5 2 13" xfId="25773"/>
    <cellStyle name="输入 2 5 3 2 2 3" xfId="25774"/>
    <cellStyle name="常规 5 5 2 3 2 2" xfId="25775"/>
    <cellStyle name="汇总 2 5 6 2 3" xfId="25776"/>
    <cellStyle name="强调文字颜色 6 2 2 3 5 2" xfId="25777"/>
    <cellStyle name="计算 2 2 5 4 3" xfId="25778"/>
    <cellStyle name="60% - 强调文字颜色 3 2 2 4 2 2 2 2" xfId="25779"/>
    <cellStyle name="解释性文本 2 2 4 6" xfId="25780"/>
    <cellStyle name="汇总 2 2 4 2 2 3 2 3" xfId="25781"/>
    <cellStyle name="常规 5 4 4 2 2" xfId="25782"/>
    <cellStyle name="输出 2 3 4 7" xfId="25783"/>
    <cellStyle name="60% - 强调文字颜色 1 2 2 3 5 2" xfId="25784"/>
    <cellStyle name="20% - 强调文字颜色 5 2 3 7" xfId="25785"/>
    <cellStyle name="百分比 2 3 3 2 2" xfId="25786"/>
    <cellStyle name="60% - 强调文字颜色 4 2 2 8 2" xfId="25787"/>
    <cellStyle name="汇总 2 2 5 4" xfId="25788"/>
    <cellStyle name="输入 2 2 5 8 2" xfId="25789"/>
    <cellStyle name="20% - 强调文字颜色 3 3 2 5 2" xfId="25790"/>
    <cellStyle name="常规 12 2 3" xfId="25791"/>
    <cellStyle name="常规 10 3 2 4 2" xfId="25792"/>
    <cellStyle name="40% - 强调文字颜色 1 2 3 6 2 2" xfId="25793"/>
    <cellStyle name="输出 3 2 2 4 2" xfId="25794"/>
    <cellStyle name="输入 2 2 2 3 2 2" xfId="25795"/>
    <cellStyle name="汇总 2 2 3 3 2 3 2 2" xfId="25796"/>
    <cellStyle name="解释性文本 2 2 2 3 2 2" xfId="25797"/>
    <cellStyle name="汇总 2 2 8 4 7" xfId="25798"/>
    <cellStyle name="标题 3" xfId="25799" builtinId="18"/>
    <cellStyle name="汇总 2 2 3 3 3 3 2 2" xfId="25800"/>
    <cellStyle name="强调文字颜色 2 3 6" xfId="25801"/>
    <cellStyle name="汇总 2 2 4 8 3" xfId="25802"/>
    <cellStyle name="标题 3 2 2 2 7" xfId="25803"/>
    <cellStyle name="标题 2 2 6 3 2 2" xfId="25804"/>
    <cellStyle name="输出 3 4 2 3" xfId="25805"/>
    <cellStyle name="输出 2 12 2 2" xfId="25806"/>
    <cellStyle name="常规 2 3 2 2 3 2" xfId="25807"/>
    <cellStyle name="常规 2 3 2 2 3 3 2" xfId="25808"/>
    <cellStyle name="链接单元格 3 3" xfId="25809"/>
    <cellStyle name="输入 2 2 12 2 2" xfId="25810"/>
    <cellStyle name="输入 2 3 3 5 2" xfId="25811"/>
    <cellStyle name="汇总 2 2 2 2 8" xfId="25812"/>
    <cellStyle name="注释 2 2 4 3 4 3" xfId="25813"/>
    <cellStyle name="常规 10 4 2 5" xfId="25814"/>
    <cellStyle name="常规 12 2 6 3" xfId="25815"/>
    <cellStyle name="汇总 2 2 6 6 2 3" xfId="25816"/>
    <cellStyle name="40% - 强调文字颜色 5 2 2 2 4 2 2 2" xfId="25817"/>
    <cellStyle name="输入 4 5 2 2" xfId="25818"/>
    <cellStyle name="60% - 强调文字颜色 6 3 2 2 5" xfId="25819"/>
    <cellStyle name="标题 3 2 4 5" xfId="25820"/>
    <cellStyle name="计算 2 4 3 4 2 2" xfId="25821"/>
    <cellStyle name="强调文字颜色 1 2 2 2 4 2 2 2" xfId="25822"/>
    <cellStyle name="链接单元格 2 2 4" xfId="25823"/>
    <cellStyle name="注释 2 2 4 4" xfId="25824"/>
    <cellStyle name="输入 2 6 2 2 4" xfId="25825"/>
    <cellStyle name="40% - 强调文字颜色 2 3" xfId="25826"/>
    <cellStyle name="链接单元格 2 2 3 4 2 3" xfId="25827"/>
    <cellStyle name="计算 2 6 2 10" xfId="25828"/>
    <cellStyle name="适中 2 4" xfId="25829"/>
    <cellStyle name="解释性文本 2 3 2 5 2 2" xfId="25830"/>
    <cellStyle name="60% - 强调文字颜色 3 2 4 2 2 2 2" xfId="25831"/>
    <cellStyle name="汇总 2 2 9 2 3 2 2" xfId="25832"/>
    <cellStyle name="强调文字颜色 3 2 2 2 5 2" xfId="25833"/>
    <cellStyle name="常规 4 2 10" xfId="25834"/>
    <cellStyle name="40% - 强调文字颜色 3 2 2 2 7" xfId="25835"/>
    <cellStyle name="好 3 3 2 3" xfId="25836"/>
    <cellStyle name="常规 4 2 3 2 2 2" xfId="25837"/>
    <cellStyle name="60% - 强调文字颜色 4 2 2 3 4 2 2 2" xfId="25838"/>
    <cellStyle name="输出 2 2 7 2 2 2 2" xfId="25839"/>
    <cellStyle name="强调文字颜色 6 2 9" xfId="25840"/>
    <cellStyle name="常规 2 2 8 2" xfId="25841"/>
    <cellStyle name="计算 2 4 2 2 2 3 3" xfId="25842"/>
    <cellStyle name="计算 2 5 2 3 5 2" xfId="25843"/>
    <cellStyle name="40% - 强调文字颜色 3 3 3 4 2" xfId="25844"/>
    <cellStyle name="汇总 2 2 4 2 2 2 8" xfId="25845"/>
    <cellStyle name="常规 5 3 2 2 2 3" xfId="25846"/>
    <cellStyle name="汇总 2 2 9 6" xfId="25847"/>
    <cellStyle name="注释 3 2 2 7 2" xfId="25848"/>
    <cellStyle name="标题 5 3 4 2" xfId="25849"/>
    <cellStyle name="标题 5 2 2 2 4 2" xfId="25850"/>
    <cellStyle name="常规 11 4 5" xfId="25851"/>
    <cellStyle name="计算 4 2 3 3 2 2" xfId="25852"/>
    <cellStyle name="汇总 2 4 4 2 4" xfId="25853"/>
    <cellStyle name="输出 2 2 4 2 2 6 2" xfId="25854"/>
    <cellStyle name="适中 2 2 2 5 3" xfId="25855"/>
    <cellStyle name="差 3 3" xfId="25856"/>
    <cellStyle name="超链接 3 3 2 3 2" xfId="25857"/>
    <cellStyle name="计算 3 5" xfId="25858"/>
    <cellStyle name="常规 2 3 2" xfId="25859"/>
    <cellStyle name="输入 2 5 2 2 2 4 2 2" xfId="25860"/>
    <cellStyle name="输入 3 4 3 2" xfId="25861"/>
    <cellStyle name="注释 2 2 3 2 3 3" xfId="25862"/>
    <cellStyle name="计算" xfId="25863" builtinId="22"/>
    <cellStyle name="汇总 2 2 6 7 3" xfId="25864"/>
    <cellStyle name="强调文字颜色 4 2 6" xfId="25865"/>
    <cellStyle name="汇总 2 6 9 2" xfId="25866"/>
    <cellStyle name="强调文字颜色 1 2 6" xfId="25867"/>
    <cellStyle name="计算 2 8 5 3 2" xfId="25868"/>
    <cellStyle name="适中 2 3 2 6 2" xfId="25869"/>
    <cellStyle name="计算 2 2 4 2 2 2 2 2 2" xfId="25870"/>
    <cellStyle name="输出 2 2 4 2 2 2 3 2" xfId="25871"/>
    <cellStyle name="链接单元格 2 4 3 2 2 2" xfId="25872"/>
    <cellStyle name="标题 4 3 5 3" xfId="25873"/>
    <cellStyle name="输出 2 2 4 9" xfId="25874"/>
    <cellStyle name="计算 2 4 2 3 2 3" xfId="25875"/>
    <cellStyle name="好 3 2 4 2 3" xfId="25876"/>
    <cellStyle name="计算 2 3 2 2 3" xfId="25877"/>
    <cellStyle name="60% - 强调文字颜色 1 4 4 2" xfId="25878"/>
    <cellStyle name="输入 2 2 14 2" xfId="25879"/>
    <cellStyle name="常规 5 2 2 2 2 3 5" xfId="25880"/>
    <cellStyle name="20% - 强调文字颜色 5 2 4 3" xfId="25881"/>
    <cellStyle name="注释 2 6 2 3 2" xfId="25882"/>
    <cellStyle name="差 2 3 2 2" xfId="25883"/>
    <cellStyle name="强调文字颜色 4 2 2 2 3 2 3" xfId="25884"/>
    <cellStyle name="超链接 3 5 2 2 2" xfId="25885"/>
    <cellStyle name="计算 2 3 7 2" xfId="25886"/>
    <cellStyle name="常规 7 2 2 4 2 2 2" xfId="25887"/>
    <cellStyle name="40% - 强调文字颜色 3 2 2 7" xfId="25888"/>
    <cellStyle name="计算 2 2 2 2 5 2 2" xfId="25889"/>
    <cellStyle name="计算 2 2 4 5 5 2" xfId="25890"/>
    <cellStyle name="汇总 2 2 3 4 5" xfId="25891"/>
    <cellStyle name="警告文本 2 3 4 3 3" xfId="25892"/>
    <cellStyle name="输出 3 2 2 2 2 2 2" xfId="25893"/>
    <cellStyle name="强调文字颜色 4 2 3 2 5 2 2" xfId="25894"/>
    <cellStyle name="检查单元格 2 2 6 2 2" xfId="25895"/>
    <cellStyle name="标题 7 2 2 2 3" xfId="25896"/>
    <cellStyle name="输入 3 3 5 3" xfId="25897"/>
    <cellStyle name="解释性文本 2 4 3 2 2" xfId="25898"/>
    <cellStyle name="强调文字颜色 3 2 2 4 2 4" xfId="25899"/>
    <cellStyle name="汇总 3 2 2 3 3 3" xfId="25900"/>
    <cellStyle name="20% - 强调文字颜色 4 2 3 5" xfId="25901"/>
    <cellStyle name="注释 2 5 2 2 4" xfId="25902"/>
    <cellStyle name="汇总 2 5 2 4 5" xfId="25903"/>
    <cellStyle name="常规 10 5 2 5" xfId="25904"/>
    <cellStyle name="适中 2 2 3 5 2" xfId="25905"/>
    <cellStyle name="检查单元格 2 7 2 2 2" xfId="25906"/>
    <cellStyle name="注释 2 9 2" xfId="25907"/>
    <cellStyle name="计算 2 2 2 4 2 5" xfId="25908"/>
    <cellStyle name="计算 2 2 6 2 8" xfId="25909"/>
    <cellStyle name="汇总 2 2 5 8" xfId="25910"/>
    <cellStyle name="计算 2 6 2 5 3" xfId="25911"/>
    <cellStyle name="汇总 2 3 2 2 4 3" xfId="25912"/>
    <cellStyle name="链接单元格 2 2 2 2 4 2 2 2" xfId="25913"/>
    <cellStyle name="60% - 强调文字颜色 2 3 7" xfId="25914"/>
    <cellStyle name="超链接 2 5 2 2 3" xfId="25915"/>
    <cellStyle name="40% - 强调文字颜色 1 3 2" xfId="25916"/>
    <cellStyle name="强调文字颜色 2 2 2 2 2 4 3 2" xfId="25917"/>
    <cellStyle name="标题 2 2 3 3 5" xfId="25918"/>
    <cellStyle name="输出 2 5 3 2 2" xfId="25919"/>
    <cellStyle name="40% - 强调文字颜色 1 2 2 2 4 3 2" xfId="25920"/>
    <cellStyle name="适中 2 3 2 5 2 2" xfId="25921"/>
    <cellStyle name="注释 2 4 3 2" xfId="25922"/>
    <cellStyle name="20% - 强调文字颜色 4 3 6" xfId="25923"/>
    <cellStyle name="标题 8 2 2 2" xfId="25924"/>
    <cellStyle name="警告文本 2 4 4" xfId="25925"/>
    <cellStyle name="适中 3 2 2 2 2" xfId="25926"/>
    <cellStyle name="汇总 2 3 10 2" xfId="25927"/>
    <cellStyle name="链接单元格 2 2 2 4 2 3" xfId="25928"/>
    <cellStyle name="计算 2 2 5 7" xfId="25929"/>
    <cellStyle name="60% - 强调文字颜色 5 2 3 3 2 2 2 2 2" xfId="25930"/>
    <cellStyle name="计算 2 2 4 5 2 3 3" xfId="25931"/>
    <cellStyle name="计算 2 2 5 14" xfId="25932"/>
    <cellStyle name="强调文字颜色 3 2 2 2 5 2 2" xfId="25933"/>
    <cellStyle name="20% - 强调文字颜色 4 3 2 2 2 2 2" xfId="25934"/>
    <cellStyle name="常规 4 2 2 4 2" xfId="25935"/>
    <cellStyle name="汇总 2 2 2 2 12" xfId="25936"/>
    <cellStyle name="标题 4 6 2 3" xfId="25937"/>
    <cellStyle name="标题 2 2 4 2" xfId="25938"/>
    <cellStyle name="适中 2 4 3 2 2" xfId="25939"/>
    <cellStyle name="强调文字颜色 3 2 2 2 4 4" xfId="25940"/>
    <cellStyle name="计算 2 5 2 4 7" xfId="25941"/>
    <cellStyle name="输入 2 17" xfId="25942"/>
    <cellStyle name="强调文字颜色 3 2 2 2 6" xfId="25943"/>
    <cellStyle name="标题 3 2 2 7 2" xfId="25944"/>
    <cellStyle name="强调文字颜色 2 2 2 3 8" xfId="25945"/>
    <cellStyle name="常规 3 3" xfId="25946"/>
    <cellStyle name="计算 2 5 2 3 7" xfId="25947"/>
    <cellStyle name="注释 2 7 2 2" xfId="25948"/>
    <cellStyle name="标题 3 2 3 2 3 2 2 3" xfId="25949"/>
    <cellStyle name="计算 2 2 6 3 2 5" xfId="25950"/>
    <cellStyle name="输出 2 2 3 2 9 2" xfId="25951"/>
    <cellStyle name="适中 2 2 4 3 2 3" xfId="25952"/>
    <cellStyle name="常规 7 6 3 3" xfId="25953"/>
    <cellStyle name="计算 2 2 3 4 2 2" xfId="25954"/>
    <cellStyle name="输入 2 2 6 8" xfId="25955"/>
    <cellStyle name="输出 2 5 4 4 3" xfId="25956"/>
    <cellStyle name="强调文字颜色 6 2 5 2 3" xfId="25957"/>
    <cellStyle name="警告文本 2 2 3 3 3 2" xfId="25958"/>
    <cellStyle name="60% - 强调文字颜色 4 2 2" xfId="25959"/>
    <cellStyle name="常规 5 2 2 3" xfId="25960"/>
    <cellStyle name="常规 6 2 2 2 4 3 2" xfId="25961"/>
    <cellStyle name="常规 5 4 2 5 2" xfId="25962"/>
    <cellStyle name="输出 2 5 2 7 2" xfId="25963"/>
    <cellStyle name="计算 2 2 4 2 2 10" xfId="25964"/>
    <cellStyle name="计算 2 7 2 2 5 3" xfId="25965"/>
    <cellStyle name="输出 3 3 3 2 2" xfId="25966"/>
    <cellStyle name="强调文字颜色 5 2 2 3 5 2" xfId="25967"/>
    <cellStyle name="常规 5 2 2 2 2 2 3 2" xfId="25968"/>
    <cellStyle name="链接单元格 2 2 2 2 2 5" xfId="25969"/>
    <cellStyle name="计算 2 10 2 2 3" xfId="25970"/>
    <cellStyle name="超链接 3 2 4 3 3" xfId="25971"/>
    <cellStyle name="汇总 4 2 3 3 3" xfId="25972"/>
    <cellStyle name="常规 4 2 4 3 3 2 2" xfId="25973"/>
    <cellStyle name="输出 4 3" xfId="25974"/>
    <cellStyle name="输入 2 2 8 3 3 2" xfId="25975"/>
    <cellStyle name="输入 2 5 2 4 2 5" xfId="25976"/>
    <cellStyle name="注释 2 4 2 3 2 5" xfId="25977"/>
    <cellStyle name="常规 2 7 2 2 2" xfId="25978"/>
    <cellStyle name="超链接 2 6 4" xfId="25979"/>
    <cellStyle name="强调文字颜色 2 2 3 4 2 3" xfId="25980"/>
    <cellStyle name="标题 3 2 3 5 2 2 3" xfId="25981"/>
    <cellStyle name="好 3 2 4 2 2" xfId="25982"/>
    <cellStyle name="40% - 强调文字颜色 5 2 3 2 4 3 2 2" xfId="25983"/>
    <cellStyle name="计算 2 6 2 2 6" xfId="25984"/>
    <cellStyle name="输出 2 2 2 4 8" xfId="25985"/>
    <cellStyle name="注释 2 3 2 4 2 2" xfId="25986"/>
    <cellStyle name="20% - 强调文字颜色 2 2 5 3 2" xfId="25987"/>
    <cellStyle name="40% - 强调文字颜色 5 2 2 2 2 3 3 2" xfId="25988"/>
    <cellStyle name="汇总 2 5 4 2 3" xfId="25989"/>
    <cellStyle name="强调文字颜色 3 6 2" xfId="25990"/>
    <cellStyle name="输出 2 2 2 2 5 2" xfId="25991"/>
    <cellStyle name="常规 3 7 5 2" xfId="25992"/>
    <cellStyle name="强调文字颜色 3 2 7 2" xfId="25993"/>
    <cellStyle name="好 2 4 7" xfId="25994"/>
    <cellStyle name="强调文字颜色 2 2 2 2 2 4 2 3" xfId="25995"/>
    <cellStyle name="60% - 强调文字颜色 3 3 2 3" xfId="25996"/>
    <cellStyle name="标题 2 2 2 2 4" xfId="25997"/>
    <cellStyle name="超链接 2 4 4 3" xfId="25998"/>
    <cellStyle name="标题 3 3 7" xfId="25999"/>
    <cellStyle name="输出 2 5 2 3 2 2" xfId="26000"/>
    <cellStyle name="链接单元格 2 5 3 2" xfId="26001"/>
    <cellStyle name="注释 5 2 2 2 2" xfId="26002"/>
    <cellStyle name="60% - 强调文字颜色 1 2 4 3 2 2" xfId="26003"/>
    <cellStyle name="强调文字颜色 3 2 2 3 4 2 3" xfId="26004"/>
    <cellStyle name="差 2 3 6 3" xfId="26005"/>
    <cellStyle name="输出 2 7 2 7" xfId="26006"/>
    <cellStyle name="注释 2 2 3 2 3 5 2" xfId="26007"/>
    <cellStyle name="计算 3 2 3 4 3" xfId="26008"/>
    <cellStyle name="汇总 2 5 5 8" xfId="26009"/>
    <cellStyle name="常规 6 3 2 2 2 2 2 2 2" xfId="26010"/>
    <cellStyle name="汇总 2 4 2 4 2 3" xfId="26011"/>
    <cellStyle name="强调文字颜色 2 2 3 2 5 2 2" xfId="26012"/>
    <cellStyle name="常规 2 5 3 2" xfId="26013"/>
    <cellStyle name="解释性文本 2 2 3 5 2" xfId="26014"/>
    <cellStyle name="链接单元格 2 2 2 2 5 3" xfId="26015"/>
    <cellStyle name="20% - 强调文字颜色 5 2 2 6" xfId="26016"/>
    <cellStyle name="标题 1 5 2 2 2" xfId="26017"/>
    <cellStyle name="汇总 2 2 3 5 4" xfId="26018"/>
    <cellStyle name="汇总 2 11 4" xfId="26019"/>
    <cellStyle name="20% - 强调文字颜色 3 3 4" xfId="26020"/>
    <cellStyle name="计算 2 4 3 2 2 2 2" xfId="26021"/>
    <cellStyle name="20% - 强调文字颜色 4 2 2 5" xfId="26022"/>
    <cellStyle name="汇总 2 8 4 5" xfId="26023"/>
    <cellStyle name="20% - 强调文字颜色 6 2 2 2 2 2 2 2 2 2" xfId="26024"/>
    <cellStyle name="汇总 2 7 9 2" xfId="26025"/>
    <cellStyle name="60% - 强调文字颜色 1 2 6 3" xfId="26026"/>
    <cellStyle name="注释 5 4 2" xfId="26027"/>
    <cellStyle name="40% - 强调文字颜色 6 2 2 5 2" xfId="26028"/>
    <cellStyle name="输入 2 2 4 2 2 3 3" xfId="26029"/>
    <cellStyle name="计算 3 7" xfId="26030"/>
    <cellStyle name="输出 2 2 7 2 7" xfId="26031"/>
    <cellStyle name="汇总 2 5 13" xfId="26032"/>
    <cellStyle name="汇总" xfId="26033" builtinId="25"/>
    <cellStyle name="强调文字颜色 6 3 2 2 2" xfId="26034"/>
    <cellStyle name="20% - 强调文字颜色 5 2 2 2 3 3" xfId="26035"/>
    <cellStyle name="20% - 强调文字颜色 6 2 2 2 5 2 2 2" xfId="26036"/>
    <cellStyle name="60% - 强调文字颜色 4" xfId="26037" builtinId="44"/>
    <cellStyle name="计算 2 2 6 2 2 4 2" xfId="26038"/>
    <cellStyle name="适中 5 2" xfId="26039"/>
    <cellStyle name="计算 2 5 2 3 6" xfId="26040"/>
    <cellStyle name="汇总 2 3 2 2 8" xfId="26041"/>
    <cellStyle name="汇总 2 2 4 2 8 3" xfId="26042"/>
    <cellStyle name="计算 2 2 15 3" xfId="26043"/>
    <cellStyle name="60% - 强调文字颜色 6 2 2 3 4 2" xfId="26044"/>
    <cellStyle name="输入 2 5 3 2 2" xfId="26045"/>
    <cellStyle name="计算 2 5 2 2 2 2 5" xfId="26046"/>
    <cellStyle name="常规 6 3 2 3" xfId="26047"/>
    <cellStyle name="计算 3 6 2" xfId="26048"/>
    <cellStyle name="汇总 2 2 3 2 2 2 5" xfId="26049"/>
    <cellStyle name="40% - 强调文字颜色 4 2 4 5" xfId="26050"/>
    <cellStyle name="输入 2 2 4" xfId="26051"/>
    <cellStyle name="注释 2 2 2 2 7 2" xfId="26052"/>
    <cellStyle name="计算 2 3 12" xfId="26053"/>
    <cellStyle name="计算 3 3 3 3 3" xfId="26054"/>
    <cellStyle name="检查单元格 2 3 7" xfId="26055"/>
    <cellStyle name="超链接 3 3 2 2 3 2" xfId="26056"/>
    <cellStyle name="计算 2 3 2 3 7" xfId="26057"/>
    <cellStyle name="输出 2 4 2 4 3 2" xfId="26058"/>
    <cellStyle name="汇总 2 6 2 4 5" xfId="26059"/>
    <cellStyle name="注释 2 4 3 2 7" xfId="26060"/>
    <cellStyle name="20% - 强调文字颜色 3 2 4 4 2 2" xfId="26061"/>
    <cellStyle name="链接单元格 5 2 2" xfId="26062"/>
    <cellStyle name="常规 11 3 3 2" xfId="26063"/>
    <cellStyle name="计算 2 4 2 2 4 2" xfId="26064"/>
    <cellStyle name="输入 2 2 5 3 9" xfId="26065"/>
    <cellStyle name="强调文字颜色 5 2 4 2 2 3" xfId="26066"/>
    <cellStyle name="超链接 3 3 2 2 4" xfId="26067"/>
    <cellStyle name="差 2 2 2 2 4 4" xfId="26068"/>
    <cellStyle name="好 2 3 2 5 3" xfId="26069"/>
    <cellStyle name="输出 2 5 2 2 2 2 2" xfId="26070"/>
    <cellStyle name="强调文字颜色 4 2 2 4 2" xfId="26071"/>
    <cellStyle name="计算 2 2 5 2 12" xfId="26072"/>
    <cellStyle name="计算 2 3 4 2 3 2 2" xfId="26073"/>
    <cellStyle name="强调文字颜色 6 2 3 2 3 2 2 2" xfId="26074"/>
    <cellStyle name="输出 2 2 4 4 2 2" xfId="26075"/>
    <cellStyle name="好 3 2 2 3" xfId="26076"/>
    <cellStyle name="注释 2 2 3 4 2 6" xfId="26077"/>
    <cellStyle name="计算 2 2 5 2 3 4" xfId="26078"/>
    <cellStyle name="汇总 2 2 4 2 2 9" xfId="26079"/>
    <cellStyle name="解释性文本 2 4 5 2 2" xfId="26080"/>
    <cellStyle name="常规 3 3 3" xfId="26081"/>
    <cellStyle name="注释 8" xfId="26082"/>
    <cellStyle name="计算 2 2 6 3 3 2 2" xfId="26083"/>
    <cellStyle name="差 2 3 2 4 3" xfId="26084"/>
    <cellStyle name="汇总 2 2 3 2 2 4" xfId="26085"/>
    <cellStyle name="输入 2 8 3 2 4" xfId="26086"/>
    <cellStyle name="常规 7 2 2 4" xfId="26087"/>
    <cellStyle name="注释 2 8 2 2 3" xfId="26088"/>
    <cellStyle name="计算 2 5 8" xfId="26089"/>
    <cellStyle name="标题 1 2 5 3 2" xfId="26090"/>
    <cellStyle name="输出 2 7 5 2" xfId="26091"/>
    <cellStyle name="输出 3 2 5 2 2" xfId="26092"/>
    <cellStyle name="注释 2 3 2 5 2" xfId="26093"/>
    <cellStyle name="标题 1 4 3 2" xfId="26094"/>
    <cellStyle name="输入 2 2 4 4 5 3" xfId="26095"/>
    <cellStyle name="输入 2 2 8 7" xfId="26096"/>
    <cellStyle name="计算 2 2 3 2 2 4" xfId="26097"/>
    <cellStyle name="输入 2 2 19" xfId="26098"/>
    <cellStyle name="常规 6 4 2 3 2 2" xfId="26099"/>
    <cellStyle name="输入 2 2 13 2" xfId="26100"/>
    <cellStyle name="40% - 强调文字颜色 2 4 2 4" xfId="26101"/>
    <cellStyle name="输出 2 4 2 8 2 2" xfId="26102"/>
    <cellStyle name="汇总 2 2 3 2 3 2 3" xfId="26103"/>
    <cellStyle name="40% - 强调文字颜色 6 4" xfId="26104"/>
    <cellStyle name="汇总 2 7 8 2" xfId="26105"/>
    <cellStyle name="40% - 强调文字颜色 4 2 3 2 3 3" xfId="26106"/>
    <cellStyle name="汇总 2 2 6 3 2 2" xfId="26107"/>
    <cellStyle name="常规 2 3 2 3 3" xfId="26108"/>
    <cellStyle name="输出 2 3" xfId="26109"/>
    <cellStyle name="强调文字颜色 3 2 2 4 3 2 2 2" xfId="26110"/>
    <cellStyle name="强调文字颜色 3 2 2 3 6" xfId="26111"/>
    <cellStyle name="常规 4 2 2 2 3 4 2" xfId="26112"/>
    <cellStyle name="40% - 强调文字颜色 2 2 2 2 2 2 5 2" xfId="26113"/>
    <cellStyle name="警告文本 2 2 4 2 3" xfId="26114"/>
    <cellStyle name="计算 2 2 7 5 2 2" xfId="26115"/>
    <cellStyle name="输入 2 3 10 2" xfId="26116"/>
    <cellStyle name="常规 2 2 2 2 3 2" xfId="26117"/>
    <cellStyle name="汇总 2 2 4 5 2 4" xfId="26118"/>
    <cellStyle name="汇总 2 3 4 5 2" xfId="26119"/>
    <cellStyle name="差 2 2 6 4" xfId="26120"/>
    <cellStyle name="常规 5 4 6 2" xfId="26121"/>
    <cellStyle name="计算 2 5 2 3 4" xfId="26122"/>
    <cellStyle name="标题 3 2 3 2 2 2 2 2 2" xfId="26123"/>
    <cellStyle name="计算 3 2 2 5 2 2" xfId="26124"/>
    <cellStyle name="汇总 2 2 8 11" xfId="26125"/>
    <cellStyle name="常规 4 3 3 3 2" xfId="26126"/>
    <cellStyle name="输出 3 8 2" xfId="26127"/>
    <cellStyle name="解释性文本 2 3 2 2 2 2" xfId="26128"/>
    <cellStyle name="40% - 强调文字颜色 3 2 2 4" xfId="26129"/>
    <cellStyle name="好 4 3 2 2 2" xfId="26130"/>
    <cellStyle name="输入 2 5 3 2 6" xfId="26131"/>
    <cellStyle name="汇总 2 3 2 2 2 5 3" xfId="26132"/>
    <cellStyle name="注释 2 5 3 3 2 2" xfId="26133"/>
    <cellStyle name="20% - 强调文字颜色 3 3 5 2" xfId="26134"/>
    <cellStyle name="汇总 2 3 4 2 5" xfId="26135"/>
    <cellStyle name="汇总 2 2 4 8 2 2" xfId="26136"/>
    <cellStyle name="输出 3 3 3" xfId="26137"/>
    <cellStyle name="输出 2 3 2 3 4" xfId="26138"/>
    <cellStyle name="输出 2 2 4" xfId="26139"/>
    <cellStyle name="输出 2 2 7 4 2" xfId="26140"/>
    <cellStyle name="警告文本 2 4 2 2 2 3" xfId="26141"/>
    <cellStyle name="汇总 2 2 2 2 4 2 2 2" xfId="26142"/>
    <cellStyle name="60% - 强调文字颜色 3 2 2 2 5 2 2" xfId="26143"/>
    <cellStyle name="计算 2 7 2 2 2 4 2" xfId="26144"/>
    <cellStyle name="60% - 强调文字颜色 6 2 3 2 4 2 2" xfId="26145"/>
    <cellStyle name="适中 2 3 2 2" xfId="26146"/>
    <cellStyle name="输出 2 10 5" xfId="26147"/>
    <cellStyle name="计算 2 3 3 3 3 2 2" xfId="26148"/>
    <cellStyle name="常规 4 2 4" xfId="26149"/>
    <cellStyle name="输出 2 8 2 5" xfId="26150"/>
    <cellStyle name="汇总 2 2 8 5 2" xfId="26151"/>
    <cellStyle name="计算 2 2 3 2 2 5 2 2" xfId="26152"/>
    <cellStyle name="输出 3 2 2 2 2" xfId="26153"/>
    <cellStyle name="注释 3 4 2 2" xfId="26154"/>
    <cellStyle name="40% - 强调文字颜色 6 2 3 2 4" xfId="26155"/>
    <cellStyle name="输出 3 2 8 2" xfId="26156"/>
    <cellStyle name="输入 2 2 2 9 2" xfId="26157"/>
    <cellStyle name="输出 2 3 2 2 4" xfId="26158"/>
    <cellStyle name="注释 2 4 3 5" xfId="26159"/>
    <cellStyle name="60% - 强调文字颜色 3 2 3 4" xfId="26160"/>
    <cellStyle name="强调文字颜色 4 2 3 5 2 2 2" xfId="26161"/>
    <cellStyle name="强调文字颜色 4 2 2 3 2 2" xfId="26162"/>
    <cellStyle name="60% - 强调文字颜色 3 2 2 3 2 2 2 2" xfId="26163"/>
    <cellStyle name="计算 2 7 6 3 3" xfId="26164"/>
    <cellStyle name="标题 1 2 4 3 2 3" xfId="26165"/>
    <cellStyle name="汇总 2 2 3 4 2 5" xfId="26166"/>
    <cellStyle name="标题 3 2 2 2 3 3 2" xfId="26167"/>
    <cellStyle name="标题 1 2 9 2" xfId="26168"/>
    <cellStyle name="常规 5 3 2 6 3" xfId="26169"/>
    <cellStyle name="60% - 强调文字颜色 5 2 5 3" xfId="26170"/>
    <cellStyle name="汇总 2 2 5 4 4" xfId="26171"/>
    <cellStyle name="检查单元格 2 3 2 5 2" xfId="26172"/>
    <cellStyle name="强调文字颜色 4 2 2 2 2 2 2" xfId="26173"/>
    <cellStyle name="强调文字颜色 3 2 6 2" xfId="26174"/>
    <cellStyle name="注释 2 2 5 2 3 2" xfId="26175"/>
    <cellStyle name="输入 2 2 5 7 3" xfId="26176"/>
    <cellStyle name="强调文字颜色 4 2 2 2 2 3 2 2 2" xfId="26177"/>
    <cellStyle name="强调文字颜色 1 2 3 7" xfId="26178"/>
    <cellStyle name="注释 2 2 3 2 2 5" xfId="26179"/>
    <cellStyle name="链接单元格 2 2 3 2 2 2 2" xfId="26180"/>
    <cellStyle name="好 2 3 6 3" xfId="26181"/>
    <cellStyle name="常规 10 3 2 3 5" xfId="26182"/>
    <cellStyle name="计算 2 3 3 5 2" xfId="26183"/>
    <cellStyle name="汇总 2 2 2 2 11" xfId="26184"/>
    <cellStyle name="常规 4 5 5" xfId="26185"/>
    <cellStyle name="计算 2 2 2 4 8" xfId="26186"/>
    <cellStyle name="好 2 2 2 3 2 3" xfId="26187"/>
    <cellStyle name="常规 12 2 2 2" xfId="26188"/>
    <cellStyle name="40% - 强调文字颜色 4 2 7 2 2 2" xfId="26189"/>
    <cellStyle name="注释 2 4 4 2 6" xfId="26190"/>
    <cellStyle name="输出 2 4 3 2 2 2" xfId="26191"/>
    <cellStyle name="计算 2 6 2 7 2 2" xfId="26192"/>
    <cellStyle name="强调文字颜色 1 2 2 4 3 2 2" xfId="26193"/>
    <cellStyle name="输入 2 9 5 2 2" xfId="26194"/>
    <cellStyle name="汇总 2 2 3 2" xfId="26195"/>
    <cellStyle name="40% - 强调文字颜色 4 2 2 2 2 3 3" xfId="26196"/>
    <cellStyle name="40% - 强调文字颜色 3 3 2 4 2 2" xfId="26197"/>
    <cellStyle name="标题 3 2 2 3 2 3" xfId="26198"/>
    <cellStyle name="超链接 2 3 2 5" xfId="26199"/>
    <cellStyle name="20% - 强调文字颜色 6 2 3" xfId="26200"/>
    <cellStyle name="汇总 4 3 2 2 2" xfId="26201"/>
    <cellStyle name="常规 3 2 2 2 3 2 2" xfId="26202"/>
    <cellStyle name="输出 3 2 2 6 3" xfId="26203"/>
    <cellStyle name="注释 2 5 3 4 2 2" xfId="26204"/>
    <cellStyle name="汇总 2 8 2 2 3 3" xfId="26205"/>
    <cellStyle name="输入 2 2 4 5 8" xfId="26206"/>
    <cellStyle name="常规 12 2 2 3 4" xfId="26207"/>
    <cellStyle name="解释性文本 2 3 2 6" xfId="26208"/>
    <cellStyle name="输入 4 2 4 3" xfId="26209"/>
    <cellStyle name="百分比 2 2 6" xfId="26210"/>
    <cellStyle name="20% - 强调文字颜色 4 4" xfId="26211"/>
    <cellStyle name="常规 4 6 2 5" xfId="26212"/>
    <cellStyle name="强调文字颜色 1 2 5 2 2 2" xfId="26213"/>
    <cellStyle name="输出 4 9" xfId="26214"/>
    <cellStyle name="强调文字颜色 1 2 5" xfId="26215"/>
    <cellStyle name="强调文字颜色 1 2 3 2 4 3 2" xfId="26216"/>
    <cellStyle name="注释 2 2 3 2 4 3" xfId="26217"/>
    <cellStyle name="计算 2 3 2 2 9" xfId="26218"/>
    <cellStyle name="常规 5 4 2 3 3 2 2" xfId="26219"/>
    <cellStyle name="输出 3 3 5" xfId="26220"/>
    <cellStyle name="强调文字颜色 2 2 3 2 2" xfId="26221"/>
    <cellStyle name="常规 10 3 4 2 2" xfId="26222"/>
    <cellStyle name="差 2 2 3 8" xfId="26223"/>
    <cellStyle name="计算 2 7 3 2" xfId="26224"/>
    <cellStyle name="检查单元格 4 2" xfId="26225"/>
    <cellStyle name="汇总 2 2 8 2 2 3 2" xfId="26226"/>
    <cellStyle name="计算 2 3 2 2 2 2 3 2" xfId="26227"/>
    <cellStyle name="强调文字颜色 5 4 2 3" xfId="26228"/>
    <cellStyle name="超链接 2 4 5" xfId="26229"/>
    <cellStyle name="20% - 强调文字颜色 2 2 2 2 2 5 2 2" xfId="26230"/>
    <cellStyle name="链接单元格 3 2 4 2" xfId="26231"/>
    <cellStyle name="输入 2 4 2 10" xfId="26232"/>
    <cellStyle name="计算 2 3 2 3 2" xfId="26233"/>
    <cellStyle name="输出 2 2 3 2 2 2 4 2" xfId="26234"/>
    <cellStyle name="计算 2 15 3" xfId="26235"/>
    <cellStyle name="Normal 2 2" xfId="26236"/>
    <cellStyle name="常规 4 5 3 3 2 2" xfId="26237"/>
    <cellStyle name="计算 2 3 5 4 2" xfId="26238"/>
    <cellStyle name="汇总 2 2 4 2 4 2 2 2" xfId="26239"/>
    <cellStyle name="计算 2 2 11 2 2 2" xfId="26240"/>
    <cellStyle name="计算 2 2 3 2 2 6 2" xfId="26241"/>
    <cellStyle name="输出 2 4 2 2 3" xfId="26242"/>
    <cellStyle name="常规 2 2 2 2 5 2" xfId="26243"/>
    <cellStyle name="40% - 强调文字颜色 2 2 2 2 2 3 3" xfId="26244"/>
    <cellStyle name="注释 2 2 3 3 4 2 2" xfId="26245"/>
    <cellStyle name="输入 3 2 6 2" xfId="26246"/>
    <cellStyle name="强调文字颜色 6 2 3 3 6" xfId="26247"/>
    <cellStyle name="计算 2 2 3 4 9" xfId="26248"/>
    <cellStyle name="60% - 强调文字颜色 5 2 2 5 2 2 2" xfId="26249"/>
    <cellStyle name="超链接 2 3 2 3 3" xfId="26250"/>
    <cellStyle name="标题 5 2 4 3 4" xfId="26251"/>
    <cellStyle name="注释 2 6 2 2 7" xfId="26252"/>
    <cellStyle name="20% - 强调文字颜色 3 2 2 4 2 2 2 2" xfId="26253"/>
    <cellStyle name="输入 5 5 2" xfId="26254"/>
    <cellStyle name="20% - 强调文字颜色 6" xfId="26255" builtinId="50"/>
    <cellStyle name="汇总 2 2 7 2 3 3" xfId="26256"/>
    <cellStyle name="计算 2 6 2 2 2 2 2" xfId="26257"/>
    <cellStyle name="输入 2 5 2 2 5 2" xfId="26258"/>
    <cellStyle name="适中 2 2 3 7" xfId="26259"/>
    <cellStyle name="常规 5 2 2 2 2 3 3 2 2" xfId="26260"/>
    <cellStyle name="常规 5 2 8" xfId="26261"/>
    <cellStyle name="20% - 强调文字颜色 5 2 4 7" xfId="26262"/>
    <cellStyle name="百分比 2 3 3 3 2" xfId="26263"/>
    <cellStyle name="计算 2 2 10 6" xfId="26264"/>
    <cellStyle name="输出 2 8 2 3" xfId="26265"/>
    <cellStyle name="汇总 5 2 5 2" xfId="26266"/>
    <cellStyle name="标题 3 2 3 2 3 3 2" xfId="26267"/>
    <cellStyle name="强调文字颜色 4 2 2 3 7" xfId="26268"/>
    <cellStyle name="汇总 2 2 7 2 2 4" xfId="26269"/>
    <cellStyle name="计算 2 3 5 2 2" xfId="26270"/>
    <cellStyle name="好 2 2 2 3 2" xfId="26271"/>
    <cellStyle name="强调文字颜色 3 2 2" xfId="26272"/>
    <cellStyle name="汇总 2 2 3 3 4 3" xfId="26273"/>
    <cellStyle name="差 2 2 2 2 4 3 2" xfId="26274"/>
    <cellStyle name="汇总 2 6 3 2 8" xfId="26275"/>
    <cellStyle name="计算 2 2 10 2 3 2 2" xfId="26276"/>
    <cellStyle name="好 2 2 3 3 2 3" xfId="26277"/>
    <cellStyle name="计算 3 2 3 5 2" xfId="26278"/>
    <cellStyle name="强调文字颜色 5 2 2 4 3 3 2" xfId="26279"/>
    <cellStyle name="检查单元格 2 4 5 3" xfId="26280"/>
    <cellStyle name="输出 2 4 2 4 2" xfId="26281"/>
    <cellStyle name="注释 2 2 7 3 2 2" xfId="26282"/>
    <cellStyle name="警告文本 2 2 4 2 3 2" xfId="26283"/>
    <cellStyle name="适中 2 3 2 4 3 2" xfId="26284"/>
    <cellStyle name="输入 2 5 2 4 2 4" xfId="26285"/>
    <cellStyle name="汇总 2 5 5 2 3" xfId="26286"/>
    <cellStyle name="40% - 强调文字颜色 6 3 3 4 2" xfId="26287"/>
    <cellStyle name="计算 2 2 6 9 2" xfId="26288"/>
    <cellStyle name="标题 2 2 4 2 2 3" xfId="26289"/>
    <cellStyle name="20% - 强调文字颜色 2 2 3 2 4" xfId="26290"/>
    <cellStyle name="60% - 强调文字颜色 3 2 4 4 3" xfId="26291"/>
    <cellStyle name="检查单元格 2 2 2 5 2 2 2" xfId="26292"/>
    <cellStyle name="解释性文本 2 14" xfId="26293"/>
    <cellStyle name="解释性文本 2 2 3 2 3" xfId="26294"/>
    <cellStyle name="汇总 2 17 3" xfId="26295"/>
    <cellStyle name="输入 2 16 2" xfId="26296"/>
    <cellStyle name="强调文字颜色 3 2 2 2 4 3 2" xfId="26297"/>
    <cellStyle name="标题 6 2 3 3" xfId="26298"/>
    <cellStyle name="汇总 2 5 4 5 2" xfId="26299"/>
    <cellStyle name="计算 2 2 11 2 2" xfId="26300"/>
    <cellStyle name="计算 2 3 2 3 8" xfId="26301"/>
    <cellStyle name="汇总 2 4 11 2" xfId="26302"/>
    <cellStyle name="60% - 强调文字颜色 1 2 3 6" xfId="26303"/>
    <cellStyle name="计算 2 10 5 2 2" xfId="26304"/>
    <cellStyle name="输出 2 4 2 4 2 3" xfId="26305"/>
    <cellStyle name="计算 2 2 2 10" xfId="26306"/>
    <cellStyle name="注释 2 4 2 2 2 3 2 2" xfId="26307"/>
    <cellStyle name="汇总 2 2 4 4 3 2 2" xfId="26308"/>
    <cellStyle name="强调文字颜色 6 2 2 3 2" xfId="26309"/>
    <cellStyle name="计算 2 2 4 5 5 3" xfId="26310"/>
    <cellStyle name="汇总 2 2 3 10 3" xfId="26311"/>
    <cellStyle name="60% - 强调文字颜色 2 2 2 2 2 2 3 2" xfId="26312"/>
    <cellStyle name="强调文字颜色 3 2 2 2 3 2 3" xfId="26313"/>
    <cellStyle name="输入 2 2 3 8" xfId="26314"/>
    <cellStyle name="20% - 强调文字颜色 1 2 4 4 2 2" xfId="26315"/>
    <cellStyle name="标题 1 3 2 2 3 2 2 2" xfId="26316"/>
    <cellStyle name="输入 3 2 6 2 2" xfId="26317"/>
    <cellStyle name="强调文字颜色 1 2 2 3 4 2 3" xfId="26318"/>
    <cellStyle name="汇总 2 3 7 3" xfId="26319"/>
    <cellStyle name="40% - 强调文字颜色 6 2 3 2 4 3 2" xfId="26320"/>
    <cellStyle name="计算 2 3 3 2 3 2" xfId="26321"/>
    <cellStyle name="输出 2 5 4 2 2 3" xfId="26322"/>
    <cellStyle name="注释 2 2 3 6 2" xfId="26323"/>
    <cellStyle name="好 3 8" xfId="26324"/>
    <cellStyle name="汇总 2 5 6" xfId="26325"/>
    <cellStyle name="常规 4 5 2 3" xfId="26326"/>
    <cellStyle name="输出 2 5 2 3 5" xfId="26327"/>
    <cellStyle name="汇总 2 2 5 3 4 2" xfId="26328"/>
    <cellStyle name="强调文字颜色 4 2 3 6" xfId="26329"/>
    <cellStyle name="输入 2 2 5 2 2 2 4" xfId="26330"/>
    <cellStyle name="汇总 2 2 6 2 3 2" xfId="26331"/>
    <cellStyle name="超链接 3 3 3 2 3 2" xfId="26332"/>
    <cellStyle name="检查单元格 2 2 4 3 2 2 2" xfId="26333"/>
    <cellStyle name="汇总 2 2 5 2 3 4 2 2" xfId="26334"/>
    <cellStyle name="汇总 2 5 3 7 2" xfId="26335"/>
    <cellStyle name="好 2 5 2" xfId="26336"/>
    <cellStyle name="强调文字颜色 2 2 2 4 3 2 2" xfId="26337"/>
    <cellStyle name="标题 1 4 2 3 2 2 2" xfId="26338"/>
    <cellStyle name="标题 2 2 3 2 3 3" xfId="26339"/>
    <cellStyle name="检查单元格 2 2 5 2" xfId="26340"/>
    <cellStyle name="汇总 2 2 9 2 2 2 2" xfId="26341"/>
    <cellStyle name="输出 2 2 2 7 3" xfId="26342"/>
    <cellStyle name="强调文字颜色 4 2 4 9" xfId="26343"/>
    <cellStyle name="强调文字颜色 2 2 3 2 2 2 3" xfId="26344"/>
    <cellStyle name="输出 2 2 7 11" xfId="26345"/>
    <cellStyle name="输入 8 2" xfId="26346"/>
    <cellStyle name="常规 5 2 2 3 5 3" xfId="26347"/>
    <cellStyle name="汇总 2 3 2 3 7" xfId="26348"/>
    <cellStyle name="20% - 强调文字颜色 2 2 2 3 4 3 2" xfId="26349"/>
    <cellStyle name="常规 16 2 2 2 2" xfId="26350"/>
    <cellStyle name="强调文字颜色 6 4 5" xfId="26351"/>
    <cellStyle name="注释 2 2 6 2 2 3" xfId="26352"/>
    <cellStyle name="常规 13 3 3 4" xfId="26353"/>
    <cellStyle name="输出 2 2 3 5 8" xfId="26354"/>
    <cellStyle name="汇总 2 2 2 3 6 2 2" xfId="26355"/>
    <cellStyle name="计算 3 5 3" xfId="26356"/>
    <cellStyle name="汇总 3 5 2 2" xfId="26357"/>
    <cellStyle name="强调文字颜色 1 4 3 2" xfId="26358"/>
    <cellStyle name="汇总 2 7 2 2 8" xfId="26359"/>
    <cellStyle name="计算 2 3 3 4" xfId="26360"/>
    <cellStyle name="计算 2 4 4 5 2 2" xfId="26361"/>
    <cellStyle name="强调文字颜色 3 2 2 2 2 7" xfId="26362"/>
    <cellStyle name="汇总 2 2 5 2 2 3 3 3" xfId="26363"/>
    <cellStyle name="20% - 强调文字颜色 1 2 2 3 4" xfId="26364"/>
    <cellStyle name="40% - 强调文字颜色 6 3 4 2 2" xfId="26365"/>
    <cellStyle name="计算 2 5 5 4 3" xfId="26366"/>
    <cellStyle name="注释 2 2 5 2 3 2 2" xfId="26367"/>
    <cellStyle name="计算 2 5 2 2 5 3" xfId="26368"/>
    <cellStyle name="链接单元格 2 5 2 2 2" xfId="26369"/>
    <cellStyle name="强调文字颜色 3 2 2 7 2" xfId="26370"/>
    <cellStyle name="输入 2 2 3 2 3 2 2 2" xfId="26371"/>
    <cellStyle name="输入 2 5 2 2 2 4" xfId="26372"/>
    <cellStyle name="常规 10 3 2 2 2" xfId="26373"/>
    <cellStyle name="输出 2 2 7 3 6" xfId="26374"/>
    <cellStyle name="计算 3 2 4 2 2 2" xfId="26375"/>
    <cellStyle name="解释性文本 2 2 4 3 2 3" xfId="26376"/>
    <cellStyle name="输出 2 2 3 2 3 5 2" xfId="26377"/>
    <cellStyle name="强调文字颜色 3 2 5" xfId="26378"/>
    <cellStyle name="强调文字颜色 4 2 4 2" xfId="26379"/>
    <cellStyle name="常规 8 2 2 2 2" xfId="26380"/>
    <cellStyle name="40% - 强调文字颜色 5 2 2 2 2 4 3 2 2" xfId="26381"/>
    <cellStyle name="解释性文本 2 2 2 2 2 2 3" xfId="26382"/>
    <cellStyle name="汇总 3 4 5 2" xfId="26383"/>
    <cellStyle name="强调文字颜色 6 5 2 2" xfId="26384"/>
    <cellStyle name="20% - 强调文字颜色 5 2 2 6 2 2" xfId="26385"/>
    <cellStyle name="计算 2 7 2 3 3" xfId="26386"/>
    <cellStyle name="检查单元格 3 3 3" xfId="26387"/>
    <cellStyle name="标题 2 2 3 4 3 3" xfId="26388"/>
    <cellStyle name="强调文字颜色 4 2 2 2 4 2 2 2" xfId="26389"/>
    <cellStyle name="汇总 2 5 2 9" xfId="26390"/>
    <cellStyle name="常规 3 6 2 2 2" xfId="26391"/>
    <cellStyle name="警告文本 2 2 2 2 6 2 2" xfId="26392"/>
    <cellStyle name="输入 2 2 6 4" xfId="26393"/>
    <cellStyle name="计算 2 17 2" xfId="26394"/>
    <cellStyle name="输出 2 2 2 2 2 5 3" xfId="26395"/>
    <cellStyle name="汇总 2 9 2 4 2 2" xfId="26396"/>
    <cellStyle name="注释 3 2 10" xfId="26397"/>
    <cellStyle name="常规 5 4 2" xfId="26398"/>
    <cellStyle name="20% - 强调文字颜色 1 3 6 2" xfId="26399"/>
    <cellStyle name="好 2 7" xfId="26400"/>
    <cellStyle name="警告文本 2 2 2 2 3 4" xfId="26401"/>
    <cellStyle name="20% - 强调文字颜色 1 2 2 9 2" xfId="26402"/>
    <cellStyle name="强调文字颜色 5 3 2 4 2" xfId="26403"/>
    <cellStyle name="标题 1 2 2 3 6 2 2" xfId="26404"/>
    <cellStyle name="40% - 强调文字颜色 5 2 2 3 4" xfId="26405"/>
    <cellStyle name="检查单元格 2 3 2 3 2" xfId="26406"/>
    <cellStyle name="强调文字颜色 1 2 3 3 2 2" xfId="26407"/>
    <cellStyle name="标题 3 3 8" xfId="26408"/>
    <cellStyle name="注释 2 2 5 2 4 3" xfId="26409"/>
    <cellStyle name="注释 2 3 2 4" xfId="26410"/>
    <cellStyle name="输入 2 5 5 2 3" xfId="26411"/>
    <cellStyle name="20% - 强调文字颜色 5 2 2 2 5" xfId="26412"/>
    <cellStyle name="解释性文本 2 3 2" xfId="26413"/>
    <cellStyle name="差 2 2 2 2 4 3" xfId="26414"/>
    <cellStyle name="解释性文本 2 2 4 3 4" xfId="26415"/>
    <cellStyle name="汇总 2 2 4 3 5 2" xfId="26416"/>
    <cellStyle name="标题 3 2 3 2 2 5" xfId="26417"/>
    <cellStyle name="超链接 3 2 2 7" xfId="26418"/>
    <cellStyle name="输出 2 2 8" xfId="26419"/>
    <cellStyle name="注释 2 2 3 3 2 7" xfId="26420"/>
    <cellStyle name="20% - 强调文字颜色 2 2 2 4 4 2 2" xfId="26421"/>
    <cellStyle name="常规 2 2 2 4 3 2" xfId="26422"/>
    <cellStyle name="注释 2 4 10" xfId="26423"/>
    <cellStyle name="差 2 11" xfId="26424"/>
    <cellStyle name="输出 2 2 4 2 2 5 2" xfId="26425"/>
    <cellStyle name="60% - 强调文字颜色 6 2 2 3 5 3" xfId="26426"/>
    <cellStyle name="输入 2 5 10" xfId="26427"/>
    <cellStyle name="警告文本 2 3 2 4" xfId="26428"/>
    <cellStyle name="20% - 强调文字颜色 2 3 6 2" xfId="26429"/>
    <cellStyle name="计算 2 4 2 10" xfId="26430"/>
    <cellStyle name="输出 3" xfId="26431"/>
    <cellStyle name="计算 2 2 11 2 3" xfId="26432"/>
    <cellStyle name="汇总 2 2 4 2 4 2 3" xfId="26433"/>
    <cellStyle name="常规 10 2 3 4" xfId="26434"/>
    <cellStyle name="强调文字颜色 3 2 2 2 3 3 2" xfId="26435"/>
    <cellStyle name="计算 2 2 8 5 3 2" xfId="26436"/>
    <cellStyle name="60% - 强调文字颜色 6 2 6 2 2 2" xfId="26437"/>
    <cellStyle name="强调文字颜色 5 2 3 7" xfId="26438"/>
    <cellStyle name="检查单元格 2 2 3 2 2 2" xfId="26439"/>
    <cellStyle name="20% - 强调文字颜色 3 2 2 2" xfId="26440"/>
    <cellStyle name="输出 2 2 4 2 2 2 4" xfId="26441"/>
    <cellStyle name="适中 3 2 6" xfId="26442"/>
    <cellStyle name="警告文本 3 2 4" xfId="26443"/>
    <cellStyle name="输出 5 5 2 2" xfId="26444"/>
    <cellStyle name="20% - 强调文字颜色 1 2 2 2 2 2 3 3" xfId="26445"/>
    <cellStyle name="强调文字颜色 2 2 3 3 7" xfId="26446"/>
    <cellStyle name="输入 2 2 4 4 4 3" xfId="26447"/>
    <cellStyle name="汇总 2 2 2 4 2 6" xfId="26448"/>
    <cellStyle name="输入 2 5 3 3 2 2 2" xfId="26449"/>
    <cellStyle name="常规 2 2 3 5" xfId="26450"/>
    <cellStyle name="标题 2 2 2 3 7" xfId="26451"/>
    <cellStyle name="强调文字颜色 5 3 4 3" xfId="26452"/>
    <cellStyle name="汇总 2 8 5 3 2" xfId="26453"/>
    <cellStyle name="注释 2 2 2 2 3 5" xfId="26454"/>
    <cellStyle name="汇总 2 2 2 7 2" xfId="26455"/>
    <cellStyle name="输出 2 2 4 3 9" xfId="26456"/>
    <cellStyle name="检查单元格 2 2 4 6" xfId="26457"/>
    <cellStyle name="汇总 2 4 2" xfId="26458"/>
    <cellStyle name="注释 2 4 3 3 2 3" xfId="26459"/>
    <cellStyle name="注释 2 4 9 2" xfId="26460"/>
    <cellStyle name="汇总 2 5 2 2 6 2 2" xfId="26461"/>
    <cellStyle name="强调文字颜色 3 2 2 6 4" xfId="26462"/>
    <cellStyle name="汇总 2 2 6 3 2 6" xfId="26463"/>
    <cellStyle name="60% - 强调文字颜色 5 2 9" xfId="26464"/>
    <cellStyle name="强调文字颜色 3 2 2 2 2 5 3" xfId="26465"/>
    <cellStyle name="注释 2 2 14" xfId="26466"/>
    <cellStyle name="注释 2 2 3 5" xfId="26467"/>
    <cellStyle name="输出 2 2 4 5 2 2" xfId="26468"/>
    <cellStyle name="20% - 强调文字颜色 1 2 2 4 2 2 2" xfId="26469"/>
    <cellStyle name="计算 2 6 2 3 4 2" xfId="26470"/>
    <cellStyle name="强调文字颜色 3 2 2 4 3 3 2" xfId="26471"/>
    <cellStyle name="计算 2 7 3 5 2" xfId="26472"/>
    <cellStyle name="汇总 2 3 3 8" xfId="26473"/>
    <cellStyle name="检查单元格 2 4 3 2" xfId="26474"/>
    <cellStyle name="强调文字颜色 1 2 7" xfId="26475"/>
    <cellStyle name="40% - 强调文字颜色 1 2 2 2 6 2" xfId="26476"/>
    <cellStyle name="好 2 9" xfId="26477"/>
    <cellStyle name="注释 5 2" xfId="26478"/>
    <cellStyle name="汇总 2 2 4 4 3 3" xfId="26479"/>
    <cellStyle name="计算 2 4 4 2 2" xfId="26480"/>
    <cellStyle name="60% - 强调文字颜色 6 2 2 6 4" xfId="26481"/>
    <cellStyle name="常规 4 2 2 2 2 2 2" xfId="26482"/>
    <cellStyle name="适中 2 3 2 3 2" xfId="26483"/>
    <cellStyle name="计算 2 5 2 3 2 2 2 2" xfId="26484"/>
    <cellStyle name="计算 2 2 3 3 3 2 3" xfId="26485"/>
    <cellStyle name="注释 2 2 4 4 3 3" xfId="26486"/>
    <cellStyle name="20% - 强调文字颜色 4 2 3 3 2 2 2" xfId="26487"/>
    <cellStyle name="警告文本 4 4" xfId="26488"/>
    <cellStyle name="计算 2 9 5 2 2" xfId="26489"/>
    <cellStyle name="强调文字颜色 5 2 4 6" xfId="26490"/>
    <cellStyle name="汇总 3 4 2 2" xfId="26491"/>
    <cellStyle name="常规 6 2 3 2 3" xfId="26492"/>
    <cellStyle name="汇总 2 2 2 9 3" xfId="26493"/>
    <cellStyle name="标题 6 2 2 2 3" xfId="26494"/>
    <cellStyle name="60% - 强调文字颜色 5 2 4 5 2 2" xfId="26495"/>
    <cellStyle name="20% - 强调文字颜色 4 2 3 3 3 2" xfId="26496"/>
    <cellStyle name="注释 2 5 2 2 2 3 2" xfId="26497"/>
    <cellStyle name="强调文字颜色 5 2 2 4 3 4" xfId="26498"/>
    <cellStyle name="标题 4 2 3 2 2 3 3" xfId="26499"/>
    <cellStyle name="常规 4 3 2 2 4 2" xfId="26500"/>
    <cellStyle name="汇总 2 2 4 2 4 6" xfId="26501"/>
    <cellStyle name="计算 2 2 11 6" xfId="26502"/>
    <cellStyle name="标题 2 3 3 3 2 2 2" xfId="26503"/>
    <cellStyle name="强调文字颜色 5 2 3 2 2 2" xfId="26504"/>
    <cellStyle name="输入 2 2 3 5" xfId="26505"/>
    <cellStyle name="计算 2 2 7 8 2 2" xfId="26506"/>
    <cellStyle name="计算 4 3 5 2" xfId="26507"/>
    <cellStyle name="汇总 2 2 6 8" xfId="26508"/>
    <cellStyle name="汇总 2 2 2 6 4 2" xfId="26509"/>
    <cellStyle name="计算 2 2 4 2 2 2 4 3" xfId="26510"/>
    <cellStyle name="40% - 强调文字颜色 2 2 2 4 5 2 2" xfId="26511"/>
    <cellStyle name="好 5 2" xfId="26512"/>
    <cellStyle name="计算 2 2 7 3 2 2 2 2" xfId="26513"/>
    <cellStyle name="输出 2 10 2 3" xfId="26514"/>
    <cellStyle name="汇总 2 2 9 2 2" xfId="26515"/>
    <cellStyle name="60% - 强调文字颜色 3 2 3 2 3 2 2 2" xfId="26516"/>
    <cellStyle name="60% - 强调文字颜色 3 3 5" xfId="26517"/>
    <cellStyle name="60% - 强调文字颜色 4 4 3 2 2 2" xfId="26518"/>
    <cellStyle name="40% - 强调文字颜色 1 2 2 4 2 2 2 2" xfId="26519"/>
    <cellStyle name="常规 5 6 3 5" xfId="26520"/>
    <cellStyle name="好 2 2 7" xfId="26521"/>
    <cellStyle name="汇总 2 6 3 4" xfId="26522"/>
    <cellStyle name="输出 2 5 3 9" xfId="26523"/>
    <cellStyle name="输出 2 8 2" xfId="26524"/>
    <cellStyle name="汇总 2 5 4 7 2" xfId="26525"/>
    <cellStyle name="好 4 2 3 2 3" xfId="26526"/>
    <cellStyle name="输入 5 2 4" xfId="26527"/>
    <cellStyle name="警告文本 3 4 3" xfId="26528"/>
    <cellStyle name="常规 9 6 2 3" xfId="26529"/>
    <cellStyle name="输入 2 5 3 3 2 3" xfId="26530"/>
    <cellStyle name="解释性文本 2 6 4" xfId="26531"/>
    <cellStyle name="常规 4 2 3 2 3" xfId="26532"/>
    <cellStyle name="输出 2 5 2 3 2" xfId="26533"/>
    <cellStyle name="检查单元格 2 4 6" xfId="26534"/>
    <cellStyle name="汇总 2 2 4 3 2 5 2 2" xfId="26535"/>
    <cellStyle name="输出 2 5 3 3 3" xfId="26536"/>
    <cellStyle name="链接单元格 2 2 3 5 3" xfId="26537"/>
    <cellStyle name="40% - 强调文字颜色 6 3 2 4" xfId="26538"/>
    <cellStyle name="输出 2 7 11" xfId="26539"/>
    <cellStyle name="检查单元格 2 5 3" xfId="26540"/>
    <cellStyle name="20% - 强调文字颜色 3 3 3 3 2 2" xfId="26541"/>
    <cellStyle name="注释 2 4 3 2 2 2 2" xfId="26542"/>
    <cellStyle name="注释 2 4 2 2 2 7" xfId="26543"/>
    <cellStyle name="输入 2 3 8 3" xfId="26544"/>
    <cellStyle name="计算 2 6 2 2 3" xfId="26545"/>
    <cellStyle name="40% - 强调文字颜色 6 2 3 2 5" xfId="26546"/>
    <cellStyle name="汇总 2 9 3 3 2 2" xfId="26547"/>
    <cellStyle name="标题 1 2 4 8" xfId="26548"/>
    <cellStyle name="输出 2 6 2 5 2 2" xfId="26549"/>
    <cellStyle name="输入 2 10 2 2 2" xfId="26550"/>
    <cellStyle name="40% - 强调文字颜色 2 2 2 4 4 2 2" xfId="26551"/>
    <cellStyle name="汇总 2 6 2 4 2 2 2" xfId="26552"/>
    <cellStyle name="计算 2 7 3 2 4 2" xfId="26553"/>
    <cellStyle name="40% - 强调文字颜色 6 2 2 2 2 2 3 3 2 2" xfId="26554"/>
    <cellStyle name="标题 2 2 4 3 2 2 2" xfId="26555"/>
    <cellStyle name="强调文字颜色 2 4 4" xfId="26556"/>
    <cellStyle name="常规 10 5 5" xfId="26557"/>
    <cellStyle name="适中 3 3 2" xfId="26558"/>
    <cellStyle name="标题 6 5 2 2 2" xfId="26559"/>
    <cellStyle name="标题 2 2 2 5 4" xfId="26560"/>
    <cellStyle name="60% - 强调文字颜色 3 2 2 2 4 3" xfId="26561"/>
    <cellStyle name="汇总 2 2 4 2 8 2" xfId="26562"/>
    <cellStyle name="20% - 强调文字颜色 6 2 4 4 3" xfId="26563"/>
    <cellStyle name="标题 4 2 2 2 9" xfId="26564"/>
    <cellStyle name="计算 2 2 15 2" xfId="26565"/>
    <cellStyle name="20% - 强调文字颜色 1 3 2 4" xfId="26566"/>
    <cellStyle name="汇总 3 3 3 2 3" xfId="26567"/>
    <cellStyle name="注释 2 4 2 2 2 3 3" xfId="26568"/>
    <cellStyle name="标题 5 3 2 3 2 2 2" xfId="26569"/>
    <cellStyle name="输入 2 5 3 3 4" xfId="26570"/>
    <cellStyle name="适中 2 4 6 2 2" xfId="26571"/>
    <cellStyle name="注释 3 4 3 2" xfId="26572"/>
    <cellStyle name="常规 4 2 3 3" xfId="26573"/>
    <cellStyle name="链接单元格 2 2 3 7" xfId="26574"/>
    <cellStyle name="常规 4 2 5 3 2 2" xfId="26575"/>
    <cellStyle name="标题 1 2 4 7" xfId="26576"/>
    <cellStyle name="强调文字颜色 5 2 2 2 4 2 2 2" xfId="26577"/>
    <cellStyle name="汇总 4 6 3" xfId="26578"/>
    <cellStyle name="汇总 2 3 2 2 2 6 2" xfId="26579"/>
    <cellStyle name="输出 3 2 2 5 2 2" xfId="26580"/>
    <cellStyle name="输出 2 4 4 2 3 2" xfId="26581"/>
    <cellStyle name="差 2 2 2 3" xfId="26582"/>
    <cellStyle name="60% - 强调文字颜色 2 6 2 2" xfId="26583"/>
    <cellStyle name="60% - 强调文字颜色 1 2 3 4 3 2 2" xfId="26584"/>
    <cellStyle name="输入 3 2 4 3" xfId="26585"/>
    <cellStyle name="输出 2 2 3 2 3 2 2 2" xfId="26586"/>
    <cellStyle name="计算 3 2 8 2" xfId="26587"/>
    <cellStyle name="计算 2 2 2 2 2 2 2 2 2 2" xfId="26588"/>
    <cellStyle name="输出 2 2 2 10" xfId="26589"/>
    <cellStyle name="输出 2 2 3 3 5 3" xfId="26590"/>
    <cellStyle name="注释 2 2 2 4" xfId="26591"/>
    <cellStyle name="60% - 强调文字颜色 3 2 2 2 4 2 2 2" xfId="26592"/>
    <cellStyle name="40% - 强调文字颜色 3 3 3 4" xfId="26593"/>
    <cellStyle name="解释性文本 2 2 2 4 2 2 2" xfId="26594"/>
    <cellStyle name="强调文字颜色 5 2 3 5 2" xfId="26595"/>
    <cellStyle name="好 2 4 2" xfId="26596"/>
    <cellStyle name="20% - 强调文字颜色 6 2 2 3 4 3" xfId="26597"/>
    <cellStyle name="标题 1 2 2 2 2 4 2 3" xfId="26598"/>
    <cellStyle name="计算 2 4 3 6 3" xfId="26599"/>
    <cellStyle name="无色 5 2" xfId="26600"/>
    <cellStyle name="计算 2 2 7 3 2 2" xfId="26601"/>
    <cellStyle name="输出 2 5 3 3 2" xfId="26602"/>
    <cellStyle name="输入 2 2 2 2 3" xfId="26603"/>
    <cellStyle name="输出 3 2 2 5 2" xfId="26604"/>
    <cellStyle name="计算 2 4 3 2 4 2 2" xfId="26605"/>
    <cellStyle name="注释 2 3 2 2 3" xfId="26606"/>
    <cellStyle name="计算 4 2 2" xfId="26607"/>
    <cellStyle name="标题 3 2 3 2 2 3 3" xfId="26608"/>
    <cellStyle name="输出 2 7 2 4" xfId="26609"/>
    <cellStyle name="计算 2 3 3 3 3" xfId="26610"/>
    <cellStyle name="输入 2 2 2 3 2 2 2" xfId="26611"/>
    <cellStyle name="好 2 2 2 3 2 2 2" xfId="26612"/>
    <cellStyle name="输入 2 2 4 4 5 2" xfId="26613"/>
    <cellStyle name="60% - 强调文字颜色 1 4 4" xfId="26614"/>
    <cellStyle name="汇总 2 2 6 10" xfId="26615"/>
    <cellStyle name="40% - 强调文字颜色 1 2 7 2 2 2" xfId="26616"/>
    <cellStyle name="超链接 3 5 4 2 2" xfId="26617"/>
    <cellStyle name="标题 5 2 3 2 2 2 2 2" xfId="26618"/>
    <cellStyle name="标题 1 2 4 4 3" xfId="26619"/>
    <cellStyle name="常规 5 2 2 2 2" xfId="26620"/>
    <cellStyle name="汇总 2 3 6 5" xfId="26621"/>
    <cellStyle name="警告文本 2 2 2 2 3 3" xfId="26622"/>
    <cellStyle name="汇总 2 2 2 2 2 2 2 3 3" xfId="26623"/>
    <cellStyle name="40% - 强调文字颜色 2 2 3 2 2 2 2" xfId="26624"/>
    <cellStyle name="适中 2 6 2" xfId="26625"/>
    <cellStyle name="计算 2 2 4 2 2 2 2 6" xfId="26626"/>
    <cellStyle name="输出 2 2 2 13" xfId="26627"/>
    <cellStyle name="输出 2 5 2 5 2 2" xfId="26628"/>
    <cellStyle name="汇总 2 2 4 6 2 3" xfId="26629"/>
    <cellStyle name="汇总 2 2 4 2 4 5 2" xfId="26630"/>
    <cellStyle name="常规 10 2 6 3" xfId="26631"/>
    <cellStyle name="输出 3 4 5" xfId="26632"/>
    <cellStyle name="汇总 2 2 5 3 3" xfId="26633"/>
    <cellStyle name="20% - 强调文字颜色 3 2 2 4 2 3 2" xfId="26634"/>
    <cellStyle name="汇总 2 2 4 5 2 3 2" xfId="26635"/>
    <cellStyle name="解释性文本 2 7" xfId="26636"/>
    <cellStyle name="计算 2 7 6 2 2 2" xfId="26637"/>
    <cellStyle name="40% - 强调文字颜色 3 2 2 2 6 2 2 2" xfId="26638"/>
    <cellStyle name="计算 2 8 5 5" xfId="26639"/>
    <cellStyle name="60% - 强调文字颜色 4 3 2 2 3 2 2 2" xfId="26640"/>
    <cellStyle name="输入 2 2 8 2 2 5" xfId="26641"/>
    <cellStyle name="标题 2 2 3 6 2 2 2" xfId="26642"/>
    <cellStyle name="60% - 强调文字颜色 6 2 2 10" xfId="26643"/>
    <cellStyle name="汇总 2 2 7 5 3 2" xfId="26644"/>
    <cellStyle name="汇总 2 3 4 2 2 2 2" xfId="26645"/>
    <cellStyle name="20% - 强调文字颜色 3 3 6 2" xfId="26646"/>
    <cellStyle name="计算 2 5 10 3" xfId="26647"/>
    <cellStyle name="常规 3 2 2 4 3" xfId="26648"/>
    <cellStyle name="适中 2 2 2 2 2 2 2 3" xfId="26649"/>
    <cellStyle name="输出 2 4 3 2 8" xfId="26650"/>
    <cellStyle name="汇总 2 3 2 2 3 5" xfId="26651"/>
    <cellStyle name="汇总 2 3 5 3" xfId="26652"/>
    <cellStyle name="输出 2 2 3 3 2 3 2" xfId="26653"/>
    <cellStyle name="输入 5 2 2 2 2" xfId="26654"/>
    <cellStyle name="常规 14 6" xfId="26655"/>
    <cellStyle name="计算 3 2 2 6 2 2" xfId="26656"/>
    <cellStyle name="好 6 2 2" xfId="26657"/>
    <cellStyle name="60% - 强调文字颜色 1 4 3 2 2" xfId="26658"/>
    <cellStyle name="计算 2 2 10 2 4" xfId="26659"/>
    <cellStyle name="60% - 强调文字颜色 4 2 4 3 2 2 2" xfId="26660"/>
    <cellStyle name="常规 3 3 3 4 2" xfId="26661"/>
    <cellStyle name="注释 2 4 3 2 4 2" xfId="26662"/>
    <cellStyle name="注释 2 7 2 5" xfId="26663"/>
    <cellStyle name="差 2 2 2 2 2 2 2 3" xfId="26664"/>
    <cellStyle name="40% - 强调文字颜色 4 2 3 6" xfId="26665"/>
    <cellStyle name="计算 2 2 5 2 4 3" xfId="26666"/>
    <cellStyle name="汇总 2 2 3 3 2 7" xfId="26667"/>
    <cellStyle name="警告文本 2 2 4 3 3 2" xfId="26668"/>
    <cellStyle name="输入 2 5 2 3 2 2" xfId="26669"/>
    <cellStyle name="注释 3 3 2" xfId="26670"/>
    <cellStyle name="汇总 2 6 2 3 6" xfId="26671"/>
    <cellStyle name="警告文本 2 5 2" xfId="26672"/>
    <cellStyle name="警告文本 2 2 5 3 3" xfId="26673"/>
    <cellStyle name="60% - 强调文字颜色 6 2 7 3" xfId="26674"/>
    <cellStyle name="注释 2 2 4 4 4 2" xfId="26675"/>
    <cellStyle name="输出 2 2 3 2 2 3 3 2" xfId="26676"/>
    <cellStyle name="常规 6 5 3 2" xfId="26677"/>
    <cellStyle name="超链接 3 3 2 2 2 3" xfId="26678"/>
    <cellStyle name="解释性文本 2 2 6 2" xfId="26679"/>
    <cellStyle name="注释 2 3 3 6" xfId="26680"/>
    <cellStyle name="强调文字颜色 3 2 2 5 3 2" xfId="26681"/>
    <cellStyle name="40% - 强调文字颜色 1 2 2 2 3 3" xfId="26682"/>
    <cellStyle name="常规 10 2 2 2 6" xfId="26683"/>
    <cellStyle name="常规 2 2 2 2 4 3 2" xfId="26684"/>
    <cellStyle name="常规 4 2 2 6 2" xfId="26685"/>
    <cellStyle name="常规 5 2 3 2 3" xfId="26686"/>
    <cellStyle name="强调文字颜色 4 3 2 4 2" xfId="26687"/>
    <cellStyle name="40% - 强调文字颜色 6 2 2 2 3 5" xfId="26688"/>
    <cellStyle name="标题 3 2 6 2 2 2" xfId="26689"/>
    <cellStyle name="60% - 强调文字颜色 1 2 2 5" xfId="26690"/>
    <cellStyle name="常规 2 2 2 2 4 2 2 2" xfId="26691"/>
    <cellStyle name="适中 2 6 2 3" xfId="26692"/>
    <cellStyle name="注释 2 5 2 4 2 2" xfId="26693"/>
    <cellStyle name="输入 2 4 2 2 2 4" xfId="26694"/>
    <cellStyle name="输出 2 7 2 2" xfId="26695"/>
    <cellStyle name="汇总 2 8 4 4" xfId="26696"/>
    <cellStyle name="输出 2 3 2 3 2 3" xfId="26697"/>
    <cellStyle name="输出 2 2 5 6 2" xfId="26698"/>
    <cellStyle name="汇总 2 2 5 4 2 2 2 2" xfId="26699"/>
    <cellStyle name="常规 2 3 5 2 2" xfId="26700"/>
    <cellStyle name="标题 3 3 2 5" xfId="26701"/>
    <cellStyle name="注释 2 7 7" xfId="26702"/>
    <cellStyle name="标题 2 2 3 2 2 3 2" xfId="26703"/>
    <cellStyle name="常规 6 4 2 3 2" xfId="26704"/>
    <cellStyle name="常规 2 2 2 2 5" xfId="26705"/>
    <cellStyle name="计算 2 5 4 5 2 2" xfId="26706"/>
    <cellStyle name="警告文本 3 5" xfId="26707"/>
    <cellStyle name="注释 2 3 3 2 5" xfId="26708"/>
    <cellStyle name="标题 1 2 3 3 2" xfId="26709"/>
    <cellStyle name="常规 9 2 2 2 3 2 2" xfId="26710"/>
    <cellStyle name="强调文字颜色 6 2 2 3 7" xfId="26711"/>
    <cellStyle name="超链接 3 2 2 2 2 3" xfId="26712"/>
    <cellStyle name="强调文字颜色 5 2 3 3 6" xfId="26713"/>
    <cellStyle name="60% - 强调文字颜色 4 3 9" xfId="26714"/>
    <cellStyle name="计算 3 4 3" xfId="26715"/>
    <cellStyle name="20% - 强调文字颜色 3 2 2 4 3 3" xfId="26716"/>
    <cellStyle name="常规 4 3 3 4 3" xfId="26717"/>
    <cellStyle name="标题 3 2 2 2 3 2 2 3" xfId="26718"/>
    <cellStyle name="常规 3 3 3 5 2" xfId="26719"/>
    <cellStyle name="解释性文本 5 2" xfId="26720"/>
    <cellStyle name="汇总 2 2 2 2 4 3" xfId="26721"/>
    <cellStyle name="输入 2 5 3" xfId="26722"/>
    <cellStyle name="输出 2 3 11" xfId="26723"/>
    <cellStyle name="常规 16 3 2" xfId="26724"/>
    <cellStyle name="60% - 强调文字颜色 2 2 5" xfId="26725"/>
    <cellStyle name="输入 2 7 3 4 2" xfId="26726"/>
    <cellStyle name="注释 3 3 6 2" xfId="26727"/>
    <cellStyle name="输出 2 4 3 5 2 2" xfId="26728"/>
    <cellStyle name="计算 2 5 2 3 2 3 2 2" xfId="26729"/>
    <cellStyle name="汇总 4 4 4 2" xfId="26730"/>
    <cellStyle name="汇总 2 2 3 2 12" xfId="26731"/>
    <cellStyle name="强调文字颜色 3 2 5 2 2 2" xfId="26732"/>
    <cellStyle name="汇总 2 2 5 4 2 3 2" xfId="26733"/>
    <cellStyle name="计算 4 2 2 3 2 2" xfId="26734"/>
    <cellStyle name="常规 3 3 8 2" xfId="26735"/>
    <cellStyle name="20% - 强调文字颜色 1 2 5 3 3" xfId="26736"/>
    <cellStyle name="汇总 2 2 3 3 2 3 2" xfId="26737"/>
    <cellStyle name="计算 2 11 6" xfId="26738"/>
    <cellStyle name="强调文字颜色 6 2 2 2 6" xfId="26739"/>
    <cellStyle name="输入 2 9 2" xfId="26740"/>
    <cellStyle name="计算 2 3 2 10 2" xfId="26741"/>
    <cellStyle name="计算 2 10 2" xfId="26742"/>
    <cellStyle name="常规 8 6 2 2" xfId="26743"/>
    <cellStyle name="标题 1 6 2" xfId="26744"/>
    <cellStyle name="差 3 2 2 2 2 2" xfId="26745"/>
    <cellStyle name="标题 2 2 3 6 3" xfId="26746"/>
    <cellStyle name="差 2 2 2 3 2 2 2 2 2" xfId="26747"/>
    <cellStyle name="汇总 2 5 3 2 2 2" xfId="26748"/>
    <cellStyle name="常规 3 3 4 3 2 2" xfId="26749"/>
    <cellStyle name="汇总 2 2 5 2 3 3 2 2" xfId="26750"/>
    <cellStyle name="汇总 2 2 5 2 2 2 6" xfId="26751"/>
    <cellStyle name="汇总 2 5 2 7 2" xfId="26752"/>
    <cellStyle name="输入 2 2 9 2 4" xfId="26753"/>
    <cellStyle name="汇总 2 2 5 10 3" xfId="26754"/>
    <cellStyle name="计算 2 2 6 3 9" xfId="26755"/>
    <cellStyle name="汇总 2 2 6 9" xfId="26756"/>
    <cellStyle name="输入 2 2 2 6" xfId="26757"/>
    <cellStyle name="汇总 2 5 2 2 3 2" xfId="26758"/>
    <cellStyle name="注释 2 2 7 2 2 4" xfId="26759"/>
    <cellStyle name="60% - 强调文字颜色 6 2 2 6 3 2" xfId="26760"/>
    <cellStyle name="输入 2 5 4 4 2 2" xfId="26761"/>
    <cellStyle name="超链接 3 3 4 5" xfId="26762"/>
    <cellStyle name="强调文字颜色 5 2 2 3 2 2 2" xfId="26763"/>
    <cellStyle name="20% - 强调文字颜色 3 2 2 2 2 2 4 2" xfId="26764"/>
    <cellStyle name="输入 2 5 2 8 2" xfId="26765"/>
    <cellStyle name="强调文字颜色 2 3 5" xfId="26766"/>
    <cellStyle name="输出 2 2 3 2 2 6 2" xfId="26767"/>
    <cellStyle name="计算 2 2 5 4 6 2" xfId="26768"/>
    <cellStyle name="汇总 2 2 3 2 2" xfId="26769"/>
    <cellStyle name="标题 3 2 3 3 4" xfId="26770"/>
    <cellStyle name="检查单元格 2 3 2 4 2 2" xfId="26771"/>
    <cellStyle name="20% - 强调文字颜色 5 3 5 2" xfId="26772"/>
    <cellStyle name="注释 5" xfId="26773"/>
    <cellStyle name="汇总 2 4 2 2 3 2 2" xfId="26774"/>
    <cellStyle name="标题 1 2 4 2 2 3" xfId="26775"/>
    <cellStyle name="汇总 2 2 4 2 3 5 2 2" xfId="26776"/>
    <cellStyle name="汇总 2 2 3 3 2 5" xfId="26777"/>
    <cellStyle name="检查单元格 2 3 5 2 2 2" xfId="26778"/>
    <cellStyle name="计算 2 3 4 3 2 2" xfId="26779"/>
    <cellStyle name="强调文字颜色 4 2 3 2 4 2 2 2" xfId="26780"/>
    <cellStyle name="20% - 强调文字颜色 6 3 2 4" xfId="26781"/>
    <cellStyle name="标题 1 2 2 2 2 4 2" xfId="26782"/>
    <cellStyle name="解释性文本 2 4 4 4" xfId="26783"/>
    <cellStyle name="20% - 强调文字颜色 6 2 8" xfId="26784"/>
    <cellStyle name="适中" xfId="26785" builtinId="28"/>
    <cellStyle name="常规 8 2 2 3" xfId="26786"/>
    <cellStyle name="汇总 2 10 5 2 2" xfId="26787"/>
    <cellStyle name="注释 2 2 3 6" xfId="26788"/>
    <cellStyle name="标题 5 2 4 3 2 2" xfId="26789"/>
    <cellStyle name="输入 7" xfId="26790"/>
    <cellStyle name="标题 7 4 2 2" xfId="26791"/>
    <cellStyle name="计算 2 2 6 11 2" xfId="26792"/>
    <cellStyle name="汇总 2 9 2 3 2 2" xfId="26793"/>
    <cellStyle name="适中 2 2 3 5 3" xfId="26794"/>
    <cellStyle name="计算 2 2 4 6 2" xfId="26795"/>
    <cellStyle name="计算 2 2 4 5 2 2 2 2" xfId="26796"/>
    <cellStyle name="强调文字颜色 2 2 3 6 2" xfId="26797"/>
    <cellStyle name="汇总 2 5 5 2 5" xfId="26798"/>
    <cellStyle name="解释性文本 2 6 2 3" xfId="26799"/>
    <cellStyle name="汇总 2 2 2 3 6 2" xfId="26800"/>
    <cellStyle name="强调文字颜色 2 2 2 4 5 3" xfId="26801"/>
    <cellStyle name="输出 2 2 8 2" xfId="26802"/>
    <cellStyle name="汇总 2 7 3 7" xfId="26803"/>
    <cellStyle name="注释 2 2 6 2 2 5" xfId="26804"/>
    <cellStyle name="常规 4 4 2 5" xfId="26805"/>
    <cellStyle name="常规 3 2 4 3 2 2" xfId="26806"/>
    <cellStyle name="60% - 强调文字颜色 5 2 4 7" xfId="26807"/>
    <cellStyle name="常规 9 3 6 2 2" xfId="26808"/>
    <cellStyle name="强调文字颜色 1 2 5 2 2" xfId="26809"/>
    <cellStyle name="输入 2 2 5 2 2 2" xfId="26810"/>
    <cellStyle name="60% - 强调文字颜色 3 2 8" xfId="26811"/>
    <cellStyle name="20% - 强调文字颜色 2 2 3 3 4" xfId="26812"/>
    <cellStyle name="60% - 强调文字颜色 1 6 2 2 2" xfId="26813"/>
    <cellStyle name="常规 4 3 2 4" xfId="26814"/>
    <cellStyle name="汇总 2 9 3 4 2" xfId="26815"/>
    <cellStyle name="输出 2 3 3 2 5" xfId="26816"/>
    <cellStyle name="常规 6 4 2 2 2" xfId="26817"/>
    <cellStyle name="汇总 2 5 11 2" xfId="26818"/>
    <cellStyle name="注释 2 2 4 3 7" xfId="26819"/>
    <cellStyle name="汇总 2 2 20" xfId="26820"/>
    <cellStyle name="汇总 2 2 15" xfId="26821"/>
    <cellStyle name="常规 9 3 2 2 2 2" xfId="26822"/>
    <cellStyle name="计算 2 3 2 3" xfId="26823"/>
    <cellStyle name="计算 2 2 6 3 2 4" xfId="26824"/>
    <cellStyle name="输入 2 2 2 2 2 2 2" xfId="26825"/>
    <cellStyle name="汇总 2 2 2 2 2 2 2 2 3" xfId="26826"/>
    <cellStyle name="百分比 2 6 2" xfId="26827"/>
    <cellStyle name="汇总 2 6 2 2 3 3 2 2" xfId="26828"/>
    <cellStyle name="20% - 强调文字颜色 2 2 2 2 5 2" xfId="26829"/>
    <cellStyle name="60% - 强调文字颜色 6 2 2 4 3" xfId="26830"/>
    <cellStyle name="40% - 强调文字颜色 4 2 2 2 2 2 2 3" xfId="26831"/>
    <cellStyle name="强调文字颜色 4 2 2 4 4 2 2" xfId="26832"/>
    <cellStyle name="计算 2 4 3 2 6" xfId="26833"/>
    <cellStyle name="强调文字颜色 5 2 2 4 2 4" xfId="26834"/>
    <cellStyle name="20% - 强调文字颜色 2 3 3 4 2" xfId="26835"/>
    <cellStyle name="注释 2 3 3 2 3 2" xfId="26836"/>
    <cellStyle name="60% - 强调文字颜色 2" xfId="26837" builtinId="36"/>
    <cellStyle name="汇总 2 6 7 3" xfId="26838"/>
    <cellStyle name="计算 2 2 8 5 4 2" xfId="26839"/>
    <cellStyle name="汇总 2 3 16" xfId="26840"/>
    <cellStyle name="输出 2 6 3 3 3" xfId="26841"/>
    <cellStyle name="计算 2 2 3 3 2 5" xfId="26842"/>
    <cellStyle name="常规 2 3 2 2 3 3 2 2" xfId="26843"/>
    <cellStyle name="常规 2 3 2 2 3 2 2" xfId="26844"/>
    <cellStyle name="计算 2 2 5 7 3" xfId="26845"/>
    <cellStyle name="60% - 强调文字颜色 3 2 3 2 4" xfId="26846"/>
    <cellStyle name="计算 2 5 3 3" xfId="26847"/>
    <cellStyle name="检查单元格 3 2 4" xfId="26848"/>
    <cellStyle name="计算 2 7 2 2 4" xfId="26849"/>
    <cellStyle name="常规 3 7 2 2 2" xfId="26850"/>
    <cellStyle name="输出 2 7 3 3 2" xfId="26851"/>
    <cellStyle name="汇总 2 2 2 2 2 2 2 4" xfId="26852"/>
    <cellStyle name="输出 2 5 2 2 3" xfId="26853"/>
    <cellStyle name="输入 2 2 9 6" xfId="26854"/>
    <cellStyle name="汇总 2 2 6 9 3" xfId="26855"/>
    <cellStyle name="汇总 2 3 6 4" xfId="26856"/>
    <cellStyle name="解释性文本 2 5 3 2" xfId="26857"/>
    <cellStyle name="差 3 2 2 4 2" xfId="26858"/>
    <cellStyle name="警告文本 2 2 2 2 3 3 2" xfId="26859"/>
    <cellStyle name="常规 3 3 7 5" xfId="26860"/>
    <cellStyle name="40% - 强调文字颜色 4 4 2 2 2 2 2" xfId="26861"/>
    <cellStyle name="计算 3 4 6" xfId="26862"/>
    <cellStyle name="汇总 2 4 4 5 2" xfId="26863"/>
    <cellStyle name="解释性文本 2 4 3 2 2 2" xfId="26864"/>
    <cellStyle name="汇总 3 3 2 4 3" xfId="26865"/>
    <cellStyle name="输入 2 2 2 3 2 2 2 2" xfId="26866"/>
    <cellStyle name="好 2 3 5 2 2 2" xfId="26867"/>
    <cellStyle name="输入 2 2 4 2 3 2 2" xfId="26868"/>
    <cellStyle name="输出 2 7 3 2 3" xfId="26869"/>
    <cellStyle name="计算 2 2 5 4 3 2 2" xfId="26870"/>
    <cellStyle name="注释 2 7 2" xfId="26871"/>
    <cellStyle name="60% - 强调文字颜色 4 2 2 2 2 4" xfId="26872"/>
    <cellStyle name="标题 1 2 2 4 4 2 2" xfId="26873"/>
    <cellStyle name="汇总 2 2 6 2 5 3" xfId="26874"/>
    <cellStyle name="输出 2 2 3 4 2 2 2" xfId="26875"/>
    <cellStyle name="40% - 强调文字颜色 6 2 2 3 3 3 2" xfId="26876"/>
    <cellStyle name="注释 2 2 7 9" xfId="26877"/>
    <cellStyle name="汇总 2 5 4 3 3 2 2" xfId="26878"/>
    <cellStyle name="40% - 强调文字颜色 4 2 2 2 2 2 2 3 2" xfId="26879"/>
    <cellStyle name="输入 2 2 6 14" xfId="26880"/>
    <cellStyle name="40% - 强调文字颜色 5 2 2 2 2 2 2 2 2 2 2" xfId="26881"/>
    <cellStyle name="适中 5" xfId="26882"/>
    <cellStyle name="输入 2 3 2 2 2 2" xfId="26883"/>
    <cellStyle name="强调文字颜色 1 2 2 2 4 4" xfId="26884"/>
    <cellStyle name="计算 2 2 5 4 4 3" xfId="26885"/>
    <cellStyle name="输出 3 3 2 2 3" xfId="26886"/>
    <cellStyle name="标题 3 2 3 3 2 3" xfId="26887"/>
    <cellStyle name="超链接 3 3 2 5" xfId="26888"/>
    <cellStyle name="输出 2 2 3 4 3 2 2" xfId="26889"/>
    <cellStyle name="超链接 3 2 2 2 4" xfId="26890"/>
    <cellStyle name="警告文本 2 2 2 3 7" xfId="26891"/>
    <cellStyle name="20% - 强调文字颜色 3 3 4 2" xfId="26892"/>
    <cellStyle name="汇总 2 11 4 2" xfId="26893"/>
    <cellStyle name="输出 2 2 4 2 11" xfId="26894"/>
    <cellStyle name="输入 2 2 6 3 2 5" xfId="26895"/>
    <cellStyle name="计算 2 5 2 3 2 2 3" xfId="26896"/>
    <cellStyle name="常规 5 3 3" xfId="26897"/>
    <cellStyle name="20% - 强调文字颜色 1 3 2 2 4 2" xfId="26898"/>
    <cellStyle name="汇总 2 6 3 3 3 2" xfId="26899"/>
    <cellStyle name="好 2 2 6 3 2" xfId="26900"/>
    <cellStyle name="超链接 3 9" xfId="26901"/>
    <cellStyle name="计算 2 2 5 12" xfId="26902"/>
    <cellStyle name="计算 2 4 4 2 4 3" xfId="26903"/>
    <cellStyle name="输出 2 2 3 2 2 2 3 3" xfId="26904"/>
    <cellStyle name="常规 3 3 7 2 4" xfId="26905"/>
    <cellStyle name="60% - 强调文字颜色 1 2 3 4 3" xfId="26906"/>
    <cellStyle name="40% - 强调文字颜色 5 3 3 2 2" xfId="26907"/>
    <cellStyle name="常规 4 3 4" xfId="26908"/>
    <cellStyle name="输出 2 2 8 2 5" xfId="26909"/>
    <cellStyle name="标题 4 3 2 2 3 2" xfId="26910"/>
    <cellStyle name="40% - 强调文字颜色 3 2 6 2 2 2" xfId="26911"/>
    <cellStyle name="解释性文本 2 2 2 6 2" xfId="26912"/>
    <cellStyle name="输出 3 2 2 2 2 2" xfId="26913"/>
    <cellStyle name="汇总 3 9 3" xfId="26914"/>
    <cellStyle name="输入 2 2 6 10 2" xfId="26915"/>
    <cellStyle name="计算 2 2 7 6 2" xfId="26916"/>
    <cellStyle name="计算 2 4 2 2 3 2 2 2" xfId="26917"/>
    <cellStyle name="检查单元格 2 2 4 2 3" xfId="26918"/>
    <cellStyle name="计算 2 3 3 2 3 3" xfId="26919"/>
    <cellStyle name="输出 2 9 2 5" xfId="26920"/>
    <cellStyle name="常规 10 2 3 3 4" xfId="26921"/>
    <cellStyle name="计算 2 2 2 2 2 4 3" xfId="26922"/>
    <cellStyle name="计算 2 2 4 2 7 3" xfId="26923"/>
    <cellStyle name="计算 2 2 5 10" xfId="26924"/>
    <cellStyle name="常规 7 4 3 2" xfId="26925"/>
    <cellStyle name="40% - 强调文字颜色 6 2 2 3 6" xfId="26926"/>
    <cellStyle name="注释 2 2 5 2 2 4 2" xfId="26927"/>
    <cellStyle name="差 2 2 2 2 2 2 2" xfId="26928"/>
    <cellStyle name="输出 2 2 7 2 2" xfId="26929"/>
    <cellStyle name="强调文字颜色 6 2 3 2 4 2 3" xfId="26930"/>
    <cellStyle name="汇总 2 4 2 3 2 2 2" xfId="26931"/>
    <cellStyle name="汇总 2 6 5 3" xfId="26932"/>
    <cellStyle name="计算 2 3 2 2 7" xfId="26933"/>
    <cellStyle name="常规 3 3 2 2 5" xfId="26934"/>
    <cellStyle name="注释 2 5 4 6" xfId="26935"/>
    <cellStyle name="计算 2 2 4 2 2 6" xfId="26936"/>
    <cellStyle name="输出 4 8" xfId="26937"/>
    <cellStyle name="注释 2 3 2 5" xfId="26938"/>
    <cellStyle name="汇总 2 2 2 11" xfId="26939"/>
    <cellStyle name="汇总 2 2 4 5 4" xfId="26940"/>
    <cellStyle name="计算 2 3 2 4 2 2 2" xfId="26941"/>
    <cellStyle name="计算 3 4 2" xfId="26942"/>
    <cellStyle name="40% - 强调文字颜色 2 2 3 2 4 2 2" xfId="26943"/>
    <cellStyle name="汇总 2 6 3 2 2 2 2" xfId="26944"/>
    <cellStyle name="汇总 2 8 2 2 7" xfId="26945"/>
    <cellStyle name="常规 6 4 2 2 2 2" xfId="26946"/>
    <cellStyle name="常规 3 7 2 2" xfId="26947"/>
    <cellStyle name="输出 2 7 3 3" xfId="26948"/>
    <cellStyle name="输出 2 3 12" xfId="26949"/>
    <cellStyle name="20% - 强调文字颜色 5 3 3" xfId="26950"/>
    <cellStyle name="输出 2 4 2 3 3 2" xfId="26951"/>
    <cellStyle name="输出 2 2 3 3 3 3 2" xfId="26952"/>
    <cellStyle name="注释 2 6 3 3 3" xfId="26953"/>
    <cellStyle name="Normal 3 3 2 2" xfId="26954"/>
    <cellStyle name="输入 3 3 3 2" xfId="26955"/>
    <cellStyle name="输入 2 5 2 2 2 3 2 2" xfId="26956"/>
    <cellStyle name="标题 3 2 3 4" xfId="26957"/>
    <cellStyle name="常规 5 3 8" xfId="26958"/>
    <cellStyle name="输入 2 6 4 8" xfId="26959"/>
    <cellStyle name="计算 2 2 4 2 3 5 2" xfId="26960"/>
    <cellStyle name="计算 2 2 7 2 4 2" xfId="26961"/>
    <cellStyle name="40% - 强调文字颜色 1 2 2 2 2 2 3 2 2 2" xfId="26962"/>
    <cellStyle name="标题 5 2 4 3 2 3" xfId="26963"/>
    <cellStyle name="标题 7 4 2 3" xfId="26964"/>
    <cellStyle name="输入 8" xfId="26965"/>
    <cellStyle name="计算 3 5 3 2" xfId="26966"/>
    <cellStyle name="强调文字颜色 5 2 3 2 2 5" xfId="26967"/>
    <cellStyle name="注释 2 2 3 2 2 5 2" xfId="26968"/>
    <cellStyle name="输出 2 4 3 8" xfId="26969"/>
    <cellStyle name="60% - 强调文字颜色 4 5 2 2 2" xfId="26970"/>
    <cellStyle name="40% - 强调文字颜色 4 2" xfId="26971"/>
    <cellStyle name="输出 2 6 14" xfId="26972"/>
    <cellStyle name="常规 9 4 5" xfId="26973"/>
    <cellStyle name="60% - 强调文字颜色 2 6 2 2 2" xfId="26974"/>
    <cellStyle name="常规 3 3 2 4 3 2" xfId="26975"/>
    <cellStyle name="输出 3 2 6 2 2" xfId="26976"/>
    <cellStyle name="计算 2 3 2 2 2 2 4" xfId="26977"/>
    <cellStyle name="汇总 2 4 2 4 2 2 2" xfId="26978"/>
    <cellStyle name="强调文字颜色 6 2 3 2 6" xfId="26979"/>
    <cellStyle name="强调文字颜色 5 2 3 3 7" xfId="26980"/>
    <cellStyle name="输入 3 2 5 2" xfId="26981"/>
    <cellStyle name="强调文字颜色 1 4 2 2 2" xfId="26982"/>
    <cellStyle name="超链接 3 2 2 2 2 2 2" xfId="26983"/>
    <cellStyle name="强调文字颜色 4 2 3 3 7" xfId="26984"/>
    <cellStyle name="输出 3 3 2 2 2 2" xfId="26985"/>
    <cellStyle name="20% - 强调文字颜色 6 2 2 2 2 3 3 2" xfId="26986"/>
    <cellStyle name="60% - 强调文字颜色 3 4 3 2" xfId="26987"/>
    <cellStyle name="汇总 2 4 2 4 4" xfId="26988"/>
    <cellStyle name="输入 2 2 4 5 4 3" xfId="26989"/>
    <cellStyle name="40% - 强调文字颜色 3 2 3 3 2" xfId="26990"/>
    <cellStyle name="输出 3 2 8" xfId="26991"/>
    <cellStyle name="常规 6 5 2 2" xfId="26992"/>
    <cellStyle name="常规 5 2 2 2 8" xfId="26993"/>
    <cellStyle name="差 2 3 3 2 2 2 2 2" xfId="26994"/>
    <cellStyle name="输入 2 10 7" xfId="26995"/>
    <cellStyle name="汇总 2 5 3 3 5 2" xfId="26996"/>
    <cellStyle name="标题 1 2 2 2 2 8" xfId="26997"/>
    <cellStyle name="汇总 2 6 3 5 2" xfId="26998"/>
    <cellStyle name="输入 2 4 6 3" xfId="26999"/>
    <cellStyle name="汇总 2 2 7 2 2 2 2" xfId="27000"/>
    <cellStyle name="输出 2 2 4 2 2 4" xfId="27001"/>
    <cellStyle name="强调文字颜色 6 2 2 2 2 3 4" xfId="27002"/>
    <cellStyle name="汇总 2 2 6 3 7" xfId="27003"/>
    <cellStyle name="输出 2 2 5 2 2 4" xfId="27004"/>
    <cellStyle name="汇总 2 2 5 2 2 2 4 2" xfId="27005"/>
    <cellStyle name="好 2 3 2 6 2" xfId="27006"/>
    <cellStyle name="计算 2 2 4 2 2 9" xfId="27007"/>
    <cellStyle name="计算 2 2 2 3 9" xfId="27008"/>
    <cellStyle name="汇总 2 2 4 6 4 2" xfId="27009"/>
    <cellStyle name="注释 2 3 2 2 2 2 3" xfId="27010"/>
    <cellStyle name="汇总 2 2 2 3 8" xfId="27011"/>
    <cellStyle name="计算 2 6 2 2 5 2" xfId="27012"/>
    <cellStyle name="20% - 强调文字颜色 5 2 4 2 2" xfId="27013"/>
    <cellStyle name="40% - 强调文字颜色 3 3 5 2 2 2" xfId="27014"/>
    <cellStyle name="强调文字颜色 6 3 3" xfId="27015"/>
    <cellStyle name="计算 2 5 3 3 2 2 2" xfId="27016"/>
    <cellStyle name="强调文字颜色 5 2 2 2 4 3 2 2" xfId="27017"/>
    <cellStyle name="常规 10 3 4" xfId="27018"/>
    <cellStyle name="警告文本 2 2 2 2 3 2 2" xfId="27019"/>
    <cellStyle name="计算 2 2 2 3 6 3" xfId="27020"/>
    <cellStyle name="40% - 强调文字颜色 3 4 2 2 2 2" xfId="27021"/>
    <cellStyle name="输入 2 5 2 2 5" xfId="27022"/>
    <cellStyle name="20% - 强调文字颜色 5 2 5 2 2 2" xfId="27023"/>
    <cellStyle name="差 2 3 3 2 3" xfId="27024"/>
    <cellStyle name="输入 2 2 4 2 5 4" xfId="27025"/>
    <cellStyle name="注释 2 5 2 2 2 2 3" xfId="27026"/>
    <cellStyle name="汇总 2 2 5 4 7" xfId="27027"/>
    <cellStyle name="常规 7 2 2 4 2 2" xfId="27028"/>
    <cellStyle name="40% - 强调文字颜色 5 2 4 3 3 2" xfId="27029"/>
    <cellStyle name="计算 2 6 4 2 4 2" xfId="27030"/>
    <cellStyle name="60% - 强调文字颜色 6 2 4" xfId="27031"/>
    <cellStyle name="常规 5 4 2 5" xfId="27032"/>
    <cellStyle name="注释 2 2 4 4 5" xfId="27033"/>
    <cellStyle name="强调文字颜色 5 2 9" xfId="27034"/>
    <cellStyle name="输入 2 3 2 2" xfId="27035"/>
    <cellStyle name="汇总 2 2 3 3 5 2" xfId="27036"/>
    <cellStyle name="40% - 强调文字颜色 2" xfId="27037" builtinId="35"/>
    <cellStyle name="超链接 2 3 2 2 3" xfId="27038"/>
    <cellStyle name="常规 2 2 9 2" xfId="27039"/>
    <cellStyle name="强调文字颜色 3 2 2 2 3 3" xfId="27040"/>
    <cellStyle name="标题 5 2 2 2 4 3" xfId="27041"/>
    <cellStyle name="标题 5 3 4 3" xfId="27042"/>
    <cellStyle name="常规 13 2 2 2 4 3" xfId="27043"/>
    <cellStyle name="汇总 2 2 6 4" xfId="27044"/>
    <cellStyle name="输入 2 2 3 2 10" xfId="27045"/>
    <cellStyle name="20% - 强调文字颜色 1 2 2 2 2 2 2" xfId="27046"/>
    <cellStyle name="汇总 2 2 4 16" xfId="27047"/>
    <cellStyle name="常规 2 2 7" xfId="27048"/>
    <cellStyle name="计算 2 7 5 4" xfId="27049"/>
    <cellStyle name="计算 2 6 3 2 6" xfId="27050"/>
    <cellStyle name="输出 2 2 9 2" xfId="27051"/>
    <cellStyle name="汇总 2 2 2 5 3 3" xfId="27052"/>
    <cellStyle name="汇总 2 4 2 2 3 4 2" xfId="27053"/>
    <cellStyle name="输出 2 2 4 3 3 3" xfId="27054"/>
    <cellStyle name="汇总 2 4 4 2 4 3" xfId="27055"/>
    <cellStyle name="输入 2 2 4 4 2 5" xfId="27056"/>
    <cellStyle name="输入 2 2 9 2 2 2" xfId="27057"/>
    <cellStyle name="标题 1 2 2 5 2 2 2" xfId="27058"/>
    <cellStyle name="解释性文本 2 2 3 5 2 2" xfId="27059"/>
    <cellStyle name="常规 12 8" xfId="27060"/>
    <cellStyle name="汇总 2 2 7 6 3" xfId="27061"/>
    <cellStyle name="输入 2 5 5 3 3" xfId="27062"/>
    <cellStyle name="汇总 2 2 9 6 2" xfId="27063"/>
    <cellStyle name="常规 9 5 2 2" xfId="27064"/>
    <cellStyle name="注释 2 4 2 2 7" xfId="27065"/>
    <cellStyle name="输入 2 4 3 2 2 2 2" xfId="27066"/>
    <cellStyle name="适中 2 3 2 3 3" xfId="27067"/>
    <cellStyle name="输入 3 2 3 2 3" xfId="27068"/>
    <cellStyle name="注释 2 2 2 2 4 2" xfId="27069"/>
    <cellStyle name="差 2 3 2 5 2" xfId="27070"/>
    <cellStyle name="20% - 强调文字颜色 5 2 2 2 3 2 2 2" xfId="27071"/>
    <cellStyle name="常规 13 2 2 4 2 2" xfId="27072"/>
    <cellStyle name="超链接 3 5 2 2 2 2" xfId="27073"/>
    <cellStyle name="计算 2 2 6 3 4 2 2" xfId="27074"/>
    <cellStyle name="计算 2 2 5 5" xfId="27075"/>
    <cellStyle name="强调文字颜色 6 3 3 2 2" xfId="27076"/>
    <cellStyle name="输入 2 2 4 2 3 7" xfId="27077"/>
    <cellStyle name="汇总 2 2 7 3 2 6" xfId="27078"/>
    <cellStyle name="警告文本 2 2 2 2 3" xfId="27079"/>
    <cellStyle name="输出 2 5 2 2 5 3" xfId="27080"/>
    <cellStyle name="计算 2 2 6 4 2" xfId="27081"/>
    <cellStyle name="汇总 2 2 3 2 4 2 2 2" xfId="27082"/>
    <cellStyle name="常规 2 4 8" xfId="27083"/>
    <cellStyle name="20% - 强调文字颜色 1 2 2 2 2 4 3" xfId="27084"/>
    <cellStyle name="注释 2 4 2 3 2 4" xfId="27085"/>
    <cellStyle name="常规 2 3 2 2 3 2 2 2" xfId="27086"/>
    <cellStyle name="常规 2 3 2 2 2 2 2" xfId="27087"/>
    <cellStyle name="输入 3 3 3 3" xfId="27088"/>
    <cellStyle name="常规 6 3 4 3" xfId="27089"/>
    <cellStyle name="汇总 2 6 2 2 2 2 3" xfId="27090"/>
    <cellStyle name="计算 2 2 2 2 2 2 5 3" xfId="27091"/>
    <cellStyle name="20% - 强调文字颜色 2 2 2 3 2 2 2 2" xfId="27092"/>
    <cellStyle name="强调文字颜色 4 3 5 2" xfId="27093"/>
    <cellStyle name="强调文字颜色 3 2 2 2 6 2" xfId="27094"/>
    <cellStyle name="输出 2 5 2 2 5 2" xfId="27095"/>
    <cellStyle name="汇总 3 3 2 4 2 2" xfId="27096"/>
    <cellStyle name="输入 2 6 3 9" xfId="27097"/>
    <cellStyle name="20% - 强调文字颜色 6 2 5 2 2 2" xfId="27098"/>
    <cellStyle name="输入 2 2 7 2 2" xfId="27099"/>
    <cellStyle name="注释 2 2 2 2 2 2 3" xfId="27100"/>
    <cellStyle name="汇总 2 7 2 2 2 4" xfId="27101"/>
    <cellStyle name="超链接" xfId="27102" builtinId="8"/>
    <cellStyle name="计算 2 5 2 3 7 2" xfId="27103"/>
    <cellStyle name="计算 2 2 7 5 3 2 2" xfId="27104"/>
    <cellStyle name="强调文字颜色 5 2 2 2 8" xfId="27105"/>
    <cellStyle name="60% - 强调文字颜色 6 2 3 3 3" xfId="27106"/>
    <cellStyle name="计算 2 2 8 7 2 2" xfId="27107"/>
    <cellStyle name="强调文字颜色 3 2 2 2 2 4 2 2" xfId="27108"/>
    <cellStyle name="注释 2 6 9" xfId="27109"/>
    <cellStyle name="强调文字颜色 3 2 2 6 2 2" xfId="27110"/>
    <cellStyle name="输入 2 2 10" xfId="27111"/>
    <cellStyle name="常规 7 2 2 3 2 2 2" xfId="27112"/>
    <cellStyle name="常规 11 3 3 3 2" xfId="27113"/>
    <cellStyle name="好 3 5" xfId="27114"/>
    <cellStyle name="超链接 2 5 3 4" xfId="27115"/>
    <cellStyle name="标题 4 2 8" xfId="27116"/>
    <cellStyle name="常规 10 3 5" xfId="27117"/>
    <cellStyle name="注释 2 2 2 4 3 3" xfId="27118"/>
    <cellStyle name="链接单元格 2 2 2 2 2 2 2 2 2" xfId="27119"/>
    <cellStyle name="40% - 强调文字颜色 2 2 2 2 3 5" xfId="27120"/>
    <cellStyle name="输出 2 3 2 9" xfId="27121"/>
    <cellStyle name="常规 9 11" xfId="27122"/>
    <cellStyle name="常规 8" xfId="27123"/>
    <cellStyle name="计算 2 2 4 2 2 5 2" xfId="27124"/>
    <cellStyle name="输出 3 9" xfId="27125"/>
    <cellStyle name="注释 3 4 2 3" xfId="27126"/>
    <cellStyle name="常规 4 2 2 4" xfId="27127"/>
    <cellStyle name="警告文本 2 7 2 2 2" xfId="27128"/>
    <cellStyle name="汇总 2 2 2 2 8 2" xfId="27129"/>
    <cellStyle name="计算 2 14" xfId="27130"/>
    <cellStyle name="注释 2 2 4 4 6" xfId="27131"/>
    <cellStyle name="汇总 2 5 2 2 4 2" xfId="27132"/>
    <cellStyle name="常规 14 3" xfId="27133"/>
    <cellStyle name="20% - 强调文字颜色 3 3 2 4 2 2" xfId="27134"/>
    <cellStyle name="好 2 4 3" xfId="27135"/>
    <cellStyle name="输出 2 2 3 4 4 2" xfId="27136"/>
    <cellStyle name="计算 2 2 6 4 2 3 3" xfId="27137"/>
    <cellStyle name="汇总 2 6 2 2 2 6" xfId="27138"/>
    <cellStyle name="计算 2 2 3 6" xfId="27139"/>
    <cellStyle name="汇总 2 5 4 4" xfId="27140"/>
    <cellStyle name="计算 2 2 7 2 2 3 3" xfId="27141"/>
    <cellStyle name="标题 4 5 2 2 3" xfId="27142"/>
    <cellStyle name="注释 2 6 4 5" xfId="27143"/>
    <cellStyle name="输出 2 8 2 2 3" xfId="27144"/>
    <cellStyle name="汇总 2 5 3 2 2 5" xfId="27145"/>
    <cellStyle name="注释 2 9 3 2" xfId="27146"/>
    <cellStyle name="常规 10 4 3 5" xfId="27147"/>
    <cellStyle name="注释 2 2 3 3 2 4" xfId="27148"/>
    <cellStyle name="常规 13 3 2 6" xfId="27149"/>
    <cellStyle name="输出 2 2 3 3 2 3 3" xfId="27150"/>
    <cellStyle name="强调文字颜色 4 2 6 2 2" xfId="27151"/>
    <cellStyle name="检查单元格 2 2 3 4 2 2" xfId="27152"/>
    <cellStyle name="输入 2 2 6 2 2 2 2" xfId="27153"/>
    <cellStyle name="常规 10 4 2 3" xfId="27154"/>
    <cellStyle name="输入 2 4 13" xfId="27155"/>
    <cellStyle name="计算 2 2 7 3 4 3" xfId="27156"/>
    <cellStyle name="常规 8 2 3 2 2" xfId="27157"/>
    <cellStyle name="标题 2" xfId="27158" builtinId="17"/>
    <cellStyle name="输出 2 2 2 2 2 5 2 2" xfId="27159"/>
    <cellStyle name="输出 2 7 3 2 4" xfId="27160"/>
    <cellStyle name="输入 2 2 8 3 2 5" xfId="27161"/>
    <cellStyle name="60% - 强调文字颜色 6 3 3" xfId="27162"/>
    <cellStyle name="60% - 强调文字颜色 1 2 2 2 7" xfId="27163"/>
    <cellStyle name="常规 5 4 3 4" xfId="27164"/>
    <cellStyle name="计算 2 4 2 2 2 2 2" xfId="27165"/>
    <cellStyle name="超链接 2 2 2 2 2 3" xfId="27166"/>
    <cellStyle name="注释 2 5 4 2 4" xfId="27167"/>
    <cellStyle name="适中 2 2 3 3 2 2 2" xfId="27168"/>
    <cellStyle name="注释 2 2 3 2 3 6" xfId="27169"/>
    <cellStyle name="输出 4 7 2" xfId="27170"/>
    <cellStyle name="适中 2 7 3" xfId="27171"/>
    <cellStyle name="汇总 3 2 4 2" xfId="27172"/>
    <cellStyle name="检查单元格 2 2 4 5 3" xfId="27173"/>
    <cellStyle name="输出 2 2 3 4 3 2" xfId="27174"/>
    <cellStyle name="检查单元格 2 7" xfId="27175"/>
    <cellStyle name="汇总 2 2 9 2" xfId="27176"/>
    <cellStyle name="强调文字颜色 4 3 2 2 4" xfId="27177"/>
    <cellStyle name="强调文字颜色 1 2 2 2 3 2 2 2" xfId="27178"/>
    <cellStyle name="输入 2 8 10" xfId="27179"/>
    <cellStyle name="汇总 2 2 9 3 3" xfId="27180"/>
    <cellStyle name="输出 2 6 3" xfId="27181"/>
    <cellStyle name="汇总 2 2 6 4 4" xfId="27182"/>
    <cellStyle name="计算 2 3 2 3 6" xfId="27183"/>
    <cellStyle name="计算 3 3 2 3" xfId="27184"/>
    <cellStyle name="计算 2 5 2 5 2 2" xfId="27185"/>
    <cellStyle name="差 2 3 3 4" xfId="27186"/>
    <cellStyle name="输入 2 3 7" xfId="27187"/>
    <cellStyle name="汇总 2 5 10 2" xfId="27188"/>
    <cellStyle name="计算 2 5 2 5 5" xfId="27189"/>
    <cellStyle name="20% - 强调文字颜色 1 2 3 2 2 2 3" xfId="27190"/>
    <cellStyle name="输出 2 2 7 2 2 3" xfId="27191"/>
    <cellStyle name="输入 2 10 2 2" xfId="27192"/>
    <cellStyle name="强调文字颜色 1 2 4" xfId="27193"/>
    <cellStyle name="20% - 强调文字颜色 3 3 2 2 4 2" xfId="27194"/>
    <cellStyle name="输出 2 5 2 2 2 5" xfId="27195"/>
    <cellStyle name="强调文字颜色 4 2 2 2 2 2 5" xfId="27196"/>
    <cellStyle name="好 2 2 6 2 3" xfId="27197"/>
    <cellStyle name="汇总 2 2 5 3 2 2 3" xfId="27198"/>
    <cellStyle name="注释 2 2 3 4 5" xfId="27199"/>
    <cellStyle name="适中 2 2 2 8" xfId="27200"/>
    <cellStyle name="常规 4 4 3" xfId="27201"/>
    <cellStyle name="标题 4 2 4 3 2" xfId="27202"/>
    <cellStyle name="常规 4 6 3 5" xfId="27203"/>
    <cellStyle name="好 3 2 4 2 2 2" xfId="27204"/>
    <cellStyle name="常规 2 2 2 3" xfId="27205"/>
    <cellStyle name="输出 2 5 2 2 3 2" xfId="27206"/>
    <cellStyle name="汇总 2 2 4 11 2" xfId="27207"/>
    <cellStyle name="检查单元格 2 2 5 2 2 2" xfId="27208"/>
    <cellStyle name="检查单元格 2 2 6 3 3" xfId="27209"/>
    <cellStyle name="常规 11 3 5" xfId="27210"/>
    <cellStyle name="解释性文本 2 2 3 2 2 2 2 2" xfId="27211"/>
    <cellStyle name="汇总 2 2 8 4 2" xfId="27212"/>
    <cellStyle name="输出 2 2 5 3 7" xfId="27213"/>
    <cellStyle name="常规 2 3 3 2 2 2 2" xfId="27214"/>
    <cellStyle name="汇总 2 8 2 5 2" xfId="27215"/>
    <cellStyle name="注释 2 2 4 2 4 2" xfId="27216"/>
    <cellStyle name="常规 11 3 5 3" xfId="27217"/>
    <cellStyle name="计算 3 2 8 3" xfId="27218"/>
    <cellStyle name="好 4 3 2" xfId="27219"/>
    <cellStyle name="20% - 强调文字颜色 3 2 2 2 2 3 2" xfId="27220"/>
    <cellStyle name="常规 9 2 3 4" xfId="27221"/>
    <cellStyle name="注释 2 5 3 4" xfId="27222"/>
    <cellStyle name="输出 2 3 3 2 3" xfId="27223"/>
    <cellStyle name="计算 2 13" xfId="27224"/>
    <cellStyle name="计算 2 2 8 5 4" xfId="27225"/>
    <cellStyle name="输入 2 2 7 3 2 5" xfId="27226"/>
    <cellStyle name="强调文字颜色 6 2 3 2 5" xfId="27227"/>
    <cellStyle name="汇总 2 5 2 2 3 2 2 2" xfId="27228"/>
    <cellStyle name="40% - 强调文字颜色 6 2 2 2 4 3" xfId="27229"/>
    <cellStyle name="计算 2 2 4 2 3 3 2" xfId="27230"/>
    <cellStyle name="检查单元格 2 3 5 2 2" xfId="27231"/>
    <cellStyle name="标题 3 2 2 2 2 6" xfId="27232"/>
    <cellStyle name="适中 2 2 4 3 2 2 2" xfId="27233"/>
    <cellStyle name="计算 2 2 6 3 2 4 2" xfId="27234"/>
    <cellStyle name="输入 2 4 4 5 2" xfId="27235"/>
    <cellStyle name="汇总 2 2 7 2 3 2 2" xfId="27236"/>
    <cellStyle name="常规 4 5 2 4 2" xfId="27237"/>
    <cellStyle name="汇总 2 5 7 2" xfId="27238"/>
    <cellStyle name="常规 2 2 2 4 2 2" xfId="27239"/>
    <cellStyle name="标题 1" xfId="27240" builtinId="16"/>
    <cellStyle name="20% - 强调文字颜色 3 2 2 2 7 2" xfId="27241"/>
    <cellStyle name="常规 16 6" xfId="27242"/>
    <cellStyle name="汇总 2 6 2 3 4 2 2" xfId="27243"/>
    <cellStyle name="解释性文本 3 3 3 2" xfId="27244"/>
    <cellStyle name="常规 5 2 4 3 5" xfId="27245"/>
    <cellStyle name="计算 2 2 4 3 2 4 2 2" xfId="27246"/>
    <cellStyle name="常规 2 2 2 3 3 2 2" xfId="27247"/>
    <cellStyle name="汇总 4 5" xfId="27248"/>
    <cellStyle name="链接单元格 2 4 4 4" xfId="27249"/>
    <cellStyle name="汇总 2 2 7 3 4 2" xfId="27250"/>
    <cellStyle name="输入 2 2 2 2 2 2 6" xfId="27251"/>
    <cellStyle name="标题 2 2 2 2 2 3 3 3" xfId="27252"/>
    <cellStyle name="输入 2 5 3 2 8" xfId="27253"/>
    <cellStyle name="注释 2 5 3 2 6" xfId="27254"/>
    <cellStyle name="60% - 强调文字颜色 3 2 3 2 2 2" xfId="27255"/>
    <cellStyle name="汇总 2 2 5 2 9 2" xfId="27256"/>
    <cellStyle name="20% - 强调文字颜色 3 4 2 2 2 2 2" xfId="27257"/>
    <cellStyle name="注释 2 4 3 3 2 2" xfId="27258"/>
    <cellStyle name="汇总 2 2 3 3 3 4 2" xfId="27259"/>
    <cellStyle name="常规 5 5" xfId="27260"/>
    <cellStyle name="汇总 2 2 5 3 3 4 2" xfId="27261"/>
    <cellStyle name="20% - 强调文字颜色 6 2 2 3 3" xfId="27262"/>
    <cellStyle name="注释 2 2 4 3 4" xfId="27263"/>
    <cellStyle name="40% - 强调文字颜色 1 2 2 3 4 3" xfId="27264"/>
    <cellStyle name="60% - 强调文字颜色 3 3 2 2 2 2 2 2" xfId="27265"/>
    <cellStyle name="常规 3 3 4 2 2 2" xfId="27266"/>
    <cellStyle name="常规 2 3 3 5" xfId="27267"/>
    <cellStyle name="输出 2 2 3 11" xfId="27268"/>
    <cellStyle name="输出 2 6" xfId="27269"/>
    <cellStyle name="好 2 3 2 2 4" xfId="27270"/>
    <cellStyle name="标题 3 2 2 8 3" xfId="27271"/>
    <cellStyle name="60% - 强调文字颜色 4 5 2" xfId="27272"/>
    <cellStyle name="计算 2 4 2 2 3 3" xfId="27273"/>
    <cellStyle name="输出 2 2 3 2 3 2 4" xfId="27274"/>
    <cellStyle name="汇总 2 2 7 2 4 3" xfId="27275"/>
    <cellStyle name="注释 2 4 2 4" xfId="27276"/>
    <cellStyle name="注释 2 8 2 2 2" xfId="27277"/>
    <cellStyle name="常规 12 2 3 2 2" xfId="27278"/>
    <cellStyle name="计算 2 2 5 3 3 5" xfId="27279"/>
    <cellStyle name="汇总 2 2 8" xfId="27280"/>
    <cellStyle name="40% - 强调文字颜色 1 2 2 4 4 2 2" xfId="27281"/>
    <cellStyle name="标题 1 4 3 3" xfId="27282"/>
    <cellStyle name="输入 2 8 2" xfId="27283"/>
    <cellStyle name="注释 2 2 5 2 3 3" xfId="27284"/>
    <cellStyle name="强调文字颜色 3 2 6 3" xfId="27285"/>
    <cellStyle name="注释 4 9" xfId="27286"/>
    <cellStyle name="注释 2 3 2" xfId="27287"/>
    <cellStyle name="警告文本 2 4 5" xfId="27288"/>
    <cellStyle name="汇总 2 4 3 2 3 2 2" xfId="27289"/>
    <cellStyle name="计算 2 4 3 6 2 2" xfId="27290"/>
    <cellStyle name="好 3 2 4 3" xfId="27291"/>
    <cellStyle name="汇总 2 3 4 8" xfId="27292"/>
    <cellStyle name="常规 11 4 2 5" xfId="27293"/>
    <cellStyle name="输入 2 3 4 5 2" xfId="27294"/>
    <cellStyle name="20% - 强调文字颜色 2 2 4 2" xfId="27295"/>
    <cellStyle name="汇总 2 2 3 4 2 3 2" xfId="27296"/>
    <cellStyle name="计算 2 2 10 2 7" xfId="27297"/>
    <cellStyle name="常规 5 6 3 3" xfId="27298"/>
    <cellStyle name="常规 10 5 2 4" xfId="27299"/>
    <cellStyle name="超链接 2 3 7 3" xfId="27300"/>
    <cellStyle name="常规 5 2 2 2 2 5 3" xfId="27301"/>
    <cellStyle name="汇总 2 6 2 7 3" xfId="27302"/>
    <cellStyle name="计算 2 3 9 2" xfId="27303"/>
    <cellStyle name="输出 2 2 9 2 4" xfId="27304"/>
    <cellStyle name="计算 2 2 3 2 3 4 2 2" xfId="27305"/>
    <cellStyle name="标题 1 3 2 4 2 3" xfId="27306"/>
    <cellStyle name="常规 5 2 5 5" xfId="27307"/>
    <cellStyle name="汇总 2 6 10" xfId="27308"/>
    <cellStyle name="输入 2 2 4 2 9" xfId="27309"/>
    <cellStyle name="输出 2 3 2 2 5" xfId="27310"/>
    <cellStyle name="汇总 3 2 6 2 2" xfId="27311"/>
    <cellStyle name="输入 2 2 4 2 3 2 5" xfId="27312"/>
    <cellStyle name="汇总 3 3 3 3 2 2" xfId="27313"/>
    <cellStyle name="强调文字颜色 5" xfId="27314" builtinId="45"/>
    <cellStyle name="输出 2 9 4 2" xfId="27315"/>
    <cellStyle name="输出 2 5 3 3" xfId="27316"/>
    <cellStyle name="强调文字颜色 6 2 2 2 3" xfId="27317"/>
    <cellStyle name="汇总 3 6 3" xfId="27318"/>
    <cellStyle name="超链接 3 5 2 4" xfId="27319"/>
    <cellStyle name="汇总 2 2 2 6" xfId="27320"/>
    <cellStyle name="强调文字颜色 2 2 3 2 5" xfId="27321"/>
    <cellStyle name="输出 2 2 3 2 5 2 2" xfId="27322"/>
    <cellStyle name="汇总 3 4 4 3" xfId="27323"/>
    <cellStyle name="汇总 2 6 2 2 4 2" xfId="27324"/>
    <cellStyle name="标题 2 2 2 2 2 3 3 2" xfId="27325"/>
    <cellStyle name="常规 2 4 4 2" xfId="27326"/>
    <cellStyle name="输出 2 5 3" xfId="27327"/>
    <cellStyle name="20% - 强调文字颜色 4 2 2 2 2 2 2 3" xfId="27328"/>
    <cellStyle name="汇总 2 2 3 2 2 3 3 2 2" xfId="27329"/>
    <cellStyle name="强调文字颜色 1 2 3 2 3 2 2" xfId="27330"/>
    <cellStyle name="输入 2 2 5 2 9" xfId="27331"/>
    <cellStyle name="标题 2 2 5 2 3" xfId="27332"/>
    <cellStyle name="常规 6 2 5 3" xfId="27333"/>
    <cellStyle name="20% - 强调文字颜色 1 2 2 4 4" xfId="27334"/>
    <cellStyle name="汇总 3 12" xfId="27335"/>
    <cellStyle name="60% - 强调文字颜色 6 2 4 3 2 2" xfId="27336"/>
    <cellStyle name="警告文本 2 2 2 2 2" xfId="27337"/>
    <cellStyle name="常规 11 4 4" xfId="27338"/>
    <cellStyle name="输入 2 2 7 6 2 2" xfId="27339"/>
    <cellStyle name="强调文字颜色 3 2 2 4 6" xfId="27340"/>
    <cellStyle name="汇总 2 4 3 3" xfId="27341"/>
    <cellStyle name="解释性文本 2 6 2 2" xfId="27342"/>
    <cellStyle name="20% - 强调文字颜色 2 2 3 2 2 4 2" xfId="27343"/>
    <cellStyle name="60% - 强调文字颜色 3 2 7 2 2 2" xfId="27344"/>
    <cellStyle name="输出 2 2 4 2 5 2" xfId="27345"/>
    <cellStyle name="汇总 3 2 2 4 3" xfId="27346"/>
    <cellStyle name="计算 2 10 4" xfId="27347"/>
    <cellStyle name="解释性文本 2 3 2 6 2" xfId="27348"/>
    <cellStyle name="20% - 强调文字颜色 5 2 4 4 2 2 2" xfId="27349"/>
    <cellStyle name="60% - 强调文字颜色 4 3 3 3 2" xfId="27350"/>
    <cellStyle name="汇总 2 6 10 3" xfId="27351"/>
    <cellStyle name="输出 3 3 3 2" xfId="27352"/>
    <cellStyle name="解释性文本 2 2 2 4 2" xfId="27353"/>
    <cellStyle name="40% - 强调文字颜色 1 2 4 5 2" xfId="27354"/>
    <cellStyle name="解释性文本 2 5 3 2 2" xfId="27355"/>
    <cellStyle name="汇总 2 2 5 3 5" xfId="27356"/>
    <cellStyle name="强调文字颜色 3 2 2 7 2 2" xfId="27357"/>
    <cellStyle name="标题 5 2 2 2 2 3 2" xfId="27358"/>
    <cellStyle name="标题 5 3 2 3 2" xfId="27359"/>
    <cellStyle name="汇总 2 2 2 3 6" xfId="27360"/>
    <cellStyle name="汇总 2 2 7 2 5 2 2" xfId="27361"/>
    <cellStyle name="差 6 2 2 2" xfId="27362"/>
    <cellStyle name="常规 7 4 3" xfId="27363"/>
    <cellStyle name="汇总 2 2 4 2 2 2 2 2 3" xfId="27364"/>
    <cellStyle name="标题 2 2 3 5 2 2 2" xfId="27365"/>
    <cellStyle name="输出 2 2 4 6 3" xfId="27366"/>
    <cellStyle name="输入 2 2 6 3 7" xfId="27367"/>
    <cellStyle name="强调文字颜色 5 2 3 2 3 3 2" xfId="27368"/>
    <cellStyle name="输入 2 4 8 2 2" xfId="27369"/>
    <cellStyle name="强调文字颜色 5 2 4 2" xfId="27370"/>
    <cellStyle name="输出 2 7 2 3 3" xfId="27371"/>
    <cellStyle name="汇总 2 5 4 2 4 3" xfId="27372"/>
    <cellStyle name="输入 2 2 5 3 8" xfId="27373"/>
    <cellStyle name="汇总 2 5 3 2 4 2" xfId="27374"/>
    <cellStyle name="输出 2 2 3 8 2 2" xfId="27375"/>
    <cellStyle name="标题 5 4" xfId="27376"/>
    <cellStyle name="标题 5 2 2 3" xfId="27377"/>
    <cellStyle name="20% - 强调文字颜色 3 2 3 6" xfId="27378"/>
    <cellStyle name="20% - 强调文字颜色 6 2 2 2 2 2 3 2 2 2" xfId="27379"/>
    <cellStyle name="20% - 强调文字颜色 2 2 2 2 2 2 2" xfId="27380"/>
    <cellStyle name="常规 3 3 2 2 4 2" xfId="27381"/>
    <cellStyle name="注释 2 5 3 2 4" xfId="27382"/>
    <cellStyle name="注释 2 5 4 5" xfId="27383"/>
    <cellStyle name="输出 2 8 3 2" xfId="27384"/>
    <cellStyle name="20% - 强调文字颜色 3 4 3 2" xfId="27385"/>
    <cellStyle name="强调文字颜色 4 2 2 2 2 2 2 2 2 2" xfId="27386"/>
    <cellStyle name="汇总 2 12 3 2" xfId="27387"/>
    <cellStyle name="注释 5 3 2 2" xfId="27388"/>
    <cellStyle name="常规 6 3 4 3 2 2" xfId="27389"/>
    <cellStyle name="强调文字颜色 6 2 2 2 2 2 4" xfId="27390"/>
    <cellStyle name="汇总 2 2 6 2 7" xfId="27391"/>
    <cellStyle name="计算 2 6 2 2 3 2 3" xfId="27392"/>
    <cellStyle name="注释 2 2 4 2 3 5" xfId="27393"/>
    <cellStyle name="汇总 2 2 4 11 2 2" xfId="27394"/>
    <cellStyle name="输出 2 5 2 2 3 2 2" xfId="27395"/>
    <cellStyle name="输出 2 4 7" xfId="27396"/>
    <cellStyle name="标题 2 2 3 2 2 2 2 3" xfId="27397"/>
    <cellStyle name="汇总 3 3 9" xfId="27398"/>
    <cellStyle name="常规 9 5 2 2 2 2" xfId="27399"/>
    <cellStyle name="常规 5 6 3 4" xfId="27400"/>
    <cellStyle name="计算 2 4 2 2 4 2 2" xfId="27401"/>
    <cellStyle name="计算 2 5 2 3 3 2" xfId="27402"/>
    <cellStyle name="汇总 2 3 2 2 5 2" xfId="27403"/>
    <cellStyle name="输入 2 2 3 2 3 2" xfId="27404"/>
    <cellStyle name="常规 7 2 2 4 2" xfId="27405"/>
    <cellStyle name="解释性文本 3 7 2 2" xfId="27406"/>
    <cellStyle name="汇总 2 2 6 2 2 2 2" xfId="27407"/>
    <cellStyle name="强调文字颜色 2 2 3 2 4 2" xfId="27408"/>
    <cellStyle name="解释性文本 2 4" xfId="27409"/>
    <cellStyle name="输出 3 3 7 2" xfId="27410"/>
    <cellStyle name="注释 2 9 3 2 2" xfId="27411"/>
    <cellStyle name="检查单元格 2 2 2 4 3 3" xfId="27412"/>
    <cellStyle name="60% - 强调文字颜色 2 4 2 4 2" xfId="27413"/>
    <cellStyle name="差 3 2 2 2" xfId="27414"/>
    <cellStyle name="解释性文本 2 2 2 3 3" xfId="27415"/>
    <cellStyle name="注释 2 8 2 2" xfId="27416"/>
    <cellStyle name="汇总 2 6 4 3 2" xfId="27417"/>
    <cellStyle name="好 2 3 6 2" xfId="27418"/>
    <cellStyle name="输入 2 5 2 4 2 3" xfId="27419"/>
    <cellStyle name="40% - 强调文字颜色 4 2 4 3 2" xfId="27420"/>
    <cellStyle name="计算 2 5 2 10 2 2" xfId="27421"/>
    <cellStyle name="输入 2 2 2 2" xfId="27422"/>
    <cellStyle name="汇总 2 11 7" xfId="27423"/>
    <cellStyle name="汇总 2 3 4 2 2 3" xfId="27424"/>
    <cellStyle name="20% - 强调文字颜色 3 3 7" xfId="27425"/>
    <cellStyle name="计算 2 2 4 5 2 5" xfId="27426"/>
    <cellStyle name="注释 3 2 2 6" xfId="27427"/>
    <cellStyle name="60% - 强调文字颜色 4 2 2 2 3 3" xfId="27428"/>
    <cellStyle name="输入 2 5 2 2 4 2 2" xfId="27429"/>
    <cellStyle name="输入 5 2 3" xfId="27430"/>
    <cellStyle name="强调文字颜色 4 2 4 2 2" xfId="27431"/>
    <cellStyle name="常规 3 2 4" xfId="27432"/>
    <cellStyle name="输入 2 5 5 2 2 2 2" xfId="27433"/>
    <cellStyle name="常规 9 2 2 2 2 2 2 2" xfId="27434"/>
    <cellStyle name="解释性文本" xfId="27435" builtinId="53"/>
    <cellStyle name="40% - 强调文字颜色 6 2 2 2" xfId="27436"/>
    <cellStyle name="常规 11 3 2 3 3" xfId="27437"/>
    <cellStyle name="常规 5 3 2 2 5 3" xfId="27438"/>
    <cellStyle name="计算 2 2 8 5 3" xfId="27439"/>
    <cellStyle name="汇总 2 4 8 3" xfId="27440"/>
    <cellStyle name="差 2 5 2 2 2" xfId="27441"/>
    <cellStyle name="强调文字颜色 5 2 3 6" xfId="27442"/>
    <cellStyle name="输入 2 7 2" xfId="27443"/>
    <cellStyle name="汇总 2 5 2 3 3 4" xfId="27444"/>
    <cellStyle name="计算 2 17" xfId="27445"/>
    <cellStyle name="强调文字颜色 4 2 7 2 2 2" xfId="27446"/>
    <cellStyle name="注释 2 2 2" xfId="27447"/>
    <cellStyle name="汇总 2 7 15" xfId="27448"/>
    <cellStyle name="汇总 2 2 2 2 2 2 2 4 2" xfId="27449"/>
    <cellStyle name="40% - 强调文字颜色 6 2 8" xfId="27450"/>
    <cellStyle name="40% - 强调文字颜色 4 2 2 2" xfId="27451"/>
    <cellStyle name="输出 2 2 3 2 4 2" xfId="27452"/>
    <cellStyle name="20% - 强调文字颜色 6 2 5 2 2 2 2" xfId="27453"/>
    <cellStyle name="20% - 强调文字颜色 3 3 2 2 2 2" xfId="27454"/>
    <cellStyle name="强调文字颜色 4 2 2 6 3 2" xfId="27455"/>
    <cellStyle name="计算 2 4 3 5" xfId="27456"/>
    <cellStyle name="计算 3 5 2 3" xfId="27457"/>
    <cellStyle name="20% - 强调文字颜色 4 2 2 2 2 2 2 2 2 2" xfId="27458"/>
    <cellStyle name="适中 2 2 3 3 3" xfId="27459"/>
    <cellStyle name="标题 2 2 2 2 2 3 2 3" xfId="27460"/>
    <cellStyle name="解释性文本 2 7 3 2" xfId="27461"/>
    <cellStyle name="好 2 3 3 7" xfId="27462"/>
    <cellStyle name="适中 2 4 2" xfId="27463"/>
    <cellStyle name="输出 3 2" xfId="27464"/>
    <cellStyle name="输出 2 2 4 3 3 2" xfId="27465"/>
    <cellStyle name="输入 3 3 5" xfId="27466"/>
    <cellStyle name="计算 2 6 3 3 3 2 2" xfId="27467"/>
    <cellStyle name="60% - 强调文字颜色 1 2 3 2 2 2" xfId="27468"/>
    <cellStyle name="输入 2 3 6" xfId="27469"/>
    <cellStyle name="警告文本 2 5 4" xfId="27470"/>
    <cellStyle name="强调文字颜色 4 2 2 4 5 2 2" xfId="27471"/>
    <cellStyle name="强调文字颜色 6 2 6" xfId="27472"/>
    <cellStyle name="20% - 强调文字颜色 6 2 6 3" xfId="27473"/>
    <cellStyle name="强调文字颜色 6 2 4 3 2" xfId="27474"/>
    <cellStyle name="解释性文本 2 2 2 6" xfId="27475"/>
    <cellStyle name="汇总 2 5 4 5" xfId="27476"/>
    <cellStyle name="好 3 2 3 3" xfId="27477"/>
    <cellStyle name="注释 2 5 2 5" xfId="27478"/>
    <cellStyle name="60% - 强调文字颜色 3 2 3 2 5 2 2" xfId="27479"/>
    <cellStyle name="40% - 强调文字颜色 2 3 3 4" xfId="27480"/>
    <cellStyle name="60% - 强调文字颜色 3 2 2 2 3 2 2 2" xfId="27481"/>
    <cellStyle name="输出 3 2 2 2" xfId="27482"/>
    <cellStyle name="强调文字颜色 6 2 3 2 4 2 2" xfId="27483"/>
    <cellStyle name="注释 2 3 4 2 4" xfId="27484"/>
    <cellStyle name="输入 3 2 6" xfId="27485"/>
    <cellStyle name="输入 2 5 2 3 2 5" xfId="27486"/>
    <cellStyle name="常规 6 2 5 2" xfId="27487"/>
    <cellStyle name="汇总 2 7 8" xfId="27488"/>
    <cellStyle name="计算 2 4 2 2 3 4 2" xfId="27489"/>
    <cellStyle name="强调文字颜色 4 2 2 2 3 2 2" xfId="27490"/>
    <cellStyle name="计算 2 2 4 2 2 2 2 3 3" xfId="27491"/>
    <cellStyle name="强调文字颜色 1 2 2 2 2 4 4" xfId="27492"/>
    <cellStyle name="输入 2 5 4 2 4" xfId="27493"/>
    <cellStyle name="60% - 强调文字颜色 6 2 2 4 5" xfId="27494"/>
    <cellStyle name="计算 2 4 2 2 2 5 2" xfId="27495"/>
    <cellStyle name="输入 2 9 2 2 2" xfId="27496"/>
    <cellStyle name="百分比 2 3 5" xfId="27497"/>
    <cellStyle name="计算 2 6 3 2 2 3" xfId="27498"/>
    <cellStyle name="强调文字颜色 5 2 3 2 3 3 3" xfId="27499"/>
    <cellStyle name="注释 2 2 3 2 2 2 2 2" xfId="27500"/>
    <cellStyle name="输入 2 2 4 2 3 4" xfId="27501"/>
    <cellStyle name="计算 2 2 4 4 3 2 2 2" xfId="27502"/>
    <cellStyle name="常规 3 2 2 2 2 2" xfId="27503"/>
    <cellStyle name="输入 2 6 4" xfId="27504"/>
    <cellStyle name="链接单元格 2 3 4 2 3" xfId="27505"/>
    <cellStyle name="计算 2 2 4 2 3 5" xfId="27506"/>
    <cellStyle name="汇总 2 2 7 2 3 2" xfId="27507"/>
    <cellStyle name="强调文字颜色 3 2 3 8" xfId="27508"/>
    <cellStyle name="汇总 2 2 3 3 2 2" xfId="27509"/>
    <cellStyle name="说明文本 2 2 2" xfId="27510"/>
    <cellStyle name="注释 2 2 3 3 2 2 2" xfId="27511"/>
    <cellStyle name="标题 4" xfId="27512" builtinId="19"/>
    <cellStyle name="汇总 2 2 4 2 6 2 2 2" xfId="27513"/>
    <cellStyle name="汇总 2 8 3 3 3" xfId="27514"/>
    <cellStyle name="20% - 强调文字颜色 1 2 5 2 2 2" xfId="27515"/>
    <cellStyle name="输出 2 2 7 3 2 5" xfId="27516"/>
    <cellStyle name="强调文字颜色 2 2 6 2" xfId="27517"/>
    <cellStyle name="20% - 强调文字颜色 1 3 8" xfId="27518"/>
    <cellStyle name="输出 2 5 4 2 3" xfId="27519"/>
    <cellStyle name="常规 3 3 7 2 2 2" xfId="27520"/>
    <cellStyle name="计算 3 4 2 2" xfId="27521"/>
    <cellStyle name="输出" xfId="27522" builtinId="21"/>
    <cellStyle name="汇总 2 5 2 2 10" xfId="27523"/>
    <cellStyle name="警告文本 2 2 2 2 6 2" xfId="27524"/>
    <cellStyle name="40% - 强调文字颜色 5 2 2 3 2 2 2 2" xfId="27525"/>
    <cellStyle name="汇总 2 2 6 3 5 2 2" xfId="27526"/>
    <cellStyle name="20% - 强调文字颜色 2 2 10" xfId="27527"/>
    <cellStyle name="强调文字颜色 3 2 2 4 4 2 2" xfId="27528"/>
    <cellStyle name="计算 3 7 2" xfId="27529"/>
    <cellStyle name="60% - 强调文字颜色 2 2 2 2 8" xfId="27530"/>
    <cellStyle name="输入 2 2 8 7 2 2" xfId="27531"/>
    <cellStyle name="计算 2 2 10 3" xfId="27532"/>
    <cellStyle name="汇总 2 2 4 2 3 3" xfId="27533"/>
    <cellStyle name="汇总 2 2 3 2 7 2 2" xfId="27534"/>
    <cellStyle name="强调文字颜色 4 2 4 3 2 2" xfId="27535"/>
    <cellStyle name="输出 2 5 3 8" xfId="27536"/>
    <cellStyle name="汇总 4 2 2 4 2" xfId="27537"/>
    <cellStyle name="超链接 3 3 2" xfId="27538"/>
    <cellStyle name="汇总 2 5 4 3 2" xfId="27539"/>
    <cellStyle name="常规 4 2 4 4" xfId="27540"/>
    <cellStyle name="汇总 3 2 2 2 4 2" xfId="27541"/>
    <cellStyle name="解释性文本 2 4 4 3" xfId="27542"/>
    <cellStyle name="汇总 2 7" xfId="27543"/>
    <cellStyle name="计算 2 3 2 6 3" xfId="27544"/>
    <cellStyle name="输出 2 4 4 5 3" xfId="27545"/>
    <cellStyle name="计算 2 2 8 3 2 7" xfId="27546"/>
    <cellStyle name="输出 2 4 3 4 3" xfId="27547"/>
    <cellStyle name="40% - 强调文字颜色 6 2 2 4 4" xfId="27548"/>
    <cellStyle name="计算 2 8 5 3 2 2" xfId="27549"/>
    <cellStyle name="60% - 强调文字颜色 5 2 2 2 8" xfId="27550"/>
    <cellStyle name="计算 2 2 3 3 3 2 2" xfId="27551"/>
    <cellStyle name="20% - 强调文字颜色 3 2 2 5 3" xfId="27552"/>
    <cellStyle name="解释性文本 2 4 6 3" xfId="27553"/>
    <cellStyle name="汇总 2 5 16" xfId="27554"/>
    <cellStyle name="超链接 2 3 7" xfId="27555"/>
    <cellStyle name="输入 3 2 2 2 2" xfId="27556"/>
    <cellStyle name="输出 3 2 7 2 2" xfId="27557"/>
    <cellStyle name="计算 2 5 2 2 2" xfId="27558"/>
    <cellStyle name="计算 2 2 5 2 4 4" xfId="27559"/>
    <cellStyle name="汇总 2 4 8" xfId="27560"/>
    <cellStyle name="常规 2 2 2 5 3 2" xfId="27561"/>
    <cellStyle name="解释性文本 2 5 2 3" xfId="27562"/>
    <cellStyle name="20% - 强调文字颜色 3 2 5 2" xfId="27563"/>
    <cellStyle name="计算 3 3 2 4" xfId="27564"/>
    <cellStyle name="输出 2 2 3 2 2 2 3" xfId="27565"/>
    <cellStyle name="输入 2 2 3 7" xfId="27566"/>
    <cellStyle name="常规 12 4 5" xfId="27567"/>
    <cellStyle name="输出 2 2 6 2 7" xfId="27568"/>
    <cellStyle name="输入 2 4 12" xfId="27569"/>
    <cellStyle name="注释 2 2 3 3 6" xfId="27570"/>
    <cellStyle name="注释 2 2 3 3 2 2 2 2 2" xfId="27571"/>
    <cellStyle name="60% - 强调文字颜色 2 3 3 3 2 2 2" xfId="27572"/>
    <cellStyle name="汇总 3 2 7 2 2" xfId="27573"/>
    <cellStyle name="适中 2 5" xfId="27574"/>
    <cellStyle name="汇总 2 2 4 8 2" xfId="27575"/>
    <cellStyle name="汇总 2 12 2 2" xfId="27576"/>
    <cellStyle name="20% - 强调文字颜色 3 4 2 2" xfId="27577"/>
    <cellStyle name="标题 6 2 3 2 2" xfId="27578"/>
    <cellStyle name="检查单元格 2 6" xfId="27579"/>
    <cellStyle name="注释 2 4 4 2 5" xfId="27580"/>
    <cellStyle name="常规 10 2 3 2 4" xfId="27581"/>
    <cellStyle name="输入 2 3 2 9" xfId="27582"/>
    <cellStyle name="解释性文本 5" xfId="27583"/>
    <cellStyle name="百分比 2 2 4 2 2 3" xfId="27584"/>
    <cellStyle name="计算 2 2 4 5" xfId="27585"/>
    <cellStyle name="标题 5 4 9" xfId="27586"/>
    <cellStyle name="强调文字颜色 3 2 2 3 8" xfId="27587"/>
    <cellStyle name="常规 13 3 2 5 2" xfId="27588"/>
    <cellStyle name="解释性文本 2 5 2 2" xfId="27589"/>
    <cellStyle name="计算 3 5 4" xfId="27590"/>
    <cellStyle name="计算 2 5 5 9" xfId="27591"/>
    <cellStyle name="强调文字颜色 1 2 2 3 4 4" xfId="27592"/>
    <cellStyle name="汇总 2 2 7 5 4" xfId="27593"/>
    <cellStyle name="强调文字颜色 4 2 2 2 4 2" xfId="27594"/>
    <cellStyle name="计算 2 2 8 5 3 2 2" xfId="27595"/>
    <cellStyle name="强调文字颜色 3 2 4 2 2 2 3" xfId="27596"/>
    <cellStyle name="计算 2 2 4 2 2 8" xfId="27597"/>
    <cellStyle name="40% - 强调文字颜色 3" xfId="27598" builtinId="39"/>
    <cellStyle name="计算 2 4 4 2 2 2 2" xfId="27599"/>
    <cellStyle name="计算 2 5 4 4 3" xfId="27600"/>
    <cellStyle name="强调文字颜色 3 2 2 4 5 2 2" xfId="27601"/>
    <cellStyle name="常规 12 2 6 2" xfId="27602"/>
    <cellStyle name="汇总 2 2 4 2 3 3 3 2" xfId="27603"/>
    <cellStyle name="输入 2 5 2 5 5" xfId="27604"/>
    <cellStyle name="标题 3 2 3 6 2 2" xfId="27605"/>
    <cellStyle name="强调文字颜色 2 2 4 4 2" xfId="27606"/>
    <cellStyle name="检查单元格 2 2 5 2 2" xfId="27607"/>
    <cellStyle name="计算 2 2 4 2 2 3 2 3" xfId="27608"/>
    <cellStyle name="40% - 强调文字颜色 6 2 2 4 3 3 2" xfId="27609"/>
    <cellStyle name="强调文字颜色 3 2 5 3 2" xfId="27610"/>
    <cellStyle name="汇总 2 2 5 4 3 3" xfId="27611"/>
    <cellStyle name="汇总 2 2 3 2 2 2 2" xfId="27612"/>
    <cellStyle name="常规 4 2 2" xfId="27613"/>
    <cellStyle name="汇总 2 8 3 2 4" xfId="27614"/>
    <cellStyle name="标题 5 3 3 2 2 2 2" xfId="27615"/>
    <cellStyle name="说明文本 2 3" xfId="27616"/>
    <cellStyle name="60% - 强调文字颜色 2 2 4 3" xfId="27617"/>
    <cellStyle name="注释 2 3 2 2 2 3 2 2" xfId="27618"/>
    <cellStyle name="汇总 3 2 2 8" xfId="27619"/>
    <cellStyle name="20% - 强调文字颜色 6 2 2 6" xfId="27620"/>
    <cellStyle name="标题 1 6 2 2 2" xfId="27621"/>
    <cellStyle name="常规 5 5 2 4" xfId="27622"/>
    <cellStyle name="差 3 9" xfId="27623"/>
    <cellStyle name="输入 2 2 5 2 10" xfId="27624"/>
    <cellStyle name="汇总 2 2 4 4 2 2 3" xfId="27625"/>
    <cellStyle name="计算 2 2 5 2 9 2" xfId="27626"/>
    <cellStyle name="计算 2 4 2 2 2 6" xfId="27627"/>
    <cellStyle name="常规 13 3 3 3 3" xfId="27628"/>
    <cellStyle name="60% - 强调文字颜色 3 3 4" xfId="27629"/>
    <cellStyle name="强调文字颜色 2 2 2 2 2 4 4" xfId="27630"/>
    <cellStyle name="汇总 2 2 4 4 2 3 2" xfId="27631"/>
    <cellStyle name="注释 2 2 4 6 2 2" xfId="27632"/>
    <cellStyle name="60% - 强调文字颜色 6 3 2 4 2" xfId="27633"/>
    <cellStyle name="输出 2 2 5 9 2" xfId="27634"/>
    <cellStyle name="输出 2 4 4 2" xfId="27635"/>
    <cellStyle name="输出 2 2 7 6 2 2" xfId="27636"/>
    <cellStyle name="40% - 强调文字颜色 6 2 5 3 3" xfId="27637"/>
    <cellStyle name="注释 2 2 3 4 2 2 3" xfId="27638"/>
    <cellStyle name="强调文字颜色 1 2 3 4 3 3" xfId="27639"/>
    <cellStyle name="40% - 强调文字颜色 6 2 3 2 4 2" xfId="27640"/>
    <cellStyle name="常规 5 6" xfId="27641"/>
    <cellStyle name="输出 3 9 2" xfId="27642"/>
    <cellStyle name="标题 5 4 6 3" xfId="27643"/>
    <cellStyle name="超链接 3 2 2 2 2 3 2" xfId="27644"/>
    <cellStyle name="超链接 2 5" xfId="27645"/>
    <cellStyle name="解释性文本 2 5 3" xfId="27646"/>
    <cellStyle name="计算 2 5 4 2 3 3" xfId="27647"/>
    <cellStyle name="解释性文本 2 2 3 2 2 2 2" xfId="27648"/>
    <cellStyle name="计算 2 2 6 11" xfId="27649"/>
    <cellStyle name="汇总 3 4" xfId="27650"/>
    <cellStyle name="常规 2 3" xfId="27651"/>
    <cellStyle name="输入 2 2 7 3 2 3" xfId="27652"/>
    <cellStyle name="注释 2 2 2 3 3 2" xfId="27653"/>
    <cellStyle name="注释 2 2 3 2 3 4 2 2" xfId="27654"/>
    <cellStyle name="汇总 2 3 2 2 6 2 2" xfId="27655"/>
    <cellStyle name="注释 2 3 2 2 2 3 3" xfId="27656"/>
    <cellStyle name="汇总 2 4 2 2 2" xfId="27657"/>
    <cellStyle name="警告文本 2 6 2 2" xfId="27658"/>
    <cellStyle name="注释 4 8 2" xfId="27659"/>
    <cellStyle name="汇总 2 2 9 3 3 2" xfId="27660"/>
    <cellStyle name="常规 5 6 5 2" xfId="27661"/>
    <cellStyle name="计算 2 5 4 2 4" xfId="27662"/>
    <cellStyle name="差 2 4 4 2" xfId="27663"/>
    <cellStyle name="强调文字颜色 1 2 2 2 2 5 2 2" xfId="27664"/>
    <cellStyle name="输出 2 6 2 2 2 2" xfId="27665"/>
    <cellStyle name="常规 10 3 2 2 4" xfId="27666"/>
    <cellStyle name="输入 2 2 4 2 3" xfId="27667"/>
    <cellStyle name="40% - 强调文字颜色 1 3 2 2 2 2 2 2" xfId="27668"/>
    <cellStyle name="计算 2 4 3 2 2 2" xfId="27669"/>
    <cellStyle name="好 3 3 3 2 2" xfId="27670"/>
    <cellStyle name="汇总 2 2 7 3 4" xfId="27671"/>
    <cellStyle name="注释 4 4 2 2" xfId="27672"/>
    <cellStyle name="链接单元格 2 4 2 2 2 2" xfId="27673"/>
    <cellStyle name="计算 2 2 4 2 3 9" xfId="27674"/>
    <cellStyle name="汇总 2 2 7 3 3 2 2" xfId="27675"/>
    <cellStyle name="输入 2 4 4 3 3" xfId="27676"/>
    <cellStyle name="计算 2 2 4 2 2 7" xfId="27677"/>
    <cellStyle name="常规 11 6 3" xfId="27678"/>
    <cellStyle name="适中 2 7 2" xfId="27679"/>
    <cellStyle name="输入 2 10 2 4" xfId="27680"/>
    <cellStyle name="60% - 强调文字颜色 4 2 2 2 4 3" xfId="27681"/>
    <cellStyle name="链接单元格 3 2 3 2" xfId="27682"/>
    <cellStyle name="计算 2 4 3 6" xfId="27683"/>
    <cellStyle name="输入 2 2 8 6" xfId="27684"/>
    <cellStyle name="20% - 强调文字颜色 2 2 3 3 5" xfId="27685"/>
    <cellStyle name="输入 2 8 4 4" xfId="27686"/>
    <cellStyle name="输出 2 7 3 2 2" xfId="27687"/>
    <cellStyle name="汇总 2 2 4 2 2 7" xfId="27688"/>
    <cellStyle name="汇总 3 3 3 3 2" xfId="27689"/>
    <cellStyle name="输入 2 5 10 2" xfId="27690"/>
    <cellStyle name="20% - 强调文字颜色 4 2 2 6" xfId="27691"/>
    <cellStyle name="输出 3 2 5 2" xfId="27692"/>
    <cellStyle name="汇总 2 2 3 6 2" xfId="27693"/>
    <cellStyle name="说明文本 5 2" xfId="27694"/>
    <cellStyle name="常规 9 2 4 2 3" xfId="27695"/>
    <cellStyle name="常规 2 2 7 2" xfId="27696"/>
    <cellStyle name="汇总 2 2 4 2 6 4 2" xfId="27697"/>
    <cellStyle name="标题 3 2 2 4 2 2" xfId="27698"/>
    <cellStyle name="超链接 2 4 2 4" xfId="27699"/>
    <cellStyle name="汇总 2 8 7" xfId="27700"/>
    <cellStyle name="强调文字颜色 3 2 2 2 2 3 3" xfId="27701"/>
    <cellStyle name="差 2 5 2 2" xfId="27702"/>
    <cellStyle name="20% - 强调文字颜色 3 2 3 2 2 5 2 2" xfId="27703"/>
    <cellStyle name="注释 2 3 3 3 3" xfId="27704"/>
    <cellStyle name="计算 2 2 4 2 2 6 2" xfId="27705"/>
    <cellStyle name="标题 2 3 2 2 5" xfId="27706"/>
    <cellStyle name="计算 2 7 17" xfId="27707"/>
    <cellStyle name="常规 6 2 2 2" xfId="27708"/>
    <cellStyle name="40% - 强调文字颜色 1 2 9" xfId="27709"/>
    <cellStyle name="20% - 强调文字颜色 5 2 2 2 2 5 2 2 2" xfId="27710"/>
    <cellStyle name="标题 4 2 2 2 2 5 2 2" xfId="27711"/>
    <cellStyle name="计算 2 2 8 2 2 4" xfId="27712"/>
    <cellStyle name="常规 8 2" xfId="27713"/>
    <cellStyle name="40% - 强调文字颜色 1 2 4 4 3 2" xfId="27714"/>
    <cellStyle name="计算 2 10 4 2 2" xfId="27715"/>
    <cellStyle name="输出 3 2 4 2 2" xfId="27716"/>
    <cellStyle name="标题 4 3 2 2 2 2 2" xfId="27717"/>
    <cellStyle name="输入 2 2 4 2 2 2 2 2" xfId="27718"/>
    <cellStyle name="汇总 2 5 2 3 5 2 2" xfId="27719"/>
    <cellStyle name="强调文字颜色 1 2 7 2 2" xfId="27720"/>
    <cellStyle name="链接单元格 3 4 3" xfId="27721"/>
    <cellStyle name="计算 2 2 4 2 3 4 2" xfId="27722"/>
    <cellStyle name="输入 2 2 6 3 3 2" xfId="27723"/>
    <cellStyle name="60% - 强调文字颜色 4 3 2 2 3 2" xfId="27724"/>
    <cellStyle name="输出 2 4 11" xfId="27725"/>
    <cellStyle name="常规 7 4 4 2" xfId="27726"/>
    <cellStyle name="常规 5 2 2 3 5 2 2" xfId="27727"/>
    <cellStyle name="汇总 2 2 2 4 2" xfId="27728"/>
    <cellStyle name="强调文字颜色 3 2 2 3 3 2 3" xfId="27729"/>
    <cellStyle name="差 2 2 6 3" xfId="27730"/>
    <cellStyle name="常规 12 3 2 2 2" xfId="27731"/>
    <cellStyle name="注释 2 2 13" xfId="27732"/>
    <cellStyle name="汇总 2 2 2 2 9" xfId="27733"/>
    <cellStyle name="汇总 2 2 7 3 4 2 2" xfId="27734"/>
    <cellStyle name="输入 2 2 5 6 2" xfId="27735"/>
    <cellStyle name="常规 9 2 3 2 2 3" xfId="27736"/>
    <cellStyle name="注释 2 2 3 2 7 3" xfId="27737"/>
    <cellStyle name="标题 1 2 2 6 3 3" xfId="27738"/>
    <cellStyle name="计算 2 4 4 3" xfId="27739"/>
    <cellStyle name="输出 2 2 4 2 2 2 2 2 2" xfId="27740"/>
    <cellStyle name="计算 2 5 2 3 2 3 2" xfId="27741"/>
    <cellStyle name="强调文字颜色 4" xfId="27742" builtinId="41"/>
    <cellStyle name="常规 11 3 3 4 2" xfId="27743"/>
    <cellStyle name="注释 2 2 4 2 2 3 2" xfId="27744"/>
    <cellStyle name="注释 5 2 2" xfId="27745"/>
    <cellStyle name="40% - 强调文字颜色 2 2 3 2 3 2 2 2 2" xfId="27746"/>
    <cellStyle name="差 2 6 3" xfId="27747"/>
    <cellStyle name="输入 2 2 10 2 5" xfId="27748"/>
    <cellStyle name="汇总 2 2 3 3 2" xfId="27749"/>
    <cellStyle name="输入 2 2 2 4" xfId="27750"/>
    <cellStyle name="计算 2 2 2 2 6 2 2" xfId="27751"/>
    <cellStyle name="计算 2 2 4 10 2" xfId="27752"/>
    <cellStyle name="计算 2 2 2 13" xfId="27753"/>
    <cellStyle name="说明文本 2 3 2" xfId="27754"/>
    <cellStyle name="标题 5 3 3 2 2 2 2 2" xfId="27755"/>
    <cellStyle name="汇总 2 2 3 3 3 2" xfId="27756"/>
    <cellStyle name="常规 9 3 3 2 2 2" xfId="27757"/>
    <cellStyle name="标题 1 2 2 4 2 2" xfId="27758"/>
    <cellStyle name="强调文字颜色 5 2 7 2 3" xfId="27759"/>
    <cellStyle name="计算 2 6 3 2 5" xfId="27760"/>
    <cellStyle name="计算 2 6 2 2 4 3" xfId="27761"/>
    <cellStyle name="汇总 2 2 4 2 2 2 2 5" xfId="27762"/>
    <cellStyle name="60% - 强调文字颜色 2 2 2 2" xfId="27763"/>
    <cellStyle name="20% - 强调文字颜色 2 2 8 2" xfId="27764"/>
    <cellStyle name="输入 2 2 8 3 5" xfId="27765"/>
    <cellStyle name="汇总 2 2 2 2 6 3" xfId="27766"/>
    <cellStyle name="60% - 强调文字颜色 1 2 2 3 4 3" xfId="27767"/>
    <cellStyle name="解释性文本 2 2 3 7" xfId="27768"/>
    <cellStyle name="汇总 2 2 5 12" xfId="27769"/>
    <cellStyle name="计算 2 2 4 3 2 8" xfId="27770"/>
    <cellStyle name="输出 2 9 2" xfId="27771"/>
    <cellStyle name="20% - 强调文字颜色 1" xfId="27772" builtinId="30"/>
    <cellStyle name="汇总 2 2 5 2 2 3 3 2 2" xfId="27773"/>
    <cellStyle name="超链接 2 4 2 2 2 2" xfId="27774"/>
    <cellStyle name="强调文字颜色 6 2 2 3 2 2 2" xfId="27775"/>
    <cellStyle name="20% - 强调文字颜色 2 2 3 2 2 2 3" xfId="27776"/>
    <cellStyle name="汇总 2 7 10" xfId="27777"/>
    <cellStyle name="注释 2 8 3 2" xfId="27778"/>
    <cellStyle name="超链接 2 5 3 2 3" xfId="27779"/>
    <cellStyle name="计算 2 3 4 2 2 2 2" xfId="27780"/>
    <cellStyle name="强调文字颜色 5 2 3 3" xfId="27781"/>
    <cellStyle name="检查单元格 2 2 4 3 3 2" xfId="27782"/>
    <cellStyle name="计算 2 5 2 6 5" xfId="27783"/>
    <cellStyle name="计算 2 6 3 5 2 2" xfId="27784"/>
    <cellStyle name="计算 2 4 2 2 4 3" xfId="27785"/>
    <cellStyle name="超链接 3 5 2 2" xfId="27786"/>
    <cellStyle name="强调文字颜色 6 2 6 2 3" xfId="27787"/>
    <cellStyle name="汇总 2 4 2 2 3 3 2 2" xfId="27788"/>
    <cellStyle name="输入 2 2 10 2" xfId="27789"/>
    <cellStyle name="解释性文本 2 3 2 4" xfId="27790"/>
    <cellStyle name="常规 6 2 2 2 5 2 2" xfId="27791"/>
    <cellStyle name="常规 7 2 2 2 4" xfId="27792"/>
    <cellStyle name="强调文字颜色 5 2 2 2 2 5" xfId="27793"/>
    <cellStyle name="输出 2 7 3 2 2 2" xfId="27794"/>
    <cellStyle name="常规 4 2 2 2 3 2" xfId="27795"/>
    <cellStyle name="计算 2 4 3 5 2 2" xfId="27796"/>
    <cellStyle name="输入 2 2 6 2 8" xfId="27797"/>
    <cellStyle name="百分比 2 2 2 3 2 2" xfId="27798"/>
    <cellStyle name="输入 2 10 4 2" xfId="27799"/>
    <cellStyle name="60% - 强调文字颜色 1 2 2 3 3 3 2" xfId="27800"/>
    <cellStyle name="60% - 强调文字颜色 1 3 2 3 2 2" xfId="27801"/>
    <cellStyle name="输入 2 2 5 6 3" xfId="27802"/>
    <cellStyle name="计算 2 6 4 2 2 2 2" xfId="27803"/>
    <cellStyle name="强调文字颜色 5 2 3 3 2 2" xfId="27804"/>
    <cellStyle name="常规 4 2 6 3" xfId="27805"/>
    <cellStyle name="60% - 强调文字颜色 6 2 3 4" xfId="27806"/>
    <cellStyle name="汇总 2 2 7 3 2 3 3" xfId="27807"/>
    <cellStyle name="汇总 2 4 2 2 3 2 2 2" xfId="27808"/>
    <cellStyle name="输出 2 6 2 2 3 2" xfId="27809"/>
    <cellStyle name="输出 2 6 4 2 2" xfId="27810"/>
    <cellStyle name="强调文字颜色 3 2 2 4 2 2 3" xfId="27811"/>
    <cellStyle name="好 3 2 2 2 3" xfId="27812"/>
    <cellStyle name="超链接 2 4 4" xfId="27813"/>
    <cellStyle name="计算 2 2 4 5 3 2" xfId="27814"/>
    <cellStyle name="链接单元格 2 5" xfId="27815"/>
    <cellStyle name="汇总 2 2 2 4 2 5 2" xfId="27816"/>
    <cellStyle name="好 2 6 3" xfId="27817"/>
    <cellStyle name="40% - 强调文字颜色 6 4 2 3 2 2 2" xfId="27818"/>
    <cellStyle name="常规 2 2 2 5" xfId="27819"/>
    <cellStyle name="常规 9 2 5" xfId="27820"/>
    <cellStyle name="输出 2 4 2 10" xfId="27821"/>
    <cellStyle name="计算 2 5 4 2 3 2" xfId="27822"/>
    <cellStyle name="汇总 2 5 6 3 2" xfId="27823"/>
    <cellStyle name="标题 6 2 2 2 2 2" xfId="27824"/>
    <cellStyle name="解释性文本 2 2 2 4 2 2" xfId="27825"/>
    <cellStyle name="标题 5 2 3 4 2" xfId="27826"/>
    <cellStyle name="标题 6 5 2" xfId="27827"/>
    <cellStyle name="计算 2 5 4 2 4 3" xfId="27828"/>
    <cellStyle name="计算 2 6 3 2 4 3" xfId="27829"/>
    <cellStyle name="输出 2 2 2 2 3 6" xfId="27830"/>
    <cellStyle name="百分比 2 3 4 3" xfId="27831"/>
    <cellStyle name="60% - 强调文字颜色 6 2 3 3 2" xfId="27832"/>
    <cellStyle name="强调文字颜色 5 2 2 2 7" xfId="27833"/>
    <cellStyle name="常规 2 3 2 4 3" xfId="27834"/>
    <cellStyle name="输出 3 3" xfId="27835"/>
    <cellStyle name="计算 2 2 8 3 2 3 3" xfId="27836"/>
    <cellStyle name="汇总 2 2 8 5" xfId="27837"/>
    <cellStyle name="计算 3 6 2 2" xfId="27838"/>
    <cellStyle name="强调文字颜色 1" xfId="27839" builtinId="29"/>
    <cellStyle name="汇总 2 5 11" xfId="27840"/>
    <cellStyle name="输入 2 2 4 2 3 6" xfId="27841"/>
    <cellStyle name="输入 4 3 3" xfId="27842"/>
    <cellStyle name="适中 2 4 10" xfId="27843"/>
    <cellStyle name="差 2 3 2" xfId="27844"/>
    <cellStyle name="计算 2 4 2 6" xfId="27845"/>
    <cellStyle name="汇总 2 2 5 3 2 5 2" xfId="27846"/>
    <cellStyle name="输入 2 5 4 5 2 2" xfId="27847"/>
    <cellStyle name="百分比 2 5 2 3" xfId="27848"/>
    <cellStyle name="常规 5 2 3 8 2" xfId="27849"/>
    <cellStyle name="计算 2 2 4 12" xfId="27850"/>
    <cellStyle name="解释性文本 2 2 2 3 2" xfId="27851"/>
    <cellStyle name="输入 2 3 2 6 2" xfId="27852"/>
    <cellStyle name="注释 2 3" xfId="27853"/>
    <cellStyle name="常规 2 2 3 5 2 2" xfId="27854"/>
    <cellStyle name="汇总 3 2 2 2 4 3" xfId="27855"/>
    <cellStyle name="强调文字颜色 3 2 2 3 3 4" xfId="27856"/>
    <cellStyle name="输出 2 2 5 4 2 2" xfId="27857"/>
    <cellStyle name="注释 2 2 2 2 2 3 3" xfId="27858"/>
    <cellStyle name="强调文字颜色 6 2 2 2 2 3 2 2 2" xfId="27859"/>
    <cellStyle name="60% - 强调文字颜色 3 2 2 2 2 2 2 2 2 2" xfId="27860"/>
    <cellStyle name="注释 2 2 2 7 2 2" xfId="27861"/>
    <cellStyle name="计算 4 3 2 2" xfId="27862"/>
    <cellStyle name="检查单元格 2 8" xfId="27863"/>
    <cellStyle name="输入 2 2 4 2 8 3"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00"/>
      <color rgb="000000FF"/>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X1561"/>
  <sheetViews>
    <sheetView tabSelected="1" zoomScale="130" zoomScaleNormal="130" workbookViewId="0">
      <pane xSplit="5" ySplit="3" topLeftCell="F687" activePane="bottomRight" state="frozen"/>
      <selection/>
      <selection pane="topRight"/>
      <selection pane="bottomLeft"/>
      <selection pane="bottomRight" activeCell="A767" sqref="A767"/>
    </sheetView>
  </sheetViews>
  <sheetFormatPr defaultColWidth="9" defaultRowHeight="14"/>
  <cols>
    <col min="1" max="1" width="7.13392857142857" style="46" customWidth="1"/>
    <col min="2" max="2" width="1.875" style="47" customWidth="1"/>
    <col min="3" max="3" width="1.875" style="48" customWidth="1"/>
    <col min="4" max="4" width="4.19642857142857" style="49" customWidth="1"/>
    <col min="5" max="5" width="14.25" style="49" customWidth="1"/>
    <col min="6" max="6" width="7.41071428571429" style="50" customWidth="1"/>
    <col min="7" max="7" width="12.625" style="49" customWidth="1"/>
    <col min="8" max="8" width="6.05357142857143" style="49" customWidth="1"/>
    <col min="9" max="9" width="13" style="49" customWidth="1"/>
    <col min="10" max="10" width="8.625" style="49" customWidth="1"/>
    <col min="11" max="11" width="9.75" style="51" customWidth="1"/>
    <col min="12" max="12" width="11.8392857142857" style="52" customWidth="1"/>
    <col min="13" max="13" width="19.125" style="53" customWidth="1"/>
    <col min="14" max="14" width="19.875" style="53" customWidth="1"/>
    <col min="15" max="15" width="4.75" style="53" customWidth="1"/>
    <col min="16" max="16" width="9.375" style="54" customWidth="1"/>
    <col min="17" max="17" width="10.0982142857143" style="54" customWidth="1"/>
    <col min="18" max="18" width="10.0892857142857" style="55" customWidth="1"/>
    <col min="19" max="19" width="9.01785714285714"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75"/>
      <c r="G1" s="61"/>
      <c r="H1" s="61"/>
      <c r="I1" s="61"/>
      <c r="J1" s="61"/>
      <c r="K1" s="86"/>
      <c r="L1" s="87"/>
      <c r="M1" s="99"/>
      <c r="N1" s="99"/>
      <c r="O1" s="99"/>
      <c r="P1" s="100"/>
      <c r="Q1" s="100"/>
      <c r="R1" s="117"/>
      <c r="S1" s="118"/>
      <c r="T1" s="100"/>
      <c r="U1" s="86"/>
      <c r="V1" s="100"/>
      <c r="W1" s="61"/>
    </row>
    <row r="2" s="37" customFormat="1" ht="17" customHeight="1" spans="1:23">
      <c r="A2" s="62"/>
      <c r="B2" s="63"/>
      <c r="C2" s="64"/>
      <c r="D2" s="65" t="s">
        <v>0</v>
      </c>
      <c r="E2" s="76">
        <f>COUNTIF(D:D,D2)-1</f>
        <v>18</v>
      </c>
      <c r="F2" s="77"/>
      <c r="G2" s="78" t="s">
        <v>1</v>
      </c>
      <c r="H2" s="76">
        <f>COUNTIF(D:D,G2)</f>
        <v>7</v>
      </c>
      <c r="I2" s="78" t="s">
        <v>2</v>
      </c>
      <c r="J2" s="88">
        <f>COUNTIF(D:D,I2)</f>
        <v>7</v>
      </c>
      <c r="K2" s="78" t="s">
        <v>3</v>
      </c>
      <c r="L2" s="76">
        <f>COUNTIF(D:D,K2)</f>
        <v>47</v>
      </c>
      <c r="M2" s="101"/>
      <c r="N2" s="101"/>
      <c r="O2" s="101"/>
      <c r="P2" s="78" t="s">
        <v>4</v>
      </c>
      <c r="Q2" s="119">
        <f>SUMIF(A4:A1539,"J*",R4:R1539)+SUMIF(A4:A1539,"M*",R4:R1539)</f>
        <v>249669.11</v>
      </c>
      <c r="R2" s="78" t="s">
        <v>5</v>
      </c>
      <c r="S2" s="119">
        <f>SUMIF(A4:A1539,"J*",S4:S1539)+SUMIF(A4:A1539,"M*",S4:S1539)</f>
        <v>11490</v>
      </c>
      <c r="T2" s="78" t="s">
        <v>6</v>
      </c>
      <c r="U2" s="119">
        <f>SUMIF(A4:A1539,"X*",R4:R1539)</f>
        <v>83862.666</v>
      </c>
      <c r="V2" s="78" t="s">
        <v>7</v>
      </c>
      <c r="W2" s="119">
        <f>SUMIF(A4:A1539,"X*",S4:S1539)</f>
        <v>0</v>
      </c>
    </row>
    <row r="3" s="38" customFormat="1" ht="29.1" customHeight="1" spans="1:23">
      <c r="A3" s="66" t="s">
        <v>8</v>
      </c>
      <c r="B3" s="67" t="s">
        <v>9</v>
      </c>
      <c r="C3" s="68" t="s">
        <v>10</v>
      </c>
      <c r="D3" s="69"/>
      <c r="E3" s="79" t="s">
        <v>11</v>
      </c>
      <c r="F3" s="80" t="s">
        <v>12</v>
      </c>
      <c r="G3" s="81" t="s">
        <v>13</v>
      </c>
      <c r="H3" s="80" t="s">
        <v>14</v>
      </c>
      <c r="I3" s="89" t="s">
        <v>15</v>
      </c>
      <c r="J3" s="90" t="s">
        <v>16</v>
      </c>
      <c r="K3" s="91" t="s">
        <v>17</v>
      </c>
      <c r="L3" s="92" t="s">
        <v>18</v>
      </c>
      <c r="M3" s="102" t="s">
        <v>19</v>
      </c>
      <c r="N3" s="103" t="s">
        <v>20</v>
      </c>
      <c r="O3" s="104" t="s">
        <v>21</v>
      </c>
      <c r="P3" s="105" t="s">
        <v>22</v>
      </c>
      <c r="Q3" s="120" t="s">
        <v>23</v>
      </c>
      <c r="R3" s="121" t="s">
        <v>24</v>
      </c>
      <c r="S3" s="122" t="s">
        <v>25</v>
      </c>
      <c r="T3" s="123" t="s">
        <v>26</v>
      </c>
      <c r="U3" s="123" t="s">
        <v>27</v>
      </c>
      <c r="V3" s="136" t="s">
        <v>28</v>
      </c>
      <c r="W3" s="137"/>
    </row>
    <row r="4" s="39" customFormat="1" ht="22" customHeight="1" spans="1:23">
      <c r="A4" s="70" t="s">
        <v>29</v>
      </c>
      <c r="B4" s="71" t="s">
        <v>30</v>
      </c>
      <c r="C4" s="72"/>
      <c r="D4" s="73" t="s">
        <v>31</v>
      </c>
      <c r="E4" s="73" t="s">
        <v>32</v>
      </c>
      <c r="F4" s="82" t="str">
        <f>IFERROR(VLOOKUP(E4,客户!B:C,2,FALSE),"/")</f>
        <v>/</v>
      </c>
      <c r="G4" s="73" t="s">
        <v>33</v>
      </c>
      <c r="H4" s="45"/>
      <c r="I4" s="45"/>
      <c r="J4" s="45"/>
      <c r="K4" s="93"/>
      <c r="L4" s="93"/>
      <c r="M4" s="106"/>
      <c r="N4" s="106"/>
      <c r="O4" s="106"/>
      <c r="P4" s="107">
        <v>35789</v>
      </c>
      <c r="Q4" s="107">
        <v>11000</v>
      </c>
      <c r="R4" s="124"/>
      <c r="S4" s="125"/>
      <c r="T4" s="126">
        <f>-N4+P4</f>
        <v>35789</v>
      </c>
      <c r="U4" s="93"/>
      <c r="V4" s="107"/>
      <c r="W4" s="45"/>
    </row>
    <row r="5" s="39" customFormat="1" ht="22" customHeight="1" spans="1:23">
      <c r="A5" s="70" t="s">
        <v>34</v>
      </c>
      <c r="B5" s="71" t="s">
        <v>30</v>
      </c>
      <c r="C5" s="72"/>
      <c r="D5" s="73" t="s">
        <v>31</v>
      </c>
      <c r="E5" s="73" t="s">
        <v>35</v>
      </c>
      <c r="F5" s="82" t="str">
        <f>IFERROR(VLOOKUP(E5,客户!B:C,2,FALSE),"/")</f>
        <v>/</v>
      </c>
      <c r="G5" s="73" t="s">
        <v>36</v>
      </c>
      <c r="H5" s="45"/>
      <c r="I5" s="45"/>
      <c r="J5" s="45"/>
      <c r="K5" s="94"/>
      <c r="L5" s="94"/>
      <c r="M5" s="106"/>
      <c r="N5" s="106"/>
      <c r="O5" s="108"/>
      <c r="P5" s="107">
        <v>37173.5</v>
      </c>
      <c r="Q5" s="107">
        <v>1772</v>
      </c>
      <c r="R5" s="124"/>
      <c r="S5" s="125"/>
      <c r="T5" s="126">
        <f>N5-P5-P6</f>
        <v>-37173.5</v>
      </c>
      <c r="U5" s="93"/>
      <c r="V5" s="126"/>
      <c r="W5" s="45"/>
    </row>
    <row r="6" s="39" customFormat="1" ht="22" customHeight="1" spans="1:23">
      <c r="A6" s="70" t="s">
        <v>37</v>
      </c>
      <c r="B6" s="71" t="s">
        <v>30</v>
      </c>
      <c r="C6" s="72"/>
      <c r="D6" s="73" t="s">
        <v>31</v>
      </c>
      <c r="E6" s="73" t="s">
        <v>35</v>
      </c>
      <c r="F6" s="82" t="str">
        <f>IFERROR(VLOOKUP(E6,客户!B:C,2,FALSE),"/")</f>
        <v>/</v>
      </c>
      <c r="G6" s="73" t="s">
        <v>36</v>
      </c>
      <c r="H6" s="45"/>
      <c r="I6" s="45"/>
      <c r="J6" s="45"/>
      <c r="K6" s="94"/>
      <c r="L6" s="94"/>
      <c r="M6" s="106"/>
      <c r="N6" s="106"/>
      <c r="O6" s="108"/>
      <c r="P6" s="107"/>
      <c r="Q6" s="107">
        <v>1772</v>
      </c>
      <c r="R6" s="124"/>
      <c r="S6" s="125"/>
      <c r="T6" s="126"/>
      <c r="U6" s="93"/>
      <c r="V6" s="126"/>
      <c r="W6" s="45"/>
    </row>
    <row r="7" s="39" customFormat="1" ht="22" customHeight="1" spans="1:23">
      <c r="A7" s="70" t="s">
        <v>38</v>
      </c>
      <c r="B7" s="71" t="s">
        <v>30</v>
      </c>
      <c r="C7" s="72"/>
      <c r="D7" s="73" t="s">
        <v>31</v>
      </c>
      <c r="E7" s="83" t="s">
        <v>39</v>
      </c>
      <c r="F7" s="82" t="str">
        <f>IFERROR(VLOOKUP(E7,客户!B:C,2,FALSE),"/")</f>
        <v>/</v>
      </c>
      <c r="G7" s="73" t="s">
        <v>40</v>
      </c>
      <c r="H7" s="45"/>
      <c r="I7" s="45"/>
      <c r="J7" s="45"/>
      <c r="K7" s="93"/>
      <c r="L7" s="93"/>
      <c r="M7" s="106"/>
      <c r="N7" s="106"/>
      <c r="O7" s="108"/>
      <c r="P7" s="107">
        <v>35610.5</v>
      </c>
      <c r="Q7" s="107"/>
      <c r="R7" s="124"/>
      <c r="S7" s="125"/>
      <c r="T7" s="126">
        <v>35610.5</v>
      </c>
      <c r="U7" s="93"/>
      <c r="V7" s="107"/>
      <c r="W7" s="45"/>
    </row>
    <row r="8" s="39" customFormat="1" ht="22" customHeight="1" spans="1:23">
      <c r="A8" s="70" t="s">
        <v>41</v>
      </c>
      <c r="B8" s="71" t="s">
        <v>30</v>
      </c>
      <c r="C8" s="72"/>
      <c r="D8" s="73" t="s">
        <v>31</v>
      </c>
      <c r="E8" s="83" t="s">
        <v>42</v>
      </c>
      <c r="F8" s="82" t="str">
        <f>IFERROR(VLOOKUP(E8,客户!B:C,2,FALSE),"/")</f>
        <v>/</v>
      </c>
      <c r="G8" s="73" t="s">
        <v>43</v>
      </c>
      <c r="H8" s="45"/>
      <c r="I8" s="45"/>
      <c r="J8" s="45"/>
      <c r="K8" s="93"/>
      <c r="L8" s="93"/>
      <c r="M8" s="106"/>
      <c r="N8" s="106"/>
      <c r="O8" s="108"/>
      <c r="P8" s="107">
        <v>22154.85</v>
      </c>
      <c r="Q8" s="127">
        <v>4430.97</v>
      </c>
      <c r="R8" s="124"/>
      <c r="S8" s="125"/>
      <c r="T8" s="126">
        <f>N8-P8</f>
        <v>-22154.85</v>
      </c>
      <c r="U8" s="93"/>
      <c r="V8" s="107"/>
      <c r="W8" s="45"/>
    </row>
    <row r="9" s="39" customFormat="1" ht="22" customHeight="1" spans="1:23">
      <c r="A9" s="70" t="s">
        <v>44</v>
      </c>
      <c r="B9" s="71" t="s">
        <v>30</v>
      </c>
      <c r="C9" s="72"/>
      <c r="D9" s="73" t="s">
        <v>31</v>
      </c>
      <c r="E9" s="84" t="s">
        <v>45</v>
      </c>
      <c r="F9" s="82" t="str">
        <f>IFERROR(VLOOKUP(E9,客户!B:C,2,FALSE),"/")</f>
        <v>/</v>
      </c>
      <c r="G9" s="73" t="s">
        <v>43</v>
      </c>
      <c r="H9" s="45"/>
      <c r="I9" s="45"/>
      <c r="J9" s="45"/>
      <c r="K9" s="93"/>
      <c r="L9" s="93"/>
      <c r="M9" s="106"/>
      <c r="N9" s="106"/>
      <c r="O9" s="108"/>
      <c r="P9" s="107">
        <v>18356.75</v>
      </c>
      <c r="Q9" s="107" t="s">
        <v>46</v>
      </c>
      <c r="R9" s="124"/>
      <c r="S9" s="125"/>
      <c r="T9" s="126">
        <f>N9-5000</f>
        <v>-5000</v>
      </c>
      <c r="U9" s="93"/>
      <c r="V9" s="107"/>
      <c r="W9" s="45"/>
    </row>
    <row r="10" s="39" customFormat="1" ht="22" customHeight="1" spans="1:23">
      <c r="A10" s="70" t="s">
        <v>47</v>
      </c>
      <c r="B10" s="71" t="s">
        <v>30</v>
      </c>
      <c r="C10" s="72"/>
      <c r="D10" s="73" t="s">
        <v>31</v>
      </c>
      <c r="E10" s="73" t="s">
        <v>48</v>
      </c>
      <c r="F10" s="82" t="str">
        <f>IFERROR(VLOOKUP(E10,客户!B:C,2,FALSE),"/")</f>
        <v>/</v>
      </c>
      <c r="G10" s="73" t="s">
        <v>49</v>
      </c>
      <c r="H10" s="45"/>
      <c r="I10" s="45"/>
      <c r="J10" s="45"/>
      <c r="K10" s="93"/>
      <c r="L10" s="93"/>
      <c r="M10" s="106"/>
      <c r="N10" s="106"/>
      <c r="O10" s="108"/>
      <c r="P10" s="107">
        <v>41384.88</v>
      </c>
      <c r="Q10" s="107">
        <f>P10-U10</f>
        <v>41384.88</v>
      </c>
      <c r="R10" s="124"/>
      <c r="S10" s="125"/>
      <c r="T10" s="126">
        <v>30151.8</v>
      </c>
      <c r="U10" s="93"/>
      <c r="V10" s="107"/>
      <c r="W10" s="45"/>
    </row>
    <row r="11" s="39" customFormat="1" ht="22" customHeight="1" spans="1:23">
      <c r="A11" s="70" t="s">
        <v>50</v>
      </c>
      <c r="B11" s="71" t="s">
        <v>30</v>
      </c>
      <c r="C11" s="72"/>
      <c r="D11" s="73" t="s">
        <v>31</v>
      </c>
      <c r="E11" s="73" t="s">
        <v>51</v>
      </c>
      <c r="F11" s="82" t="str">
        <f>IFERROR(VLOOKUP(E11,客户!B:C,2,FALSE),"/")</f>
        <v>/</v>
      </c>
      <c r="G11" s="73" t="s">
        <v>43</v>
      </c>
      <c r="H11" s="45"/>
      <c r="I11" s="45"/>
      <c r="J11" s="45"/>
      <c r="K11" s="94"/>
      <c r="L11" s="94"/>
      <c r="M11" s="106"/>
      <c r="N11" s="106"/>
      <c r="O11" s="108"/>
      <c r="P11" s="107"/>
      <c r="Q11" s="128"/>
      <c r="R11" s="129"/>
      <c r="S11" s="130"/>
      <c r="T11" s="107"/>
      <c r="U11" s="93"/>
      <c r="V11" s="126"/>
      <c r="W11" s="45"/>
    </row>
    <row r="12" s="39" customFormat="1" ht="22" customHeight="1" spans="1:23">
      <c r="A12" s="70" t="s">
        <v>52</v>
      </c>
      <c r="B12" s="71" t="s">
        <v>30</v>
      </c>
      <c r="C12" s="72"/>
      <c r="D12" s="73" t="s">
        <v>31</v>
      </c>
      <c r="E12" s="73" t="s">
        <v>53</v>
      </c>
      <c r="F12" s="82" t="str">
        <f>IFERROR(VLOOKUP(E12,客户!B:C,2,FALSE),"/")</f>
        <v>/</v>
      </c>
      <c r="G12" s="73" t="s">
        <v>54</v>
      </c>
      <c r="H12" s="45"/>
      <c r="I12" s="45"/>
      <c r="J12" s="45"/>
      <c r="K12" s="93"/>
      <c r="L12" s="93"/>
      <c r="M12" s="106"/>
      <c r="N12" s="106"/>
      <c r="O12" s="108"/>
      <c r="P12" s="107">
        <v>23577.6</v>
      </c>
      <c r="Q12" s="128"/>
      <c r="R12" s="124"/>
      <c r="S12" s="125"/>
      <c r="T12" s="126">
        <v>23577.6</v>
      </c>
      <c r="U12" s="93"/>
      <c r="V12" s="107"/>
      <c r="W12" s="45"/>
    </row>
    <row r="13" s="39" customFormat="1" ht="22" customHeight="1" spans="1:23">
      <c r="A13" s="70" t="s">
        <v>55</v>
      </c>
      <c r="B13" s="71" t="s">
        <v>30</v>
      </c>
      <c r="C13" s="72"/>
      <c r="D13" s="73" t="s">
        <v>31</v>
      </c>
      <c r="E13" s="73" t="s">
        <v>56</v>
      </c>
      <c r="F13" s="82" t="str">
        <f>IFERROR(VLOOKUP(E13,客户!B:C,2,FALSE),"/")</f>
        <v>/</v>
      </c>
      <c r="G13" s="73" t="s">
        <v>57</v>
      </c>
      <c r="H13" s="45"/>
      <c r="I13" s="45"/>
      <c r="J13" s="45"/>
      <c r="K13" s="93"/>
      <c r="L13" s="93"/>
      <c r="M13" s="106"/>
      <c r="N13" s="106"/>
      <c r="O13" s="108"/>
      <c r="P13" s="107">
        <v>20017.05</v>
      </c>
      <c r="Q13" s="107">
        <v>4003.41</v>
      </c>
      <c r="R13" s="124"/>
      <c r="S13" s="125"/>
      <c r="T13" s="126">
        <f>N13-P13</f>
        <v>-20017.05</v>
      </c>
      <c r="U13" s="93"/>
      <c r="V13" s="107"/>
      <c r="W13" s="45"/>
    </row>
    <row r="14" s="39" customFormat="1" ht="22" customHeight="1" spans="1:23">
      <c r="A14" s="70" t="s">
        <v>58</v>
      </c>
      <c r="B14" s="71" t="s">
        <v>30</v>
      </c>
      <c r="C14" s="72"/>
      <c r="D14" s="73" t="s">
        <v>31</v>
      </c>
      <c r="E14" s="73" t="s">
        <v>51</v>
      </c>
      <c r="F14" s="82" t="str">
        <f>IFERROR(VLOOKUP(E14,客户!B:C,2,FALSE),"/")</f>
        <v>/</v>
      </c>
      <c r="G14" s="73" t="s">
        <v>54</v>
      </c>
      <c r="H14" s="45"/>
      <c r="I14" s="45"/>
      <c r="J14" s="45"/>
      <c r="K14" s="95"/>
      <c r="L14" s="94"/>
      <c r="M14" s="106"/>
      <c r="N14" s="106"/>
      <c r="O14" s="108"/>
      <c r="P14" s="107"/>
      <c r="Q14" s="128"/>
      <c r="R14" s="131"/>
      <c r="S14" s="132"/>
      <c r="T14" s="109"/>
      <c r="U14" s="93"/>
      <c r="V14" s="138"/>
      <c r="W14" s="45"/>
    </row>
    <row r="15" s="39" customFormat="1" ht="22" customHeight="1" spans="1:23">
      <c r="A15" s="70" t="s">
        <v>59</v>
      </c>
      <c r="B15" s="71" t="s">
        <v>30</v>
      </c>
      <c r="C15" s="72"/>
      <c r="D15" s="73" t="s">
        <v>31</v>
      </c>
      <c r="E15" s="73" t="s">
        <v>60</v>
      </c>
      <c r="F15" s="82" t="str">
        <f>IFERROR(VLOOKUP(E15,客户!B:C,2,FALSE),"/")</f>
        <v>外送费用945人民币+装箱费用 加在发票里</v>
      </c>
      <c r="G15" s="85" t="s">
        <v>61</v>
      </c>
      <c r="H15" s="45"/>
      <c r="I15" s="45"/>
      <c r="J15" s="45"/>
      <c r="K15" s="93"/>
      <c r="L15" s="93"/>
      <c r="M15" s="106"/>
      <c r="N15" s="106"/>
      <c r="O15" s="108"/>
      <c r="P15" s="107">
        <v>99268</v>
      </c>
      <c r="Q15" s="128"/>
      <c r="R15" s="124"/>
      <c r="S15" s="125"/>
      <c r="T15" s="126">
        <v>98939</v>
      </c>
      <c r="U15" s="93"/>
      <c r="V15" s="107"/>
      <c r="W15" s="45"/>
    </row>
    <row r="16" s="39" customFormat="1" ht="22" customHeight="1" spans="1:23">
      <c r="A16" s="70" t="s">
        <v>62</v>
      </c>
      <c r="B16" s="71" t="s">
        <v>30</v>
      </c>
      <c r="C16" s="72"/>
      <c r="D16" s="73" t="s">
        <v>31</v>
      </c>
      <c r="E16" s="73" t="s">
        <v>60</v>
      </c>
      <c r="F16" s="82" t="str">
        <f>IFERROR(VLOOKUP(E16,客户!B:C,2,FALSE),"/")</f>
        <v>外送费用945人民币+装箱费用 加在发票里</v>
      </c>
      <c r="G16" s="73" t="s">
        <v>63</v>
      </c>
      <c r="H16" s="45"/>
      <c r="I16" s="45"/>
      <c r="J16" s="45"/>
      <c r="K16" s="93"/>
      <c r="L16" s="93"/>
      <c r="M16" s="106"/>
      <c r="N16" s="106"/>
      <c r="O16" s="108"/>
      <c r="P16" s="107">
        <v>99253.6</v>
      </c>
      <c r="Q16" s="126"/>
      <c r="R16" s="124"/>
      <c r="S16" s="125"/>
      <c r="T16" s="126">
        <v>98996</v>
      </c>
      <c r="U16" s="93"/>
      <c r="V16" s="107"/>
      <c r="W16" s="45"/>
    </row>
    <row r="17" s="39" customFormat="1" ht="22" customHeight="1" spans="1:23">
      <c r="A17" s="70" t="s">
        <v>64</v>
      </c>
      <c r="B17" s="71" t="s">
        <v>30</v>
      </c>
      <c r="C17" s="72"/>
      <c r="D17" s="73" t="s">
        <v>31</v>
      </c>
      <c r="E17" s="73" t="s">
        <v>65</v>
      </c>
      <c r="F17" s="82" t="str">
        <f>IFERROR(VLOOKUP(E17,客户!B:C,2,FALSE),"/")</f>
        <v>/</v>
      </c>
      <c r="G17" s="73" t="s">
        <v>33</v>
      </c>
      <c r="H17" s="45"/>
      <c r="I17" s="45"/>
      <c r="J17" s="45"/>
      <c r="K17" s="93"/>
      <c r="L17" s="93"/>
      <c r="M17" s="106"/>
      <c r="N17" s="106"/>
      <c r="O17" s="108"/>
      <c r="P17" s="107">
        <v>41030</v>
      </c>
      <c r="Q17" s="107">
        <v>11700</v>
      </c>
      <c r="R17" s="124"/>
      <c r="S17" s="125"/>
      <c r="T17" s="126">
        <f>N17-P17</f>
        <v>-41030</v>
      </c>
      <c r="U17" s="93"/>
      <c r="V17" s="107"/>
      <c r="W17" s="45"/>
    </row>
    <row r="18" s="39" customFormat="1" ht="22" customHeight="1" spans="1:23">
      <c r="A18" s="70" t="s">
        <v>66</v>
      </c>
      <c r="B18" s="71" t="s">
        <v>30</v>
      </c>
      <c r="C18" s="72"/>
      <c r="D18" s="73" t="s">
        <v>31</v>
      </c>
      <c r="E18" s="73" t="s">
        <v>51</v>
      </c>
      <c r="F18" s="82" t="str">
        <f>IFERROR(VLOOKUP(E18,客户!B:C,2,FALSE),"/")</f>
        <v>/</v>
      </c>
      <c r="G18" s="73" t="s">
        <v>54</v>
      </c>
      <c r="H18" s="45"/>
      <c r="I18" s="45"/>
      <c r="J18" s="45"/>
      <c r="K18" s="95"/>
      <c r="L18" s="94"/>
      <c r="M18" s="106"/>
      <c r="N18" s="106"/>
      <c r="O18" s="108"/>
      <c r="P18" s="107"/>
      <c r="Q18" s="128"/>
      <c r="R18" s="129"/>
      <c r="S18" s="130"/>
      <c r="T18" s="107"/>
      <c r="U18" s="93"/>
      <c r="V18" s="128"/>
      <c r="W18" s="45"/>
    </row>
    <row r="19" s="39" customFormat="1" ht="22" customHeight="1" spans="1:23">
      <c r="A19" s="70" t="s">
        <v>67</v>
      </c>
      <c r="B19" s="71" t="s">
        <v>30</v>
      </c>
      <c r="C19" s="72"/>
      <c r="D19" s="73" t="s">
        <v>31</v>
      </c>
      <c r="E19" s="73" t="s">
        <v>65</v>
      </c>
      <c r="F19" s="82" t="str">
        <f>IFERROR(VLOOKUP(E19,客户!B:C,2,FALSE),"/")</f>
        <v>/</v>
      </c>
      <c r="G19" s="73" t="s">
        <v>68</v>
      </c>
      <c r="H19" s="45"/>
      <c r="I19" s="45"/>
      <c r="J19" s="45"/>
      <c r="K19" s="93"/>
      <c r="L19" s="93"/>
      <c r="M19" s="106"/>
      <c r="N19" s="106"/>
      <c r="O19" s="108"/>
      <c r="P19" s="107">
        <v>47192.3</v>
      </c>
      <c r="Q19" s="107">
        <v>12000</v>
      </c>
      <c r="R19" s="124"/>
      <c r="S19" s="125"/>
      <c r="T19" s="126">
        <f>N19-6000</f>
        <v>-6000</v>
      </c>
      <c r="U19" s="93"/>
      <c r="V19" s="107"/>
      <c r="W19" s="45"/>
    </row>
    <row r="20" s="39" customFormat="1" ht="22" customHeight="1" spans="1:23">
      <c r="A20" s="70" t="s">
        <v>69</v>
      </c>
      <c r="B20" s="71" t="s">
        <v>30</v>
      </c>
      <c r="C20" s="72"/>
      <c r="D20" s="73" t="s">
        <v>31</v>
      </c>
      <c r="E20" s="73" t="s">
        <v>65</v>
      </c>
      <c r="F20" s="82" t="str">
        <f>IFERROR(VLOOKUP(E20,客户!B:C,2,FALSE),"/")</f>
        <v>/</v>
      </c>
      <c r="G20" s="73" t="s">
        <v>70</v>
      </c>
      <c r="H20" s="45"/>
      <c r="I20" s="45"/>
      <c r="J20" s="45"/>
      <c r="K20" s="93"/>
      <c r="L20" s="93"/>
      <c r="M20" s="106"/>
      <c r="N20" s="106"/>
      <c r="O20" s="108"/>
      <c r="P20" s="107">
        <v>22812.85</v>
      </c>
      <c r="Q20" s="107"/>
      <c r="R20" s="124"/>
      <c r="S20" s="125"/>
      <c r="T20" s="126">
        <f>N20-6000</f>
        <v>-6000</v>
      </c>
      <c r="U20" s="93"/>
      <c r="V20" s="107"/>
      <c r="W20" s="45"/>
    </row>
    <row r="21" s="39" customFormat="1" ht="22" customHeight="1" spans="1:23">
      <c r="A21" s="70" t="s">
        <v>71</v>
      </c>
      <c r="B21" s="71" t="s">
        <v>30</v>
      </c>
      <c r="C21" s="72"/>
      <c r="D21" s="73" t="s">
        <v>31</v>
      </c>
      <c r="E21" s="73" t="s">
        <v>72</v>
      </c>
      <c r="F21" s="82">
        <f>IFERROR(VLOOKUP(E21,客户!B:C,2,FALSE),"/")</f>
        <v>0</v>
      </c>
      <c r="G21" s="73" t="s">
        <v>73</v>
      </c>
      <c r="H21" s="45"/>
      <c r="I21" s="45"/>
      <c r="J21" s="45"/>
      <c r="K21" s="93"/>
      <c r="L21" s="93"/>
      <c r="M21" s="106"/>
      <c r="N21" s="106"/>
      <c r="O21" s="106"/>
      <c r="P21" s="107">
        <v>39291.5</v>
      </c>
      <c r="Q21" s="107">
        <v>5298</v>
      </c>
      <c r="R21" s="124"/>
      <c r="S21" s="125"/>
      <c r="T21" s="126">
        <f>N21-5298-2207</f>
        <v>-7505</v>
      </c>
      <c r="U21" s="93"/>
      <c r="V21" s="107"/>
      <c r="W21" s="45"/>
    </row>
    <row r="22" s="39" customFormat="1" ht="22" customHeight="1" spans="1:23">
      <c r="A22" s="70" t="s">
        <v>74</v>
      </c>
      <c r="B22" s="71" t="s">
        <v>30</v>
      </c>
      <c r="C22" s="72"/>
      <c r="D22" s="73" t="s">
        <v>31</v>
      </c>
      <c r="E22" s="73" t="s">
        <v>75</v>
      </c>
      <c r="F22" s="82" t="str">
        <f>IFERROR(VLOOKUP(E22,客户!B:C,2,FALSE),"/")</f>
        <v>/</v>
      </c>
      <c r="G22" s="73" t="s">
        <v>76</v>
      </c>
      <c r="H22" s="45"/>
      <c r="I22" s="45"/>
      <c r="J22" s="45"/>
      <c r="K22" s="93"/>
      <c r="L22" s="93"/>
      <c r="M22" s="106"/>
      <c r="N22" s="106"/>
      <c r="O22" s="106"/>
      <c r="P22" s="107">
        <v>41093.48</v>
      </c>
      <c r="Q22" s="107">
        <f>P22-U22</f>
        <v>41093.48</v>
      </c>
      <c r="R22" s="124"/>
      <c r="S22" s="125"/>
      <c r="T22" s="126">
        <v>31265.9</v>
      </c>
      <c r="U22" s="93"/>
      <c r="V22" s="107"/>
      <c r="W22" s="45"/>
    </row>
    <row r="23" s="39" customFormat="1" ht="22" customHeight="1" spans="1:23">
      <c r="A23" s="70" t="s">
        <v>77</v>
      </c>
      <c r="B23" s="71" t="s">
        <v>30</v>
      </c>
      <c r="C23" s="72"/>
      <c r="D23" s="73" t="s">
        <v>31</v>
      </c>
      <c r="E23" s="73" t="s">
        <v>75</v>
      </c>
      <c r="F23" s="82" t="str">
        <f>IFERROR(VLOOKUP(E23,客户!B:C,2,FALSE),"/")</f>
        <v>/</v>
      </c>
      <c r="G23" s="73" t="s">
        <v>54</v>
      </c>
      <c r="H23" s="45"/>
      <c r="I23" s="45"/>
      <c r="J23" s="45"/>
      <c r="K23" s="93"/>
      <c r="L23" s="93"/>
      <c r="M23" s="106"/>
      <c r="N23" s="106"/>
      <c r="O23" s="106"/>
      <c r="P23" s="107"/>
      <c r="Q23" s="107"/>
      <c r="R23" s="124"/>
      <c r="S23" s="125"/>
      <c r="T23" s="126"/>
      <c r="U23" s="93"/>
      <c r="V23" s="107"/>
      <c r="W23" s="45"/>
    </row>
    <row r="24" s="39" customFormat="1" ht="22" customHeight="1" spans="1:23">
      <c r="A24" s="70" t="s">
        <v>78</v>
      </c>
      <c r="B24" s="71" t="s">
        <v>30</v>
      </c>
      <c r="C24" s="72"/>
      <c r="D24" s="73" t="s">
        <v>31</v>
      </c>
      <c r="E24" s="73" t="s">
        <v>79</v>
      </c>
      <c r="F24" s="82" t="str">
        <f>IFERROR(VLOOKUP(E24,客户!B:C,2,FALSE),"/")</f>
        <v>/</v>
      </c>
      <c r="G24" s="73" t="s">
        <v>80</v>
      </c>
      <c r="H24" s="45"/>
      <c r="I24" s="45"/>
      <c r="J24" s="45"/>
      <c r="K24" s="93"/>
      <c r="L24" s="93"/>
      <c r="M24" s="106"/>
      <c r="N24" s="106"/>
      <c r="O24" s="106"/>
      <c r="P24" s="107">
        <v>24769.35</v>
      </c>
      <c r="Q24" s="107">
        <v>8294.42</v>
      </c>
      <c r="R24" s="124"/>
      <c r="S24" s="125"/>
      <c r="T24" s="126">
        <f>N24-P24</f>
        <v>-24769.35</v>
      </c>
      <c r="U24" s="93"/>
      <c r="V24" s="107"/>
      <c r="W24" s="45"/>
    </row>
    <row r="25" s="39" customFormat="1" ht="22" customHeight="1" spans="1:23">
      <c r="A25" s="70" t="s">
        <v>81</v>
      </c>
      <c r="B25" s="71" t="s">
        <v>30</v>
      </c>
      <c r="C25" s="72"/>
      <c r="D25" s="73" t="s">
        <v>31</v>
      </c>
      <c r="E25" s="73" t="s">
        <v>82</v>
      </c>
      <c r="F25" s="82" t="str">
        <f>IFERROR(VLOOKUP(E25,客户!B:C,2,FALSE),"/")</f>
        <v>/</v>
      </c>
      <c r="G25" s="73" t="s">
        <v>83</v>
      </c>
      <c r="H25" s="45"/>
      <c r="I25" s="45"/>
      <c r="J25" s="45"/>
      <c r="K25" s="93"/>
      <c r="L25" s="93"/>
      <c r="M25" s="106"/>
      <c r="N25" s="106"/>
      <c r="O25" s="106"/>
      <c r="P25" s="107"/>
      <c r="Q25" s="107">
        <v>1450</v>
      </c>
      <c r="R25" s="129"/>
      <c r="S25" s="130"/>
      <c r="T25" s="107"/>
      <c r="U25" s="93"/>
      <c r="V25" s="107"/>
      <c r="W25" s="45"/>
    </row>
    <row r="26" s="39" customFormat="1" ht="22" customHeight="1" spans="1:23">
      <c r="A26" s="70" t="s">
        <v>84</v>
      </c>
      <c r="B26" s="71" t="s">
        <v>30</v>
      </c>
      <c r="C26" s="72"/>
      <c r="D26" s="73" t="s">
        <v>31</v>
      </c>
      <c r="E26" s="73" t="s">
        <v>85</v>
      </c>
      <c r="F26" s="82" t="str">
        <f>IFERROR(VLOOKUP(E26,客户!B:C,2,FALSE),"/")</f>
        <v>/</v>
      </c>
      <c r="G26" s="73" t="s">
        <v>86</v>
      </c>
      <c r="H26" s="45"/>
      <c r="I26" s="45"/>
      <c r="J26" s="45"/>
      <c r="K26" s="93"/>
      <c r="L26" s="93"/>
      <c r="M26" s="106"/>
      <c r="N26" s="106"/>
      <c r="O26" s="106"/>
      <c r="P26" s="107"/>
      <c r="Q26" s="107">
        <v>5890</v>
      </c>
      <c r="R26" s="129"/>
      <c r="S26" s="130"/>
      <c r="T26" s="107"/>
      <c r="U26" s="93"/>
      <c r="V26" s="107"/>
      <c r="W26" s="45"/>
    </row>
    <row r="27" s="39" customFormat="1" ht="22" customHeight="1" spans="1:23">
      <c r="A27" s="70" t="s">
        <v>87</v>
      </c>
      <c r="B27" s="71" t="s">
        <v>30</v>
      </c>
      <c r="C27" s="72"/>
      <c r="D27" s="73" t="s">
        <v>31</v>
      </c>
      <c r="E27" s="73" t="s">
        <v>85</v>
      </c>
      <c r="F27" s="82" t="str">
        <f>IFERROR(VLOOKUP(E27,客户!B:C,2,FALSE),"/")</f>
        <v>/</v>
      </c>
      <c r="G27" s="73"/>
      <c r="H27" s="45"/>
      <c r="I27" s="45"/>
      <c r="J27" s="45"/>
      <c r="K27" s="93"/>
      <c r="L27" s="93"/>
      <c r="M27" s="106"/>
      <c r="N27" s="106"/>
      <c r="O27" s="106"/>
      <c r="P27" s="107"/>
      <c r="Q27" s="107"/>
      <c r="R27" s="129"/>
      <c r="S27" s="130"/>
      <c r="T27" s="107"/>
      <c r="U27" s="93"/>
      <c r="V27" s="107"/>
      <c r="W27" s="45"/>
    </row>
    <row r="28" s="39" customFormat="1" ht="22" customHeight="1" spans="1:23">
      <c r="A28" s="70" t="s">
        <v>88</v>
      </c>
      <c r="B28" s="71" t="s">
        <v>30</v>
      </c>
      <c r="C28" s="72"/>
      <c r="D28" s="73" t="s">
        <v>31</v>
      </c>
      <c r="E28" s="73" t="s">
        <v>85</v>
      </c>
      <c r="F28" s="82" t="str">
        <f>IFERROR(VLOOKUP(E28,客户!B:C,2,FALSE),"/")</f>
        <v>/</v>
      </c>
      <c r="G28" s="73"/>
      <c r="H28" s="45"/>
      <c r="I28" s="45"/>
      <c r="J28" s="45"/>
      <c r="K28" s="93"/>
      <c r="L28" s="93"/>
      <c r="M28" s="106"/>
      <c r="N28" s="106"/>
      <c r="O28" s="106"/>
      <c r="P28" s="107"/>
      <c r="Q28" s="107"/>
      <c r="R28" s="129" t="s">
        <v>89</v>
      </c>
      <c r="S28" s="130"/>
      <c r="T28" s="107"/>
      <c r="U28" s="93"/>
      <c r="V28" s="107"/>
      <c r="W28" s="45"/>
    </row>
    <row r="29" s="39" customFormat="1" ht="22" customHeight="1" spans="1:23">
      <c r="A29" s="70" t="s">
        <v>90</v>
      </c>
      <c r="B29" s="71" t="s">
        <v>30</v>
      </c>
      <c r="C29" s="72"/>
      <c r="D29" s="73" t="s">
        <v>31</v>
      </c>
      <c r="E29" s="73" t="s">
        <v>85</v>
      </c>
      <c r="F29" s="82" t="str">
        <f>IFERROR(VLOOKUP(E29,客户!B:C,2,FALSE),"/")</f>
        <v>/</v>
      </c>
      <c r="G29" s="73" t="s">
        <v>91</v>
      </c>
      <c r="H29" s="45"/>
      <c r="I29" s="45"/>
      <c r="J29" s="45"/>
      <c r="K29" s="93"/>
      <c r="L29" s="93"/>
      <c r="M29" s="106"/>
      <c r="N29" s="106"/>
      <c r="O29" s="106"/>
      <c r="P29" s="107"/>
      <c r="Q29" s="107"/>
      <c r="R29" s="129"/>
      <c r="S29" s="130"/>
      <c r="T29" s="107"/>
      <c r="U29" s="93"/>
      <c r="V29" s="107"/>
      <c r="W29" s="45"/>
    </row>
    <row r="30" s="39" customFormat="1" ht="22" customHeight="1" spans="1:23">
      <c r="A30" s="70" t="s">
        <v>92</v>
      </c>
      <c r="B30" s="71" t="s">
        <v>30</v>
      </c>
      <c r="C30" s="72"/>
      <c r="D30" s="73" t="s">
        <v>31</v>
      </c>
      <c r="E30" s="73" t="s">
        <v>72</v>
      </c>
      <c r="F30" s="82">
        <f>IFERROR(VLOOKUP(E30,客户!B:C,2,FALSE),"/")</f>
        <v>0</v>
      </c>
      <c r="G30" s="73" t="s">
        <v>93</v>
      </c>
      <c r="H30" s="45"/>
      <c r="I30" s="45"/>
      <c r="J30" s="45"/>
      <c r="K30" s="93"/>
      <c r="L30" s="93"/>
      <c r="M30" s="106"/>
      <c r="N30" s="106"/>
      <c r="O30" s="108"/>
      <c r="P30" s="107">
        <v>18968</v>
      </c>
      <c r="Q30" s="107">
        <v>6207</v>
      </c>
      <c r="R30" s="124"/>
      <c r="S30" s="125"/>
      <c r="T30" s="126">
        <f>N30-P30-130</f>
        <v>-19098</v>
      </c>
      <c r="U30" s="93"/>
      <c r="V30" s="107"/>
      <c r="W30" s="45"/>
    </row>
    <row r="31" s="39" customFormat="1" ht="22" customHeight="1" spans="1:23">
      <c r="A31" s="70" t="s">
        <v>94</v>
      </c>
      <c r="B31" s="71" t="s">
        <v>30</v>
      </c>
      <c r="C31" s="72"/>
      <c r="D31" s="73" t="s">
        <v>31</v>
      </c>
      <c r="E31" s="73" t="s">
        <v>95</v>
      </c>
      <c r="F31" s="82" t="str">
        <f>IFERROR(VLOOKUP(E31,客户!B:C,2,FALSE),"/")</f>
        <v>/</v>
      </c>
      <c r="G31" s="73" t="s">
        <v>83</v>
      </c>
      <c r="H31" s="45"/>
      <c r="I31" s="45"/>
      <c r="J31" s="45"/>
      <c r="K31" s="96"/>
      <c r="L31" s="94"/>
      <c r="M31" s="106"/>
      <c r="N31" s="106"/>
      <c r="O31" s="108"/>
      <c r="P31" s="109" t="s">
        <v>96</v>
      </c>
      <c r="Q31" s="107" t="s">
        <v>97</v>
      </c>
      <c r="R31" s="129"/>
      <c r="S31" s="130"/>
      <c r="T31" s="107"/>
      <c r="U31" s="93"/>
      <c r="V31" s="139"/>
      <c r="W31" s="45"/>
    </row>
    <row r="32" s="39" customFormat="1" ht="22" customHeight="1" spans="1:23">
      <c r="A32" s="70" t="s">
        <v>98</v>
      </c>
      <c r="B32" s="71" t="s">
        <v>30</v>
      </c>
      <c r="C32" s="72"/>
      <c r="D32" s="73" t="s">
        <v>31</v>
      </c>
      <c r="E32" s="73" t="s">
        <v>99</v>
      </c>
      <c r="F32" s="82" t="str">
        <f>IFERROR(VLOOKUP(E32,客户!B:C,2,FALSE),"/")</f>
        <v>/</v>
      </c>
      <c r="G32" s="73" t="s">
        <v>61</v>
      </c>
      <c r="H32" s="45"/>
      <c r="I32" s="45"/>
      <c r="J32" s="45"/>
      <c r="K32" s="93"/>
      <c r="L32" s="93"/>
      <c r="M32" s="106"/>
      <c r="N32" s="106"/>
      <c r="O32" s="108"/>
      <c r="P32" s="107">
        <v>106240.25</v>
      </c>
      <c r="Q32" s="128"/>
      <c r="R32" s="124"/>
      <c r="S32" s="125"/>
      <c r="T32" s="126">
        <v>105974.35</v>
      </c>
      <c r="U32" s="93"/>
      <c r="V32" s="107"/>
      <c r="W32" s="45"/>
    </row>
    <row r="33" s="39" customFormat="1" ht="22" customHeight="1" spans="1:23">
      <c r="A33" s="70" t="s">
        <v>100</v>
      </c>
      <c r="B33" s="71" t="s">
        <v>30</v>
      </c>
      <c r="C33" s="72"/>
      <c r="D33" s="73" t="s">
        <v>31</v>
      </c>
      <c r="E33" s="73" t="s">
        <v>99</v>
      </c>
      <c r="F33" s="82" t="str">
        <f>IFERROR(VLOOKUP(E33,客户!B:C,2,FALSE),"/")</f>
        <v>/</v>
      </c>
      <c r="G33" s="73" t="s">
        <v>61</v>
      </c>
      <c r="H33" s="45"/>
      <c r="I33" s="45"/>
      <c r="J33" s="45"/>
      <c r="K33" s="93"/>
      <c r="L33" s="93"/>
      <c r="M33" s="106"/>
      <c r="N33" s="106"/>
      <c r="O33" s="108"/>
      <c r="P33" s="107">
        <v>106240.25</v>
      </c>
      <c r="Q33" s="128"/>
      <c r="R33" s="124"/>
      <c r="S33" s="125"/>
      <c r="T33" s="126">
        <v>105974</v>
      </c>
      <c r="U33" s="93"/>
      <c r="V33" s="107"/>
      <c r="W33" s="45"/>
    </row>
    <row r="34" s="39" customFormat="1" ht="22" customHeight="1" spans="1:23">
      <c r="A34" s="70" t="s">
        <v>101</v>
      </c>
      <c r="B34" s="71" t="s">
        <v>30</v>
      </c>
      <c r="C34" s="72"/>
      <c r="D34" s="73" t="s">
        <v>31</v>
      </c>
      <c r="E34" s="73" t="s">
        <v>102</v>
      </c>
      <c r="F34" s="82" t="str">
        <f>IFERROR(VLOOKUP(E34,客户!B:C,2,FALSE),"/")</f>
        <v>/</v>
      </c>
      <c r="G34" s="73" t="s">
        <v>54</v>
      </c>
      <c r="H34" s="45"/>
      <c r="I34" s="45"/>
      <c r="J34" s="45"/>
      <c r="K34" s="95"/>
      <c r="L34" s="94"/>
      <c r="M34" s="106"/>
      <c r="N34" s="106"/>
      <c r="O34" s="108"/>
      <c r="P34" s="107"/>
      <c r="Q34" s="128"/>
      <c r="R34" s="129"/>
      <c r="S34" s="130"/>
      <c r="T34" s="107"/>
      <c r="U34" s="93"/>
      <c r="V34" s="128"/>
      <c r="W34" s="45"/>
    </row>
    <row r="35" s="39" customFormat="1" ht="22" customHeight="1" spans="1:23">
      <c r="A35" s="70" t="s">
        <v>103</v>
      </c>
      <c r="B35" s="71" t="s">
        <v>30</v>
      </c>
      <c r="C35" s="72"/>
      <c r="D35" s="73" t="s">
        <v>31</v>
      </c>
      <c r="E35" s="73" t="s">
        <v>104</v>
      </c>
      <c r="F35" s="82" t="str">
        <f>IFERROR(VLOOKUP(E35,客户!B:C,2,FALSE),"/")</f>
        <v>/</v>
      </c>
      <c r="G35" s="73" t="s">
        <v>105</v>
      </c>
      <c r="H35" s="45"/>
      <c r="I35" s="45"/>
      <c r="J35" s="45"/>
      <c r="K35" s="93"/>
      <c r="L35" s="93"/>
      <c r="M35" s="106"/>
      <c r="N35" s="106"/>
      <c r="O35" s="108"/>
      <c r="P35" s="107">
        <v>45630.65</v>
      </c>
      <c r="Q35" s="107">
        <v>13240.06</v>
      </c>
      <c r="R35" s="124"/>
      <c r="S35" s="125"/>
      <c r="T35" s="126">
        <f>N35-P35+4000</f>
        <v>-41630.65</v>
      </c>
      <c r="U35" s="93"/>
      <c r="V35" s="107"/>
      <c r="W35" s="45"/>
    </row>
    <row r="36" s="39" customFormat="1" ht="22" customHeight="1" spans="1:23">
      <c r="A36" s="70" t="s">
        <v>106</v>
      </c>
      <c r="B36" s="71" t="s">
        <v>30</v>
      </c>
      <c r="C36" s="72"/>
      <c r="D36" s="73" t="s">
        <v>31</v>
      </c>
      <c r="E36" s="73" t="s">
        <v>65</v>
      </c>
      <c r="F36" s="82" t="str">
        <f>IFERROR(VLOOKUP(E36,客户!B:C,2,FALSE),"/")</f>
        <v>/</v>
      </c>
      <c r="G36" s="73" t="s">
        <v>43</v>
      </c>
      <c r="H36" s="45"/>
      <c r="I36" s="45"/>
      <c r="J36" s="45"/>
      <c r="K36" s="93"/>
      <c r="L36" s="93"/>
      <c r="M36" s="106"/>
      <c r="N36" s="106"/>
      <c r="O36" s="108"/>
      <c r="P36" s="107">
        <v>22518.05</v>
      </c>
      <c r="Q36" s="128"/>
      <c r="R36" s="124"/>
      <c r="S36" s="125"/>
      <c r="T36" s="126">
        <f>N36-4000</f>
        <v>-4000</v>
      </c>
      <c r="U36" s="93"/>
      <c r="V36" s="107"/>
      <c r="W36" s="45"/>
    </row>
    <row r="37" s="39" customFormat="1" ht="22" customHeight="1" spans="1:23">
      <c r="A37" s="70" t="s">
        <v>107</v>
      </c>
      <c r="B37" s="71" t="s">
        <v>30</v>
      </c>
      <c r="C37" s="72"/>
      <c r="D37" s="73" t="s">
        <v>31</v>
      </c>
      <c r="E37" s="73" t="s">
        <v>108</v>
      </c>
      <c r="F37" s="82" t="str">
        <f>IFERROR(VLOOKUP(E37,客户!B:C,2,FALSE),"/")</f>
        <v>/</v>
      </c>
      <c r="G37" s="73" t="s">
        <v>109</v>
      </c>
      <c r="H37" s="45"/>
      <c r="I37" s="45"/>
      <c r="J37" s="45"/>
      <c r="K37" s="93"/>
      <c r="L37" s="93"/>
      <c r="M37" s="106"/>
      <c r="N37" s="106"/>
      <c r="O37" s="108"/>
      <c r="P37" s="107">
        <v>22635.15</v>
      </c>
      <c r="Q37" s="107">
        <v>7472</v>
      </c>
      <c r="R37" s="124"/>
      <c r="S37" s="125"/>
      <c r="T37" s="126">
        <f>N37-P37</f>
        <v>-22635.15</v>
      </c>
      <c r="U37" s="93"/>
      <c r="V37" s="107"/>
      <c r="W37" s="45"/>
    </row>
    <row r="38" s="40" customFormat="1" ht="22" customHeight="1" spans="1:22">
      <c r="A38" s="70" t="s">
        <v>110</v>
      </c>
      <c r="B38" s="71" t="s">
        <v>30</v>
      </c>
      <c r="C38" s="72"/>
      <c r="D38" s="73" t="s">
        <v>31</v>
      </c>
      <c r="E38" s="73" t="s">
        <v>111</v>
      </c>
      <c r="F38" s="82" t="str">
        <f>IFERROR(VLOOKUP(E38,客户!B:C,2,FALSE),"/")</f>
        <v>/</v>
      </c>
      <c r="G38" s="73" t="s">
        <v>43</v>
      </c>
      <c r="K38" s="93"/>
      <c r="L38" s="93"/>
      <c r="M38" s="110"/>
      <c r="N38" s="110"/>
      <c r="O38" s="108"/>
      <c r="P38" s="107">
        <v>23123.78</v>
      </c>
      <c r="Q38" s="107">
        <v>4877</v>
      </c>
      <c r="R38" s="133"/>
      <c r="S38" s="134"/>
      <c r="T38" s="126">
        <f>N38-P38</f>
        <v>-23123.78</v>
      </c>
      <c r="U38" s="93"/>
      <c r="V38" s="107"/>
    </row>
    <row r="39" s="39" customFormat="1" ht="22" customHeight="1" spans="1:23">
      <c r="A39" s="70" t="s">
        <v>112</v>
      </c>
      <c r="B39" s="71" t="s">
        <v>30</v>
      </c>
      <c r="C39" s="72"/>
      <c r="D39" s="73" t="s">
        <v>31</v>
      </c>
      <c r="E39" s="73" t="s">
        <v>102</v>
      </c>
      <c r="F39" s="82" t="str">
        <f>IFERROR(VLOOKUP(E39,客户!B:C,2,FALSE),"/")</f>
        <v>/</v>
      </c>
      <c r="G39" s="73" t="s">
        <v>43</v>
      </c>
      <c r="H39" s="45"/>
      <c r="I39" s="45"/>
      <c r="J39" s="45"/>
      <c r="K39" s="94"/>
      <c r="L39" s="94"/>
      <c r="M39" s="106"/>
      <c r="N39" s="106"/>
      <c r="O39" s="108"/>
      <c r="P39" s="107"/>
      <c r="Q39" s="107"/>
      <c r="R39" s="129"/>
      <c r="S39" s="130"/>
      <c r="T39" s="107"/>
      <c r="U39" s="93"/>
      <c r="V39" s="126"/>
      <c r="W39" s="45"/>
    </row>
    <row r="40" s="39" customFormat="1" ht="22" customHeight="1" spans="1:23">
      <c r="A40" s="70" t="s">
        <v>113</v>
      </c>
      <c r="B40" s="71" t="s">
        <v>30</v>
      </c>
      <c r="C40" s="72"/>
      <c r="D40" s="73" t="s">
        <v>31</v>
      </c>
      <c r="E40" s="73" t="s">
        <v>102</v>
      </c>
      <c r="F40" s="82" t="str">
        <f>IFERROR(VLOOKUP(E40,客户!B:C,2,FALSE),"/")</f>
        <v>/</v>
      </c>
      <c r="G40" s="73" t="s">
        <v>43</v>
      </c>
      <c r="H40" s="45"/>
      <c r="I40" s="45"/>
      <c r="J40" s="45"/>
      <c r="K40" s="94"/>
      <c r="L40" s="94"/>
      <c r="M40" s="106"/>
      <c r="N40" s="106"/>
      <c r="O40" s="108"/>
      <c r="P40" s="107"/>
      <c r="Q40" s="107"/>
      <c r="R40" s="129"/>
      <c r="S40" s="130"/>
      <c r="T40" s="107"/>
      <c r="U40" s="93"/>
      <c r="V40" s="126"/>
      <c r="W40" s="45"/>
    </row>
    <row r="41" s="39" customFormat="1" ht="22" customHeight="1" spans="1:23">
      <c r="A41" s="70" t="s">
        <v>114</v>
      </c>
      <c r="B41" s="71" t="s">
        <v>30</v>
      </c>
      <c r="C41" s="72"/>
      <c r="D41" s="73" t="s">
        <v>31</v>
      </c>
      <c r="E41" s="73" t="s">
        <v>115</v>
      </c>
      <c r="F41" s="82" t="str">
        <f>IFERROR(VLOOKUP(E41,客户!B:C,2,FALSE),"/")</f>
        <v>/</v>
      </c>
      <c r="G41" s="73" t="s">
        <v>116</v>
      </c>
      <c r="H41" s="45"/>
      <c r="I41" s="45"/>
      <c r="J41" s="45"/>
      <c r="K41" s="93"/>
      <c r="L41" s="93"/>
      <c r="M41" s="106"/>
      <c r="N41" s="106"/>
      <c r="O41" s="108"/>
      <c r="P41" s="107">
        <v>85789.65</v>
      </c>
      <c r="Q41" s="107">
        <v>12000</v>
      </c>
      <c r="R41" s="124"/>
      <c r="S41" s="125"/>
      <c r="T41" s="126">
        <f>(N41-P41)*6.55</f>
        <v>-561922.2075</v>
      </c>
      <c r="U41" s="93"/>
      <c r="V41" s="107"/>
      <c r="W41" s="45"/>
    </row>
    <row r="42" s="39" customFormat="1" ht="22" customHeight="1" spans="1:23">
      <c r="A42" s="70" t="s">
        <v>117</v>
      </c>
      <c r="B42" s="71" t="s">
        <v>30</v>
      </c>
      <c r="C42" s="72"/>
      <c r="D42" s="73" t="s">
        <v>31</v>
      </c>
      <c r="E42" s="73" t="s">
        <v>99</v>
      </c>
      <c r="F42" s="82" t="str">
        <f>IFERROR(VLOOKUP(E42,客户!B:C,2,FALSE),"/")</f>
        <v>/</v>
      </c>
      <c r="G42" s="73" t="s">
        <v>118</v>
      </c>
      <c r="H42" s="45"/>
      <c r="I42" s="45"/>
      <c r="J42" s="45"/>
      <c r="K42" s="93"/>
      <c r="L42" s="93"/>
      <c r="M42" s="106"/>
      <c r="N42" s="106"/>
      <c r="O42" s="108"/>
      <c r="P42" s="107">
        <v>107758</v>
      </c>
      <c r="Q42" s="107">
        <f>P42-U42</f>
        <v>107758</v>
      </c>
      <c r="R42" s="124"/>
      <c r="S42" s="125"/>
      <c r="T42" s="126">
        <v>107489.8</v>
      </c>
      <c r="U42" s="93"/>
      <c r="V42" s="107"/>
      <c r="W42" s="45"/>
    </row>
    <row r="43" s="39" customFormat="1" ht="22" customHeight="1" spans="1:23">
      <c r="A43" s="70" t="s">
        <v>119</v>
      </c>
      <c r="B43" s="71" t="s">
        <v>30</v>
      </c>
      <c r="C43" s="72"/>
      <c r="D43" s="73" t="s">
        <v>31</v>
      </c>
      <c r="E43" s="73" t="s">
        <v>99</v>
      </c>
      <c r="F43" s="82" t="str">
        <f>IFERROR(VLOOKUP(E43,客户!B:C,2,FALSE),"/")</f>
        <v>/</v>
      </c>
      <c r="G43" s="73" t="s">
        <v>118</v>
      </c>
      <c r="H43" s="45"/>
      <c r="I43" s="45"/>
      <c r="J43" s="45"/>
      <c r="K43" s="93"/>
      <c r="L43" s="93"/>
      <c r="M43" s="106"/>
      <c r="N43" s="106"/>
      <c r="O43" s="108"/>
      <c r="P43" s="107">
        <v>107706.2</v>
      </c>
      <c r="Q43" s="107">
        <v>4291.42</v>
      </c>
      <c r="R43" s="124"/>
      <c r="S43" s="125"/>
      <c r="T43" s="126">
        <f>N43-P43</f>
        <v>-107706.2</v>
      </c>
      <c r="U43" s="93"/>
      <c r="V43" s="107"/>
      <c r="W43" s="45"/>
    </row>
    <row r="44" s="39" customFormat="1" ht="22" customHeight="1" spans="1:23">
      <c r="A44" s="70" t="s">
        <v>120</v>
      </c>
      <c r="B44" s="71" t="s">
        <v>30</v>
      </c>
      <c r="C44" s="72"/>
      <c r="D44" s="73" t="s">
        <v>31</v>
      </c>
      <c r="E44" s="73" t="s">
        <v>121</v>
      </c>
      <c r="F44" s="82" t="str">
        <f>IFERROR(VLOOKUP(E44,客户!B:C,2,FALSE),"/")</f>
        <v>/</v>
      </c>
      <c r="G44" s="73" t="s">
        <v>122</v>
      </c>
      <c r="H44" s="45" t="s">
        <v>123</v>
      </c>
      <c r="I44" s="45"/>
      <c r="J44" s="45"/>
      <c r="K44" s="93"/>
      <c r="L44" s="93"/>
      <c r="M44" s="106"/>
      <c r="N44" s="106"/>
      <c r="O44" s="108"/>
      <c r="P44" s="107">
        <v>22815.53</v>
      </c>
      <c r="Q44" s="107">
        <f>P44-U44</f>
        <v>22815.53</v>
      </c>
      <c r="R44" s="124"/>
      <c r="S44" s="125"/>
      <c r="T44" s="126">
        <v>17155</v>
      </c>
      <c r="U44" s="93"/>
      <c r="V44" s="107"/>
      <c r="W44" s="45"/>
    </row>
    <row r="45" s="39" customFormat="1" ht="22" customHeight="1" spans="1:23">
      <c r="A45" s="70" t="s">
        <v>124</v>
      </c>
      <c r="B45" s="71" t="s">
        <v>30</v>
      </c>
      <c r="C45" s="72"/>
      <c r="D45" s="73" t="s">
        <v>31</v>
      </c>
      <c r="E45" s="73" t="s">
        <v>125</v>
      </c>
      <c r="F45" s="82" t="str">
        <f>IFERROR(VLOOKUP(E45,客户!B:C,2,FALSE),"/")</f>
        <v>/</v>
      </c>
      <c r="G45" s="73" t="s">
        <v>126</v>
      </c>
      <c r="H45" s="45" t="s">
        <v>127</v>
      </c>
      <c r="I45" s="45"/>
      <c r="J45" s="45"/>
      <c r="K45" s="93"/>
      <c r="L45" s="93"/>
      <c r="M45" s="106"/>
      <c r="N45" s="106"/>
      <c r="O45" s="108"/>
      <c r="P45" s="107">
        <v>89760</v>
      </c>
      <c r="Q45" s="107">
        <v>26000</v>
      </c>
      <c r="R45" s="124"/>
      <c r="S45" s="125"/>
      <c r="T45" s="126">
        <f>N45-P45</f>
        <v>-89760</v>
      </c>
      <c r="U45" s="93"/>
      <c r="V45" s="107"/>
      <c r="W45" s="45"/>
    </row>
    <row r="46" s="39" customFormat="1" ht="22" customHeight="1" spans="1:23">
      <c r="A46" s="70" t="s">
        <v>128</v>
      </c>
      <c r="B46" s="71" t="s">
        <v>30</v>
      </c>
      <c r="C46" s="72"/>
      <c r="D46" s="73" t="s">
        <v>31</v>
      </c>
      <c r="E46" s="73" t="s">
        <v>102</v>
      </c>
      <c r="F46" s="82" t="str">
        <f>IFERROR(VLOOKUP(E46,客户!B:C,2,FALSE),"/")</f>
        <v>/</v>
      </c>
      <c r="G46" s="73" t="s">
        <v>129</v>
      </c>
      <c r="H46" s="45" t="s">
        <v>123</v>
      </c>
      <c r="I46" s="45"/>
      <c r="J46" s="45"/>
      <c r="K46" s="95"/>
      <c r="L46" s="94"/>
      <c r="M46" s="106"/>
      <c r="N46" s="106"/>
      <c r="O46" s="108"/>
      <c r="P46" s="107"/>
      <c r="Q46" s="107"/>
      <c r="R46" s="129"/>
      <c r="S46" s="130"/>
      <c r="T46" s="107"/>
      <c r="U46" s="93"/>
      <c r="V46" s="128"/>
      <c r="W46" s="45"/>
    </row>
    <row r="47" s="39" customFormat="1" ht="22" customHeight="1" spans="1:23">
      <c r="A47" s="70" t="s">
        <v>130</v>
      </c>
      <c r="B47" s="71" t="s">
        <v>30</v>
      </c>
      <c r="C47" s="72"/>
      <c r="D47" s="73" t="s">
        <v>31</v>
      </c>
      <c r="E47" s="73" t="s">
        <v>102</v>
      </c>
      <c r="F47" s="82" t="str">
        <f>IFERROR(VLOOKUP(E47,客户!B:C,2,FALSE),"/")</f>
        <v>/</v>
      </c>
      <c r="G47" s="73" t="s">
        <v>129</v>
      </c>
      <c r="H47" s="45" t="s">
        <v>123</v>
      </c>
      <c r="I47" s="45"/>
      <c r="J47" s="45"/>
      <c r="K47" s="95"/>
      <c r="L47" s="94"/>
      <c r="M47" s="106"/>
      <c r="N47" s="106"/>
      <c r="O47" s="108"/>
      <c r="P47" s="107"/>
      <c r="Q47" s="107"/>
      <c r="R47" s="129"/>
      <c r="S47" s="130"/>
      <c r="T47" s="107"/>
      <c r="U47" s="93"/>
      <c r="V47" s="128"/>
      <c r="W47" s="45"/>
    </row>
    <row r="48" s="39" customFormat="1" ht="22" customHeight="1" spans="1:23">
      <c r="A48" s="70" t="s">
        <v>131</v>
      </c>
      <c r="B48" s="71" t="s">
        <v>30</v>
      </c>
      <c r="C48" s="72"/>
      <c r="D48" s="73" t="s">
        <v>31</v>
      </c>
      <c r="E48" s="73" t="s">
        <v>132</v>
      </c>
      <c r="F48" s="82" t="str">
        <f>IFERROR(VLOOKUP(E48,客户!B:C,2,FALSE),"/")</f>
        <v>/</v>
      </c>
      <c r="G48" s="73" t="s">
        <v>133</v>
      </c>
      <c r="H48" s="45" t="s">
        <v>123</v>
      </c>
      <c r="I48" s="45"/>
      <c r="J48" s="45"/>
      <c r="K48" s="93"/>
      <c r="L48" s="93"/>
      <c r="M48" s="106"/>
      <c r="N48" s="106"/>
      <c r="O48" s="108"/>
      <c r="P48" s="107">
        <v>84405.6</v>
      </c>
      <c r="Q48" s="107"/>
      <c r="R48" s="124"/>
      <c r="S48" s="125"/>
      <c r="T48" s="126">
        <f>N48-P48</f>
        <v>-84405.6</v>
      </c>
      <c r="U48" s="93"/>
      <c r="V48" s="107"/>
      <c r="W48" s="45"/>
    </row>
    <row r="49" s="39" customFormat="1" ht="22" customHeight="1" spans="1:23">
      <c r="A49" s="70" t="s">
        <v>134</v>
      </c>
      <c r="B49" s="71" t="s">
        <v>30</v>
      </c>
      <c r="C49" s="72"/>
      <c r="D49" s="73" t="s">
        <v>31</v>
      </c>
      <c r="E49" s="73" t="s">
        <v>135</v>
      </c>
      <c r="F49" s="82" t="str">
        <f>IFERROR(VLOOKUP(E49,客户!B:C,2,FALSE),"/")</f>
        <v>/</v>
      </c>
      <c r="G49" s="73" t="s">
        <v>136</v>
      </c>
      <c r="H49" s="45" t="s">
        <v>123</v>
      </c>
      <c r="I49" s="45"/>
      <c r="J49" s="45"/>
      <c r="K49" s="93"/>
      <c r="L49" s="93"/>
      <c r="M49" s="106"/>
      <c r="N49" s="106"/>
      <c r="O49" s="108"/>
      <c r="P49" s="107">
        <v>19447.75</v>
      </c>
      <c r="Q49" s="107">
        <v>5801</v>
      </c>
      <c r="R49" s="124"/>
      <c r="S49" s="125"/>
      <c r="T49" s="126">
        <f>N49-P49</f>
        <v>-19447.75</v>
      </c>
      <c r="U49" s="93"/>
      <c r="V49" s="107"/>
      <c r="W49" s="45"/>
    </row>
    <row r="50" s="39" customFormat="1" ht="22" customHeight="1" spans="1:23">
      <c r="A50" s="70" t="s">
        <v>137</v>
      </c>
      <c r="B50" s="71" t="s">
        <v>30</v>
      </c>
      <c r="C50" s="72"/>
      <c r="D50" s="73" t="s">
        <v>31</v>
      </c>
      <c r="E50" s="73" t="s">
        <v>121</v>
      </c>
      <c r="F50" s="82" t="str">
        <f>IFERROR(VLOOKUP(E50,客户!B:C,2,FALSE),"/")</f>
        <v>/</v>
      </c>
      <c r="G50" s="73" t="s">
        <v>122</v>
      </c>
      <c r="H50" s="45" t="s">
        <v>123</v>
      </c>
      <c r="I50" s="45"/>
      <c r="J50" s="45"/>
      <c r="K50" s="93"/>
      <c r="L50" s="93"/>
      <c r="M50" s="106"/>
      <c r="N50" s="106"/>
      <c r="O50" s="108"/>
      <c r="P50" s="107">
        <v>23939.58</v>
      </c>
      <c r="Q50" s="135">
        <f>P50-U50</f>
        <v>23939.58</v>
      </c>
      <c r="R50" s="124"/>
      <c r="S50" s="125"/>
      <c r="T50" s="126">
        <v>17958</v>
      </c>
      <c r="U50" s="93"/>
      <c r="V50" s="107"/>
      <c r="W50" s="45"/>
    </row>
    <row r="51" s="39" customFormat="1" ht="22" customHeight="1" spans="1:23">
      <c r="A51" s="70" t="s">
        <v>138</v>
      </c>
      <c r="B51" s="71" t="s">
        <v>30</v>
      </c>
      <c r="C51" s="72"/>
      <c r="D51" s="73" t="s">
        <v>31</v>
      </c>
      <c r="E51" s="73" t="s">
        <v>139</v>
      </c>
      <c r="F51" s="82" t="str">
        <f>IFERROR(VLOOKUP(E51,客户!B:C,2,FALSE),"/")</f>
        <v>/</v>
      </c>
      <c r="G51" s="73" t="s">
        <v>140</v>
      </c>
      <c r="H51" s="45" t="s">
        <v>123</v>
      </c>
      <c r="I51" s="45"/>
      <c r="J51" s="45"/>
      <c r="K51" s="93"/>
      <c r="L51" s="93"/>
      <c r="M51" s="111"/>
      <c r="N51" s="112"/>
      <c r="O51" s="108"/>
      <c r="P51" s="107">
        <v>45771.4</v>
      </c>
      <c r="Q51" s="107">
        <v>13697</v>
      </c>
      <c r="R51" s="124"/>
      <c r="S51" s="125"/>
      <c r="T51" s="126">
        <f>N51-P51</f>
        <v>-45771.4</v>
      </c>
      <c r="U51" s="93"/>
      <c r="V51" s="107"/>
      <c r="W51" s="45"/>
    </row>
    <row r="52" s="39" customFormat="1" ht="22" customHeight="1" spans="1:23">
      <c r="A52" s="70" t="s">
        <v>141</v>
      </c>
      <c r="B52" s="71" t="s">
        <v>30</v>
      </c>
      <c r="C52" s="72"/>
      <c r="D52" s="73" t="s">
        <v>31</v>
      </c>
      <c r="E52" s="73" t="s">
        <v>125</v>
      </c>
      <c r="F52" s="82" t="str">
        <f>IFERROR(VLOOKUP(E52,客户!B:C,2,FALSE),"/")</f>
        <v>/</v>
      </c>
      <c r="G52" s="73" t="s">
        <v>126</v>
      </c>
      <c r="H52" s="45" t="s">
        <v>127</v>
      </c>
      <c r="I52" s="45"/>
      <c r="J52" s="45"/>
      <c r="K52" s="93"/>
      <c r="L52" s="93"/>
      <c r="M52" s="106"/>
      <c r="N52" s="106"/>
      <c r="O52" s="108"/>
      <c r="P52" s="107">
        <v>89849.4</v>
      </c>
      <c r="Q52" s="107">
        <v>26000</v>
      </c>
      <c r="R52" s="124"/>
      <c r="S52" s="125"/>
      <c r="T52" s="126">
        <f>N52-P52</f>
        <v>-89849.4</v>
      </c>
      <c r="U52" s="93"/>
      <c r="V52" s="107"/>
      <c r="W52" s="45"/>
    </row>
    <row r="53" s="39" customFormat="1" ht="22" customHeight="1" spans="1:23">
      <c r="A53" s="70" t="s">
        <v>142</v>
      </c>
      <c r="B53" s="71" t="s">
        <v>30</v>
      </c>
      <c r="C53" s="72"/>
      <c r="D53" s="73" t="s">
        <v>31</v>
      </c>
      <c r="E53" s="73" t="s">
        <v>111</v>
      </c>
      <c r="F53" s="82" t="str">
        <f>IFERROR(VLOOKUP(E53,客户!B:C,2,FALSE),"/")</f>
        <v>/</v>
      </c>
      <c r="G53" s="73" t="s">
        <v>129</v>
      </c>
      <c r="H53" s="45" t="s">
        <v>123</v>
      </c>
      <c r="I53" s="45"/>
      <c r="J53" s="45"/>
      <c r="K53" s="97"/>
      <c r="L53" s="93"/>
      <c r="M53" s="113"/>
      <c r="N53" s="113"/>
      <c r="O53" s="108"/>
      <c r="P53" s="114">
        <v>22783.18</v>
      </c>
      <c r="Q53" s="114">
        <v>6000</v>
      </c>
      <c r="R53" s="124"/>
      <c r="S53" s="125"/>
      <c r="T53" s="126">
        <f>N53-4277</f>
        <v>-4277</v>
      </c>
      <c r="U53" s="93"/>
      <c r="V53" s="114"/>
      <c r="W53" s="45"/>
    </row>
    <row r="54" s="39" customFormat="1" ht="22" customHeight="1" spans="1:23">
      <c r="A54" s="70" t="s">
        <v>143</v>
      </c>
      <c r="B54" s="71" t="s">
        <v>30</v>
      </c>
      <c r="C54" s="72"/>
      <c r="D54" s="73" t="s">
        <v>31</v>
      </c>
      <c r="E54" s="73" t="s">
        <v>102</v>
      </c>
      <c r="F54" s="82" t="str">
        <f>IFERROR(VLOOKUP(E54,客户!B:C,2,FALSE),"/")</f>
        <v>/</v>
      </c>
      <c r="G54" s="73" t="s">
        <v>129</v>
      </c>
      <c r="H54" s="45" t="s">
        <v>123</v>
      </c>
      <c r="I54" s="45"/>
      <c r="J54" s="45"/>
      <c r="K54" s="98"/>
      <c r="L54" s="94"/>
      <c r="M54" s="113"/>
      <c r="N54" s="113"/>
      <c r="O54" s="108"/>
      <c r="P54" s="114"/>
      <c r="Q54" s="114"/>
      <c r="R54" s="129"/>
      <c r="S54" s="130"/>
      <c r="T54" s="107"/>
      <c r="U54" s="93"/>
      <c r="V54" s="140"/>
      <c r="W54" s="45"/>
    </row>
    <row r="55" s="39" customFormat="1" ht="22" customHeight="1" spans="1:23">
      <c r="A55" s="70" t="s">
        <v>144</v>
      </c>
      <c r="B55" s="71" t="s">
        <v>30</v>
      </c>
      <c r="C55" s="72"/>
      <c r="D55" s="73" t="s">
        <v>31</v>
      </c>
      <c r="E55" s="73" t="s">
        <v>145</v>
      </c>
      <c r="F55" s="82" t="str">
        <f>IFERROR(VLOOKUP(E55,客户!B:C,2,FALSE),"/")</f>
        <v>/</v>
      </c>
      <c r="G55" s="73" t="s">
        <v>129</v>
      </c>
      <c r="H55" s="45" t="s">
        <v>123</v>
      </c>
      <c r="I55" s="45"/>
      <c r="J55" s="45"/>
      <c r="K55" s="97"/>
      <c r="L55" s="93"/>
      <c r="M55" s="113"/>
      <c r="N55" s="113"/>
      <c r="O55" s="108"/>
      <c r="P55" s="114">
        <v>23088.73</v>
      </c>
      <c r="Q55" s="114">
        <v>6761</v>
      </c>
      <c r="R55" s="124"/>
      <c r="S55" s="125"/>
      <c r="T55" s="126">
        <f>N55-P55</f>
        <v>-23088.73</v>
      </c>
      <c r="U55" s="93"/>
      <c r="V55" s="114"/>
      <c r="W55" s="45"/>
    </row>
    <row r="56" s="39" customFormat="1" ht="22" customHeight="1" spans="1:23">
      <c r="A56" s="70" t="s">
        <v>146</v>
      </c>
      <c r="B56" s="71" t="s">
        <v>30</v>
      </c>
      <c r="C56" s="72"/>
      <c r="D56" s="73" t="s">
        <v>31</v>
      </c>
      <c r="E56" s="73" t="s">
        <v>99</v>
      </c>
      <c r="F56" s="82" t="str">
        <f>IFERROR(VLOOKUP(E56,客户!B:C,2,FALSE),"/")</f>
        <v>/</v>
      </c>
      <c r="G56" s="73" t="s">
        <v>118</v>
      </c>
      <c r="H56" s="45" t="s">
        <v>147</v>
      </c>
      <c r="I56" s="45"/>
      <c r="J56" s="45"/>
      <c r="K56" s="97"/>
      <c r="L56" s="93"/>
      <c r="M56" s="113"/>
      <c r="N56" s="113"/>
      <c r="O56" s="108"/>
      <c r="P56" s="114"/>
      <c r="Q56" s="114"/>
      <c r="R56" s="124"/>
      <c r="S56" s="125"/>
      <c r="T56" s="126">
        <v>109029.47</v>
      </c>
      <c r="U56" s="93"/>
      <c r="V56" s="114"/>
      <c r="W56" s="45"/>
    </row>
    <row r="57" s="39" customFormat="1" ht="22" customHeight="1" spans="1:23">
      <c r="A57" s="70" t="s">
        <v>148</v>
      </c>
      <c r="B57" s="71" t="s">
        <v>30</v>
      </c>
      <c r="C57" s="72"/>
      <c r="D57" s="73" t="s">
        <v>31</v>
      </c>
      <c r="E57" s="73" t="s">
        <v>99</v>
      </c>
      <c r="F57" s="82" t="str">
        <f>IFERROR(VLOOKUP(E57,客户!B:C,2,FALSE),"/")</f>
        <v>/</v>
      </c>
      <c r="G57" s="73" t="s">
        <v>118</v>
      </c>
      <c r="H57" s="45" t="s">
        <v>147</v>
      </c>
      <c r="I57" s="45"/>
      <c r="J57" s="45"/>
      <c r="K57" s="98"/>
      <c r="L57" s="94"/>
      <c r="M57" s="113"/>
      <c r="N57" s="113"/>
      <c r="O57" s="108"/>
      <c r="P57" s="114"/>
      <c r="Q57" s="114"/>
      <c r="R57" s="129"/>
      <c r="S57" s="130"/>
      <c r="T57" s="107"/>
      <c r="U57" s="93"/>
      <c r="V57" s="140"/>
      <c r="W57" s="45"/>
    </row>
    <row r="58" s="39" customFormat="1" ht="22" customHeight="1" spans="1:23">
      <c r="A58" s="74" t="s">
        <v>149</v>
      </c>
      <c r="B58" s="71" t="s">
        <v>30</v>
      </c>
      <c r="C58" s="72"/>
      <c r="D58" s="73" t="s">
        <v>31</v>
      </c>
      <c r="E58" s="73" t="s">
        <v>99</v>
      </c>
      <c r="F58" s="82" t="str">
        <f>IFERROR(VLOOKUP(E58,客户!B:C,2,FALSE),"/")</f>
        <v>/</v>
      </c>
      <c r="G58" s="73" t="s">
        <v>118</v>
      </c>
      <c r="H58" s="45" t="s">
        <v>147</v>
      </c>
      <c r="I58" s="45"/>
      <c r="J58" s="45"/>
      <c r="K58" s="98"/>
      <c r="L58" s="94"/>
      <c r="M58" s="115"/>
      <c r="N58" s="115"/>
      <c r="O58" s="108"/>
      <c r="P58" s="113"/>
      <c r="Q58" s="114"/>
      <c r="R58" s="124"/>
      <c r="S58" s="125"/>
      <c r="T58" s="126" t="s">
        <v>150</v>
      </c>
      <c r="U58" s="93"/>
      <c r="V58" s="140"/>
      <c r="W58" s="45"/>
    </row>
    <row r="59" s="39" customFormat="1" ht="22" customHeight="1" spans="1:23">
      <c r="A59" s="70" t="s">
        <v>151</v>
      </c>
      <c r="B59" s="71" t="s">
        <v>30</v>
      </c>
      <c r="C59" s="72"/>
      <c r="D59" s="73" t="s">
        <v>31</v>
      </c>
      <c r="E59" s="73" t="s">
        <v>152</v>
      </c>
      <c r="F59" s="82" t="str">
        <f>IFERROR(VLOOKUP(E59,客户!B:C,2,FALSE),"/")</f>
        <v>/</v>
      </c>
      <c r="G59" s="73" t="s">
        <v>153</v>
      </c>
      <c r="H59" s="45" t="s">
        <v>154</v>
      </c>
      <c r="I59" s="45"/>
      <c r="J59" s="45"/>
      <c r="K59" s="97"/>
      <c r="L59" s="93"/>
      <c r="M59" s="113"/>
      <c r="N59" s="113"/>
      <c r="O59" s="108"/>
      <c r="P59" s="114">
        <v>21186.17</v>
      </c>
      <c r="Q59" s="114">
        <v>3000</v>
      </c>
      <c r="R59" s="124"/>
      <c r="S59" s="125"/>
      <c r="T59" s="126">
        <f>N59-P59</f>
        <v>-21186.17</v>
      </c>
      <c r="U59" s="93"/>
      <c r="V59" s="114"/>
      <c r="W59" s="45"/>
    </row>
    <row r="60" s="39" customFormat="1" ht="22" customHeight="1" spans="1:23">
      <c r="A60" s="70" t="s">
        <v>155</v>
      </c>
      <c r="B60" s="71" t="s">
        <v>30</v>
      </c>
      <c r="C60" s="72"/>
      <c r="D60" s="73" t="s">
        <v>31</v>
      </c>
      <c r="E60" s="73" t="s">
        <v>156</v>
      </c>
      <c r="F60" s="82" t="str">
        <f>IFERROR(VLOOKUP(E60,客户!B:C,2,FALSE),"/")</f>
        <v>/</v>
      </c>
      <c r="G60" s="73" t="s">
        <v>133</v>
      </c>
      <c r="H60" s="45" t="s">
        <v>154</v>
      </c>
      <c r="I60" s="45"/>
      <c r="J60" s="45"/>
      <c r="K60" s="97"/>
      <c r="L60" s="93"/>
      <c r="M60" s="116"/>
      <c r="N60" s="116"/>
      <c r="O60" s="108"/>
      <c r="P60" s="114">
        <v>93930</v>
      </c>
      <c r="Q60" s="114">
        <v>12000</v>
      </c>
      <c r="R60" s="124"/>
      <c r="S60" s="125"/>
      <c r="T60" s="126">
        <f>N60-P60</f>
        <v>-93930</v>
      </c>
      <c r="U60" s="93"/>
      <c r="V60" s="114"/>
      <c r="W60" s="45"/>
    </row>
    <row r="61" s="39" customFormat="1" ht="22" customHeight="1" spans="1:23">
      <c r="A61" s="70" t="s">
        <v>157</v>
      </c>
      <c r="B61" s="71" t="s">
        <v>30</v>
      </c>
      <c r="C61" s="72"/>
      <c r="D61" s="73" t="s">
        <v>31</v>
      </c>
      <c r="E61" s="73" t="s">
        <v>158</v>
      </c>
      <c r="F61" s="82" t="str">
        <f>IFERROR(VLOOKUP(E61,客户!B:C,2,FALSE),"/")</f>
        <v>/</v>
      </c>
      <c r="G61" s="73" t="s">
        <v>122</v>
      </c>
      <c r="H61" s="45" t="s">
        <v>154</v>
      </c>
      <c r="I61" s="45"/>
      <c r="J61" s="45"/>
      <c r="K61" s="97"/>
      <c r="L61" s="93"/>
      <c r="M61" s="116"/>
      <c r="N61" s="116"/>
      <c r="O61" s="108"/>
      <c r="P61" s="114">
        <v>49973.43</v>
      </c>
      <c r="Q61" s="114">
        <v>5100</v>
      </c>
      <c r="R61" s="124"/>
      <c r="S61" s="125"/>
      <c r="T61" s="126">
        <f>N61-5100-4500</f>
        <v>-9600</v>
      </c>
      <c r="U61" s="93"/>
      <c r="V61" s="114"/>
      <c r="W61" s="45"/>
    </row>
    <row r="62" s="39" customFormat="1" ht="22" customHeight="1" spans="1:23">
      <c r="A62" s="70" t="s">
        <v>159</v>
      </c>
      <c r="B62" s="71" t="s">
        <v>30</v>
      </c>
      <c r="C62" s="72"/>
      <c r="D62" s="73" t="s">
        <v>31</v>
      </c>
      <c r="E62" s="73" t="s">
        <v>158</v>
      </c>
      <c r="F62" s="82" t="str">
        <f>IFERROR(VLOOKUP(E62,客户!B:C,2,FALSE),"/")</f>
        <v>/</v>
      </c>
      <c r="G62" s="73" t="s">
        <v>122</v>
      </c>
      <c r="H62" s="45" t="s">
        <v>154</v>
      </c>
      <c r="I62" s="45"/>
      <c r="J62" s="45"/>
      <c r="K62" s="97"/>
      <c r="L62" s="93"/>
      <c r="M62" s="116"/>
      <c r="N62" s="116"/>
      <c r="O62" s="108"/>
      <c r="P62" s="114"/>
      <c r="Q62" s="114">
        <v>4500</v>
      </c>
      <c r="R62" s="124"/>
      <c r="S62" s="125"/>
      <c r="T62" s="126"/>
      <c r="U62" s="93"/>
      <c r="V62" s="114"/>
      <c r="W62" s="45"/>
    </row>
    <row r="63" s="39" customFormat="1" ht="22" customHeight="1" spans="1:23">
      <c r="A63" s="70" t="s">
        <v>160</v>
      </c>
      <c r="B63" s="71" t="s">
        <v>30</v>
      </c>
      <c r="C63" s="72"/>
      <c r="D63" s="73" t="s">
        <v>31</v>
      </c>
      <c r="E63" s="73" t="s">
        <v>125</v>
      </c>
      <c r="F63" s="82" t="str">
        <f>IFERROR(VLOOKUP(E63,客户!B:C,2,FALSE),"/")</f>
        <v>/</v>
      </c>
      <c r="G63" s="73" t="s">
        <v>161</v>
      </c>
      <c r="H63" s="45" t="s">
        <v>127</v>
      </c>
      <c r="I63" s="45"/>
      <c r="J63" s="45"/>
      <c r="K63" s="97"/>
      <c r="L63" s="93"/>
      <c r="M63" s="116"/>
      <c r="N63" s="116"/>
      <c r="O63" s="108"/>
      <c r="P63" s="114">
        <v>116700</v>
      </c>
      <c r="Q63" s="114">
        <v>25000</v>
      </c>
      <c r="R63" s="124"/>
      <c r="S63" s="125"/>
      <c r="T63" s="126">
        <f>N63-25000</f>
        <v>-25000</v>
      </c>
      <c r="U63" s="93"/>
      <c r="V63" s="114"/>
      <c r="W63" s="45"/>
    </row>
    <row r="64" s="39" customFormat="1" ht="22" customHeight="1" spans="1:23">
      <c r="A64" s="70" t="s">
        <v>162</v>
      </c>
      <c r="B64" s="71" t="s">
        <v>30</v>
      </c>
      <c r="C64" s="72"/>
      <c r="D64" s="73" t="s">
        <v>31</v>
      </c>
      <c r="E64" s="73" t="s">
        <v>125</v>
      </c>
      <c r="F64" s="82" t="str">
        <f>IFERROR(VLOOKUP(E64,客户!B:C,2,FALSE),"/")</f>
        <v>/</v>
      </c>
      <c r="G64" s="73" t="s">
        <v>161</v>
      </c>
      <c r="H64" s="45" t="s">
        <v>127</v>
      </c>
      <c r="I64" s="45"/>
      <c r="J64" s="45"/>
      <c r="K64" s="97"/>
      <c r="L64" s="93"/>
      <c r="M64" s="113"/>
      <c r="N64" s="113"/>
      <c r="O64" s="108"/>
      <c r="P64" s="114">
        <v>117662</v>
      </c>
      <c r="Q64" s="114">
        <v>25000</v>
      </c>
      <c r="R64" s="124"/>
      <c r="S64" s="125"/>
      <c r="T64" s="126">
        <v>50000</v>
      </c>
      <c r="U64" s="93"/>
      <c r="V64" s="114"/>
      <c r="W64" s="45"/>
    </row>
    <row r="65" s="41" customFormat="1" ht="22" customHeight="1" spans="1:23">
      <c r="A65" s="141" t="s">
        <v>163</v>
      </c>
      <c r="B65" s="71" t="s">
        <v>30</v>
      </c>
      <c r="C65" s="72"/>
      <c r="D65" s="73" t="s">
        <v>31</v>
      </c>
      <c r="E65" s="144" t="s">
        <v>164</v>
      </c>
      <c r="F65" s="82" t="str">
        <f>IFERROR(VLOOKUP(E65,客户!B:C,2,FALSE),"/")</f>
        <v>/</v>
      </c>
      <c r="G65" s="144" t="s">
        <v>165</v>
      </c>
      <c r="H65" s="145" t="s">
        <v>123</v>
      </c>
      <c r="I65" s="145"/>
      <c r="J65" s="145"/>
      <c r="K65" s="98"/>
      <c r="L65" s="94"/>
      <c r="M65" s="114"/>
      <c r="N65" s="114"/>
      <c r="O65" s="108"/>
      <c r="P65" s="114"/>
      <c r="Q65" s="140">
        <v>22335</v>
      </c>
      <c r="R65" s="129"/>
      <c r="S65" s="130"/>
      <c r="T65" s="107"/>
      <c r="U65" s="93"/>
      <c r="V65" s="140"/>
      <c r="W65" s="145"/>
    </row>
    <row r="66" s="39" customFormat="1" ht="22" customHeight="1" spans="1:23">
      <c r="A66" s="70" t="s">
        <v>166</v>
      </c>
      <c r="B66" s="71" t="s">
        <v>30</v>
      </c>
      <c r="C66" s="72"/>
      <c r="D66" s="73" t="s">
        <v>31</v>
      </c>
      <c r="E66" s="73" t="s">
        <v>158</v>
      </c>
      <c r="F66" s="82" t="str">
        <f>IFERROR(VLOOKUP(E66,客户!B:C,2,FALSE),"/")</f>
        <v>/</v>
      </c>
      <c r="G66" s="73" t="s">
        <v>122</v>
      </c>
      <c r="H66" s="45" t="s">
        <v>123</v>
      </c>
      <c r="I66" s="45"/>
      <c r="J66" s="45"/>
      <c r="K66" s="97"/>
      <c r="L66" s="93"/>
      <c r="M66" s="116"/>
      <c r="N66" s="116"/>
      <c r="O66" s="108"/>
      <c r="P66" s="114">
        <v>23385</v>
      </c>
      <c r="Q66" s="114">
        <v>5000</v>
      </c>
      <c r="R66" s="124"/>
      <c r="S66" s="125"/>
      <c r="T66" s="126">
        <v>23384</v>
      </c>
      <c r="U66" s="93"/>
      <c r="V66" s="114"/>
      <c r="W66" s="45"/>
    </row>
    <row r="67" s="39" customFormat="1" ht="22" customHeight="1" spans="1:23">
      <c r="A67" s="70" t="s">
        <v>167</v>
      </c>
      <c r="B67" s="71" t="s">
        <v>30</v>
      </c>
      <c r="C67" s="72"/>
      <c r="D67" s="73" t="s">
        <v>31</v>
      </c>
      <c r="E67" s="73" t="s">
        <v>168</v>
      </c>
      <c r="F67" s="82" t="str">
        <f>IFERROR(VLOOKUP(E67,客户!B:C,2,FALSE),"/")</f>
        <v>/</v>
      </c>
      <c r="G67" s="73" t="s">
        <v>122</v>
      </c>
      <c r="H67" s="45" t="s">
        <v>123</v>
      </c>
      <c r="I67" s="45"/>
      <c r="J67" s="45"/>
      <c r="K67" s="98"/>
      <c r="L67" s="94"/>
      <c r="M67" s="116"/>
      <c r="N67" s="116"/>
      <c r="O67" s="108"/>
      <c r="P67" s="114">
        <v>0</v>
      </c>
      <c r="Q67" s="114">
        <v>6730.34</v>
      </c>
      <c r="R67" s="129"/>
      <c r="S67" s="130"/>
      <c r="T67" s="107"/>
      <c r="U67" s="93"/>
      <c r="V67" s="140"/>
      <c r="W67" s="45"/>
    </row>
    <row r="68" s="39" customFormat="1" ht="22" customHeight="1" spans="1:23">
      <c r="A68" s="70" t="s">
        <v>169</v>
      </c>
      <c r="B68" s="71" t="s">
        <v>30</v>
      </c>
      <c r="C68" s="72"/>
      <c r="D68" s="73" t="s">
        <v>31</v>
      </c>
      <c r="E68" s="73" t="s">
        <v>168</v>
      </c>
      <c r="F68" s="82" t="str">
        <f>IFERROR(VLOOKUP(E68,客户!B:C,2,FALSE),"/")</f>
        <v>/</v>
      </c>
      <c r="G68" s="73" t="s">
        <v>170</v>
      </c>
      <c r="H68" s="45" t="s">
        <v>123</v>
      </c>
      <c r="I68" s="45"/>
      <c r="J68" s="45"/>
      <c r="K68" s="98"/>
      <c r="L68" s="94"/>
      <c r="M68" s="116"/>
      <c r="N68" s="116"/>
      <c r="O68" s="108"/>
      <c r="P68" s="114">
        <v>66873</v>
      </c>
      <c r="Q68" s="114">
        <v>19944</v>
      </c>
      <c r="R68" s="129"/>
      <c r="S68" s="130"/>
      <c r="T68" s="107"/>
      <c r="U68" s="93"/>
      <c r="V68" s="140"/>
      <c r="W68" s="45"/>
    </row>
    <row r="69" s="39" customFormat="1" ht="22" customHeight="1" spans="1:23">
      <c r="A69" s="70" t="s">
        <v>171</v>
      </c>
      <c r="B69" s="71" t="s">
        <v>30</v>
      </c>
      <c r="C69" s="72"/>
      <c r="D69" s="73" t="s">
        <v>31</v>
      </c>
      <c r="E69" s="73" t="s">
        <v>168</v>
      </c>
      <c r="F69" s="82" t="str">
        <f>IFERROR(VLOOKUP(E69,客户!B:C,2,FALSE),"/")</f>
        <v>/</v>
      </c>
      <c r="G69" s="73" t="s">
        <v>122</v>
      </c>
      <c r="H69" s="45" t="s">
        <v>123</v>
      </c>
      <c r="I69" s="45"/>
      <c r="J69" s="45"/>
      <c r="K69" s="98"/>
      <c r="L69" s="94"/>
      <c r="M69" s="116"/>
      <c r="N69" s="116"/>
      <c r="O69" s="108"/>
      <c r="P69" s="114">
        <v>22290</v>
      </c>
      <c r="Q69" s="114"/>
      <c r="R69" s="129"/>
      <c r="S69" s="130"/>
      <c r="T69" s="107"/>
      <c r="U69" s="93"/>
      <c r="V69" s="140"/>
      <c r="W69" s="45"/>
    </row>
    <row r="70" s="39" customFormat="1" ht="22" customHeight="1" spans="1:23">
      <c r="A70" s="70" t="s">
        <v>172</v>
      </c>
      <c r="B70" s="71" t="s">
        <v>30</v>
      </c>
      <c r="C70" s="72"/>
      <c r="D70" s="73" t="s">
        <v>31</v>
      </c>
      <c r="E70" s="73" t="s">
        <v>102</v>
      </c>
      <c r="F70" s="82" t="str">
        <f>IFERROR(VLOOKUP(E70,客户!B:C,2,FALSE),"/")</f>
        <v>/</v>
      </c>
      <c r="G70" s="73" t="s">
        <v>122</v>
      </c>
      <c r="H70" s="45" t="s">
        <v>123</v>
      </c>
      <c r="I70" s="45"/>
      <c r="J70" s="45"/>
      <c r="K70" s="98"/>
      <c r="L70" s="94"/>
      <c r="M70" s="116"/>
      <c r="N70" s="116"/>
      <c r="O70" s="108"/>
      <c r="P70" s="143"/>
      <c r="Q70" s="114">
        <v>21734</v>
      </c>
      <c r="R70" s="129"/>
      <c r="S70" s="130"/>
      <c r="T70" s="107"/>
      <c r="U70" s="93"/>
      <c r="V70" s="140"/>
      <c r="W70" s="45"/>
    </row>
    <row r="71" s="39" customFormat="1" ht="22" customHeight="1" spans="1:23">
      <c r="A71" s="70" t="s">
        <v>173</v>
      </c>
      <c r="B71" s="71" t="s">
        <v>30</v>
      </c>
      <c r="C71" s="72"/>
      <c r="D71" s="73" t="s">
        <v>31</v>
      </c>
      <c r="E71" s="73" t="s">
        <v>174</v>
      </c>
      <c r="F71" s="82" t="str">
        <f>IFERROR(VLOOKUP(E71,客户!B:C,2,FALSE),"/")</f>
        <v>/</v>
      </c>
      <c r="G71" s="73" t="s">
        <v>136</v>
      </c>
      <c r="H71" s="45" t="s">
        <v>123</v>
      </c>
      <c r="I71" s="45"/>
      <c r="J71" s="45"/>
      <c r="K71" s="98"/>
      <c r="L71" s="94"/>
      <c r="M71" s="116"/>
      <c r="N71" s="116"/>
      <c r="O71" s="108"/>
      <c r="P71" s="140"/>
      <c r="Q71" s="114">
        <v>10000</v>
      </c>
      <c r="R71" s="124"/>
      <c r="S71" s="125"/>
      <c r="T71" s="126">
        <v>19642.3</v>
      </c>
      <c r="U71" s="93"/>
      <c r="V71" s="140"/>
      <c r="W71" s="45"/>
    </row>
    <row r="72" s="42" customFormat="1" ht="22" customHeight="1" spans="1:23">
      <c r="A72" s="70" t="s">
        <v>175</v>
      </c>
      <c r="B72" s="71" t="s">
        <v>30</v>
      </c>
      <c r="C72" s="72"/>
      <c r="D72" s="73" t="s">
        <v>31</v>
      </c>
      <c r="E72" s="73" t="s">
        <v>111</v>
      </c>
      <c r="F72" s="82" t="str">
        <f>IFERROR(VLOOKUP(E72,客户!B:C,2,FALSE),"/")</f>
        <v>/</v>
      </c>
      <c r="G72" s="73" t="s">
        <v>122</v>
      </c>
      <c r="H72" s="45" t="s">
        <v>123</v>
      </c>
      <c r="I72" s="45"/>
      <c r="J72" s="45"/>
      <c r="K72" s="98"/>
      <c r="L72" s="94"/>
      <c r="M72" s="116"/>
      <c r="N72" s="116"/>
      <c r="O72" s="108"/>
      <c r="P72" s="114">
        <v>23092.08</v>
      </c>
      <c r="Q72" s="114">
        <v>4792.6</v>
      </c>
      <c r="R72" s="124"/>
      <c r="S72" s="125"/>
      <c r="T72" s="126">
        <v>17553</v>
      </c>
      <c r="U72" s="93"/>
      <c r="V72" s="140"/>
      <c r="W72" s="45"/>
    </row>
    <row r="73" s="42" customFormat="1" ht="22" customHeight="1" spans="1:23">
      <c r="A73" s="70" t="s">
        <v>176</v>
      </c>
      <c r="B73" s="71" t="s">
        <v>30</v>
      </c>
      <c r="C73" s="72"/>
      <c r="D73" s="73" t="s">
        <v>31</v>
      </c>
      <c r="E73" s="73" t="s">
        <v>174</v>
      </c>
      <c r="F73" s="82" t="str">
        <f>IFERROR(VLOOKUP(E73,客户!B:C,2,FALSE),"/")</f>
        <v>/</v>
      </c>
      <c r="G73" s="73" t="s">
        <v>177</v>
      </c>
      <c r="H73" s="45" t="s">
        <v>123</v>
      </c>
      <c r="I73" s="45"/>
      <c r="J73" s="45"/>
      <c r="K73" s="98"/>
      <c r="L73" s="94"/>
      <c r="M73" s="116"/>
      <c r="N73" s="116"/>
      <c r="O73" s="108"/>
      <c r="P73" s="114"/>
      <c r="Q73" s="114"/>
      <c r="R73" s="124"/>
      <c r="S73" s="125"/>
      <c r="T73" s="126">
        <v>58926.9</v>
      </c>
      <c r="U73" s="93"/>
      <c r="V73" s="140"/>
      <c r="W73" s="45"/>
    </row>
    <row r="74" s="41" customFormat="1" ht="22" customHeight="1" spans="1:23">
      <c r="A74" s="141" t="s">
        <v>178</v>
      </c>
      <c r="B74" s="71" t="s">
        <v>30</v>
      </c>
      <c r="C74" s="72"/>
      <c r="D74" s="73" t="s">
        <v>31</v>
      </c>
      <c r="E74" s="144" t="s">
        <v>179</v>
      </c>
      <c r="F74" s="82" t="str">
        <f>IFERROR(VLOOKUP(E74,客户!B:C,2,FALSE),"/")</f>
        <v>/</v>
      </c>
      <c r="G74" s="144" t="s">
        <v>122</v>
      </c>
      <c r="H74" s="145" t="s">
        <v>147</v>
      </c>
      <c r="I74" s="145"/>
      <c r="J74" s="145"/>
      <c r="K74" s="98"/>
      <c r="L74" s="94"/>
      <c r="M74" s="113"/>
      <c r="N74" s="113"/>
      <c r="O74" s="108"/>
      <c r="P74" s="140"/>
      <c r="Q74" s="166" t="s">
        <v>180</v>
      </c>
      <c r="R74" s="124"/>
      <c r="S74" s="125"/>
      <c r="T74" s="126">
        <v>18804.5</v>
      </c>
      <c r="U74" s="93"/>
      <c r="V74" s="140"/>
      <c r="W74" s="145"/>
    </row>
    <row r="75" s="39" customFormat="1" ht="22" customHeight="1" spans="1:23">
      <c r="A75" s="70" t="s">
        <v>181</v>
      </c>
      <c r="B75" s="71" t="s">
        <v>30</v>
      </c>
      <c r="C75" s="72"/>
      <c r="D75" s="73" t="s">
        <v>31</v>
      </c>
      <c r="E75" s="73" t="s">
        <v>108</v>
      </c>
      <c r="F75" s="82" t="str">
        <f>IFERROR(VLOOKUP(E75,客户!B:C,2,FALSE),"/")</f>
        <v>/</v>
      </c>
      <c r="G75" s="73" t="s">
        <v>122</v>
      </c>
      <c r="H75" s="45" t="s">
        <v>123</v>
      </c>
      <c r="I75" s="45"/>
      <c r="J75" s="45"/>
      <c r="K75" s="98"/>
      <c r="L75" s="94"/>
      <c r="M75" s="113"/>
      <c r="N75" s="113"/>
      <c r="O75" s="108"/>
      <c r="P75" s="114"/>
      <c r="Q75" s="114">
        <v>4999.86</v>
      </c>
      <c r="R75" s="124"/>
      <c r="S75" s="125"/>
      <c r="T75" s="126"/>
      <c r="U75" s="93"/>
      <c r="V75" s="140"/>
      <c r="W75" s="45"/>
    </row>
    <row r="76" s="39" customFormat="1" ht="22" customHeight="1" spans="1:23">
      <c r="A76" s="141" t="s">
        <v>182</v>
      </c>
      <c r="B76" s="71" t="s">
        <v>30</v>
      </c>
      <c r="C76" s="72"/>
      <c r="D76" s="73" t="s">
        <v>31</v>
      </c>
      <c r="E76" s="73" t="s">
        <v>183</v>
      </c>
      <c r="F76" s="82" t="str">
        <f>IFERROR(VLOOKUP(E76,客户!B:C,2,FALSE),"/")</f>
        <v>/</v>
      </c>
      <c r="G76" s="73" t="s">
        <v>136</v>
      </c>
      <c r="H76" s="142" t="s">
        <v>127</v>
      </c>
      <c r="I76" s="142"/>
      <c r="J76" s="45"/>
      <c r="K76" s="98"/>
      <c r="L76" s="94"/>
      <c r="M76" s="113"/>
      <c r="N76" s="113"/>
      <c r="O76" s="108"/>
      <c r="P76" s="114">
        <v>19631.136</v>
      </c>
      <c r="Q76" s="114">
        <v>12360.25</v>
      </c>
      <c r="R76" s="124"/>
      <c r="S76" s="125"/>
      <c r="T76" s="126">
        <v>13640</v>
      </c>
      <c r="U76" s="93"/>
      <c r="V76" s="140"/>
      <c r="W76" s="45"/>
    </row>
    <row r="77" s="39" customFormat="1" ht="22" customHeight="1" spans="1:23">
      <c r="A77" s="141" t="s">
        <v>184</v>
      </c>
      <c r="B77" s="71" t="s">
        <v>30</v>
      </c>
      <c r="C77" s="72"/>
      <c r="D77" s="73" t="s">
        <v>31</v>
      </c>
      <c r="E77" s="73" t="s">
        <v>185</v>
      </c>
      <c r="F77" s="82">
        <f>IFERROR(VLOOKUP(E77,客户!B:C,2,FALSE),"/")</f>
        <v>0</v>
      </c>
      <c r="G77" s="73" t="s">
        <v>136</v>
      </c>
      <c r="H77" s="45" t="s">
        <v>186</v>
      </c>
      <c r="I77" s="45"/>
      <c r="J77" s="45"/>
      <c r="K77" s="98"/>
      <c r="L77" s="94"/>
      <c r="M77" s="113"/>
      <c r="N77" s="113"/>
      <c r="O77" s="108"/>
      <c r="P77" s="147">
        <v>126800</v>
      </c>
      <c r="Q77" s="114">
        <v>36000</v>
      </c>
      <c r="R77" s="129"/>
      <c r="S77" s="130"/>
      <c r="T77" s="107"/>
      <c r="U77" s="93"/>
      <c r="V77" s="140"/>
      <c r="W77" s="45"/>
    </row>
    <row r="78" s="39" customFormat="1" ht="22" customHeight="1" spans="1:23">
      <c r="A78" s="141" t="s">
        <v>187</v>
      </c>
      <c r="B78" s="71" t="s">
        <v>30</v>
      </c>
      <c r="C78" s="72"/>
      <c r="D78" s="73" t="s">
        <v>31</v>
      </c>
      <c r="E78" s="73" t="s">
        <v>102</v>
      </c>
      <c r="F78" s="82" t="str">
        <f>IFERROR(VLOOKUP(E78,客户!B:C,2,FALSE),"/")</f>
        <v>/</v>
      </c>
      <c r="G78" s="73" t="s">
        <v>122</v>
      </c>
      <c r="H78" s="45" t="s">
        <v>123</v>
      </c>
      <c r="I78" s="45"/>
      <c r="J78" s="45"/>
      <c r="K78" s="97"/>
      <c r="L78" s="93"/>
      <c r="M78" s="116"/>
      <c r="N78" s="116"/>
      <c r="O78" s="108"/>
      <c r="P78" s="148"/>
      <c r="Q78" s="140"/>
      <c r="R78" s="124"/>
      <c r="S78" s="125"/>
      <c r="T78" s="126"/>
      <c r="U78" s="93"/>
      <c r="V78" s="114"/>
      <c r="W78" s="45"/>
    </row>
    <row r="79" s="39" customFormat="1" ht="22" customHeight="1" spans="1:23">
      <c r="A79" s="70" t="s">
        <v>188</v>
      </c>
      <c r="B79" s="71" t="s">
        <v>30</v>
      </c>
      <c r="C79" s="72"/>
      <c r="D79" s="73" t="s">
        <v>31</v>
      </c>
      <c r="E79" s="73" t="s">
        <v>75</v>
      </c>
      <c r="F79" s="82" t="str">
        <f>IFERROR(VLOOKUP(E79,客户!B:C,2,FALSE),"/")</f>
        <v>/</v>
      </c>
      <c r="G79" s="73" t="s">
        <v>189</v>
      </c>
      <c r="H79" s="45" t="s">
        <v>154</v>
      </c>
      <c r="I79" s="45"/>
      <c r="J79" s="45"/>
      <c r="K79" s="97"/>
      <c r="L79" s="93"/>
      <c r="M79" s="116"/>
      <c r="N79" s="116"/>
      <c r="O79" s="108"/>
      <c r="P79" s="114">
        <v>20522.8</v>
      </c>
      <c r="Q79" s="140">
        <v>16744</v>
      </c>
      <c r="R79" s="124"/>
      <c r="S79" s="125"/>
      <c r="T79" s="126">
        <f>N79-P79</f>
        <v>-20522.8</v>
      </c>
      <c r="U79" s="93"/>
      <c r="V79" s="114"/>
      <c r="W79" s="45"/>
    </row>
    <row r="80" s="39" customFormat="1" ht="22" customHeight="1" spans="1:23">
      <c r="A80" s="70" t="s">
        <v>190</v>
      </c>
      <c r="B80" s="71" t="s">
        <v>30</v>
      </c>
      <c r="C80" s="72"/>
      <c r="D80" s="73" t="s">
        <v>31</v>
      </c>
      <c r="E80" s="73" t="s">
        <v>99</v>
      </c>
      <c r="F80" s="82" t="str">
        <f>IFERROR(VLOOKUP(E80,客户!B:C,2,FALSE),"/")</f>
        <v>/</v>
      </c>
      <c r="G80" s="73" t="s">
        <v>191</v>
      </c>
      <c r="H80" s="45" t="s">
        <v>147</v>
      </c>
      <c r="I80" s="45"/>
      <c r="J80" s="110">
        <v>43168</v>
      </c>
      <c r="K80" s="97"/>
      <c r="L80" s="93"/>
      <c r="M80" s="113"/>
      <c r="N80" s="113"/>
      <c r="O80" s="108"/>
      <c r="P80" s="114">
        <v>64472.4</v>
      </c>
      <c r="Q80" s="114" t="s">
        <v>192</v>
      </c>
      <c r="R80" s="124"/>
      <c r="S80" s="125"/>
      <c r="T80" s="126">
        <v>64472.4</v>
      </c>
      <c r="U80" s="93"/>
      <c r="V80" s="114"/>
      <c r="W80" s="110"/>
    </row>
    <row r="81" s="39" customFormat="1" ht="22" customHeight="1" spans="1:23">
      <c r="A81" s="70" t="s">
        <v>193</v>
      </c>
      <c r="B81" s="71" t="s">
        <v>30</v>
      </c>
      <c r="C81" s="72"/>
      <c r="D81" s="73" t="s">
        <v>31</v>
      </c>
      <c r="E81" s="73" t="s">
        <v>99</v>
      </c>
      <c r="F81" s="82" t="str">
        <f>IFERROR(VLOOKUP(E81,客户!B:C,2,FALSE),"/")</f>
        <v>/</v>
      </c>
      <c r="G81" s="73" t="s">
        <v>194</v>
      </c>
      <c r="H81" s="45" t="s">
        <v>147</v>
      </c>
      <c r="I81" s="45"/>
      <c r="J81" s="110">
        <v>43168</v>
      </c>
      <c r="K81" s="93"/>
      <c r="L81" s="93"/>
      <c r="M81" s="149"/>
      <c r="N81" s="149"/>
      <c r="O81" s="108"/>
      <c r="P81" s="114">
        <v>42981.6</v>
      </c>
      <c r="Q81" s="107">
        <f>P81-U81</f>
        <v>42981.6</v>
      </c>
      <c r="R81" s="124"/>
      <c r="S81" s="125"/>
      <c r="T81" s="126">
        <v>42807</v>
      </c>
      <c r="U81" s="93"/>
      <c r="V81" s="107"/>
      <c r="W81" s="110"/>
    </row>
    <row r="82" s="39" customFormat="1" ht="22" customHeight="1" spans="1:23">
      <c r="A82" s="70" t="s">
        <v>195</v>
      </c>
      <c r="B82" s="71" t="s">
        <v>30</v>
      </c>
      <c r="C82" s="72"/>
      <c r="D82" s="73" t="s">
        <v>31</v>
      </c>
      <c r="E82" s="73" t="s">
        <v>196</v>
      </c>
      <c r="F82" s="82" t="str">
        <f>IFERROR(VLOOKUP(E82,客户!B:C,2,FALSE),"/")</f>
        <v>/</v>
      </c>
      <c r="G82" s="73" t="s">
        <v>197</v>
      </c>
      <c r="H82" s="45" t="s">
        <v>147</v>
      </c>
      <c r="I82" s="45"/>
      <c r="J82" s="110">
        <v>43168</v>
      </c>
      <c r="K82" s="97"/>
      <c r="L82" s="93"/>
      <c r="M82" s="113" t="s">
        <v>198</v>
      </c>
      <c r="N82" s="150"/>
      <c r="O82" s="108"/>
      <c r="P82" s="107">
        <v>64472.4</v>
      </c>
      <c r="Q82" s="114">
        <v>208</v>
      </c>
      <c r="R82" s="124"/>
      <c r="S82" s="125"/>
      <c r="T82" s="126">
        <v>64472.4</v>
      </c>
      <c r="U82" s="93"/>
      <c r="V82" s="114"/>
      <c r="W82" s="171"/>
    </row>
    <row r="83" s="39" customFormat="1" ht="22" customHeight="1" spans="1:23">
      <c r="A83" s="70" t="s">
        <v>199</v>
      </c>
      <c r="B83" s="71" t="s">
        <v>30</v>
      </c>
      <c r="C83" s="72"/>
      <c r="D83" s="73" t="s">
        <v>31</v>
      </c>
      <c r="E83" s="73" t="s">
        <v>196</v>
      </c>
      <c r="F83" s="82" t="str">
        <f>IFERROR(VLOOKUP(E83,客户!B:C,2,FALSE),"/")</f>
        <v>/</v>
      </c>
      <c r="G83" s="73" t="s">
        <v>200</v>
      </c>
      <c r="H83" s="45" t="s">
        <v>147</v>
      </c>
      <c r="I83" s="45"/>
      <c r="J83" s="110">
        <v>43168</v>
      </c>
      <c r="K83" s="98"/>
      <c r="L83" s="94"/>
      <c r="M83" s="151" t="s">
        <v>201</v>
      </c>
      <c r="N83" s="152" t="s">
        <v>202</v>
      </c>
      <c r="O83" s="108"/>
      <c r="P83" s="107">
        <v>62476.8</v>
      </c>
      <c r="Q83" s="114" t="s">
        <v>192</v>
      </c>
      <c r="R83" s="124"/>
      <c r="S83" s="125"/>
      <c r="T83" s="126">
        <v>62295</v>
      </c>
      <c r="U83" s="93"/>
      <c r="V83" s="140"/>
      <c r="W83" s="171"/>
    </row>
    <row r="84" s="39" customFormat="1" ht="22" customHeight="1" spans="1:23">
      <c r="A84" s="70" t="s">
        <v>203</v>
      </c>
      <c r="B84" s="71" t="s">
        <v>30</v>
      </c>
      <c r="C84" s="72"/>
      <c r="D84" s="73" t="s">
        <v>31</v>
      </c>
      <c r="E84" s="73" t="s">
        <v>196</v>
      </c>
      <c r="F84" s="82" t="str">
        <f>IFERROR(VLOOKUP(E84,客户!B:C,2,FALSE),"/")</f>
        <v>/</v>
      </c>
      <c r="G84" s="73" t="s">
        <v>204</v>
      </c>
      <c r="H84" s="45" t="s">
        <v>147</v>
      </c>
      <c r="I84" s="45" t="s">
        <v>205</v>
      </c>
      <c r="J84" s="110">
        <v>43168</v>
      </c>
      <c r="K84" s="93">
        <v>43372</v>
      </c>
      <c r="L84" s="93">
        <v>43421</v>
      </c>
      <c r="M84" s="153" t="s">
        <v>206</v>
      </c>
      <c r="N84" s="152" t="s">
        <v>207</v>
      </c>
      <c r="O84" s="108"/>
      <c r="P84" s="107">
        <v>62476.8</v>
      </c>
      <c r="Q84" s="114"/>
      <c r="R84" s="129"/>
      <c r="S84" s="130"/>
      <c r="T84" s="107"/>
      <c r="U84" s="93"/>
      <c r="V84" s="107"/>
      <c r="W84" s="171"/>
    </row>
    <row r="85" s="39" customFormat="1" ht="22" customHeight="1" spans="1:23">
      <c r="A85" s="70" t="s">
        <v>208</v>
      </c>
      <c r="B85" s="71" t="s">
        <v>30</v>
      </c>
      <c r="C85" s="72"/>
      <c r="D85" s="73" t="s">
        <v>31</v>
      </c>
      <c r="E85" s="73" t="s">
        <v>174</v>
      </c>
      <c r="F85" s="82" t="str">
        <f>IFERROR(VLOOKUP(E85,客户!B:C,2,FALSE),"/")</f>
        <v>/</v>
      </c>
      <c r="G85" s="73" t="s">
        <v>209</v>
      </c>
      <c r="H85" s="45" t="s">
        <v>123</v>
      </c>
      <c r="I85" s="45" t="s">
        <v>210</v>
      </c>
      <c r="J85" s="110"/>
      <c r="K85" s="93">
        <v>43223</v>
      </c>
      <c r="L85" s="93">
        <v>43252</v>
      </c>
      <c r="M85" s="113"/>
      <c r="N85" s="113"/>
      <c r="O85" s="108"/>
      <c r="P85" s="114">
        <v>41553</v>
      </c>
      <c r="Q85" s="114">
        <v>480</v>
      </c>
      <c r="R85" s="124"/>
      <c r="S85" s="125"/>
      <c r="T85" s="126">
        <v>41073.09</v>
      </c>
      <c r="U85" s="93"/>
      <c r="V85" s="107"/>
      <c r="W85" s="171"/>
    </row>
    <row r="86" s="39" customFormat="1" ht="22" customHeight="1" spans="1:23">
      <c r="A86" s="70" t="s">
        <v>211</v>
      </c>
      <c r="B86" s="71" t="s">
        <v>30</v>
      </c>
      <c r="C86" s="72"/>
      <c r="D86" s="73" t="s">
        <v>31</v>
      </c>
      <c r="E86" s="73" t="s">
        <v>174</v>
      </c>
      <c r="F86" s="82" t="str">
        <f>IFERROR(VLOOKUP(E86,客户!B:C,2,FALSE),"/")</f>
        <v>/</v>
      </c>
      <c r="G86" s="73" t="s">
        <v>212</v>
      </c>
      <c r="H86" s="45" t="s">
        <v>123</v>
      </c>
      <c r="I86" s="45" t="s">
        <v>210</v>
      </c>
      <c r="J86" s="110"/>
      <c r="K86" s="93">
        <v>43245</v>
      </c>
      <c r="L86" s="93">
        <v>43287</v>
      </c>
      <c r="M86" s="113"/>
      <c r="N86" s="113"/>
      <c r="O86" s="108"/>
      <c r="P86" s="114">
        <v>121953.88</v>
      </c>
      <c r="Q86" s="140"/>
      <c r="R86" s="124"/>
      <c r="S86" s="125"/>
      <c r="T86" s="126">
        <v>121633</v>
      </c>
      <c r="U86" s="93"/>
      <c r="V86" s="107"/>
      <c r="W86" s="171"/>
    </row>
    <row r="87" s="39" customFormat="1" ht="22" customHeight="1" spans="1:23">
      <c r="A87" s="70" t="s">
        <v>213</v>
      </c>
      <c r="B87" s="71" t="s">
        <v>30</v>
      </c>
      <c r="C87" s="72"/>
      <c r="D87" s="73" t="s">
        <v>31</v>
      </c>
      <c r="E87" s="73" t="s">
        <v>125</v>
      </c>
      <c r="F87" s="82" t="str">
        <f>IFERROR(VLOOKUP(E87,客户!B:C,2,FALSE),"/")</f>
        <v>/</v>
      </c>
      <c r="G87" s="73" t="s">
        <v>214</v>
      </c>
      <c r="H87" s="45" t="s">
        <v>127</v>
      </c>
      <c r="I87" s="45" t="s">
        <v>215</v>
      </c>
      <c r="J87" s="110"/>
      <c r="K87" s="93">
        <v>43242</v>
      </c>
      <c r="L87" s="93">
        <v>43280</v>
      </c>
      <c r="M87" s="113"/>
      <c r="N87" s="113"/>
      <c r="O87" s="108"/>
      <c r="P87" s="114">
        <v>44452.5</v>
      </c>
      <c r="Q87" s="114">
        <v>46900</v>
      </c>
      <c r="R87" s="124"/>
      <c r="S87" s="125"/>
      <c r="T87" s="126">
        <v>13179.5</v>
      </c>
      <c r="U87" s="93"/>
      <c r="V87" s="107"/>
      <c r="W87" s="171"/>
    </row>
    <row r="88" s="39" customFormat="1" ht="22" customHeight="1" spans="1:23">
      <c r="A88" s="70" t="s">
        <v>216</v>
      </c>
      <c r="B88" s="71" t="s">
        <v>30</v>
      </c>
      <c r="C88" s="72"/>
      <c r="D88" s="73" t="s">
        <v>31</v>
      </c>
      <c r="E88" s="73" t="s">
        <v>125</v>
      </c>
      <c r="F88" s="82" t="str">
        <f>IFERROR(VLOOKUP(E88,客户!B:C,2,FALSE),"/")</f>
        <v>/</v>
      </c>
      <c r="G88" s="73" t="s">
        <v>214</v>
      </c>
      <c r="H88" s="45" t="s">
        <v>127</v>
      </c>
      <c r="I88" s="45" t="s">
        <v>215</v>
      </c>
      <c r="J88" s="110"/>
      <c r="K88" s="93">
        <v>43261</v>
      </c>
      <c r="L88" s="93">
        <v>43279</v>
      </c>
      <c r="M88" s="113"/>
      <c r="N88" s="113"/>
      <c r="O88" s="108"/>
      <c r="P88" s="114">
        <v>21805</v>
      </c>
      <c r="Q88" s="114"/>
      <c r="R88" s="124"/>
      <c r="S88" s="125"/>
      <c r="T88" s="126">
        <v>6169</v>
      </c>
      <c r="U88" s="93"/>
      <c r="V88" s="107"/>
      <c r="W88" s="171"/>
    </row>
    <row r="89" s="39" customFormat="1" ht="22" customHeight="1" spans="1:23">
      <c r="A89" s="70" t="s">
        <v>217</v>
      </c>
      <c r="B89" s="71" t="s">
        <v>30</v>
      </c>
      <c r="C89" s="72"/>
      <c r="D89" s="73" t="s">
        <v>31</v>
      </c>
      <c r="E89" s="73" t="s">
        <v>75</v>
      </c>
      <c r="F89" s="82" t="str">
        <f>IFERROR(VLOOKUP(E89,客户!B:C,2,FALSE),"/")</f>
        <v>/</v>
      </c>
      <c r="G89" s="73" t="s">
        <v>218</v>
      </c>
      <c r="H89" s="45" t="s">
        <v>154</v>
      </c>
      <c r="I89" s="45" t="s">
        <v>219</v>
      </c>
      <c r="J89" s="110">
        <v>43186</v>
      </c>
      <c r="K89" s="93">
        <v>43250</v>
      </c>
      <c r="L89" s="93">
        <v>43307</v>
      </c>
      <c r="M89" s="113"/>
      <c r="N89" s="113"/>
      <c r="O89" s="108"/>
      <c r="P89" s="114">
        <v>24944.05</v>
      </c>
      <c r="Q89" s="114">
        <v>7605</v>
      </c>
      <c r="R89" s="124"/>
      <c r="S89" s="125"/>
      <c r="T89" s="126">
        <v>17298.08</v>
      </c>
      <c r="U89" s="93"/>
      <c r="V89" s="107"/>
      <c r="W89" s="171"/>
    </row>
    <row r="90" s="40" customFormat="1" ht="22" customHeight="1" spans="1:23">
      <c r="A90" s="70" t="s">
        <v>220</v>
      </c>
      <c r="B90" s="71" t="s">
        <v>30</v>
      </c>
      <c r="C90" s="72"/>
      <c r="D90" s="73" t="s">
        <v>31</v>
      </c>
      <c r="E90" s="73" t="s">
        <v>221</v>
      </c>
      <c r="F90" s="82" t="str">
        <f>IFERROR(VLOOKUP(E90,客户!B:C,2,FALSE),"/")</f>
        <v>/</v>
      </c>
      <c r="G90" s="73" t="s">
        <v>222</v>
      </c>
      <c r="H90" s="45" t="s">
        <v>123</v>
      </c>
      <c r="I90" s="45" t="s">
        <v>223</v>
      </c>
      <c r="J90" s="110">
        <v>43194</v>
      </c>
      <c r="K90" s="93">
        <v>43239</v>
      </c>
      <c r="L90" s="93">
        <v>43279</v>
      </c>
      <c r="M90" s="113"/>
      <c r="N90" s="113"/>
      <c r="O90" s="108"/>
      <c r="P90" s="114">
        <v>23669.25</v>
      </c>
      <c r="Q90" s="114">
        <v>15100</v>
      </c>
      <c r="R90" s="129"/>
      <c r="S90" s="130"/>
      <c r="T90" s="107"/>
      <c r="U90" s="93"/>
      <c r="V90" s="107"/>
      <c r="W90" s="171"/>
    </row>
    <row r="91" s="40" customFormat="1" ht="22" customHeight="1" spans="1:23">
      <c r="A91" s="70" t="s">
        <v>224</v>
      </c>
      <c r="B91" s="71" t="s">
        <v>30</v>
      </c>
      <c r="C91" s="72"/>
      <c r="D91" s="73" t="s">
        <v>31</v>
      </c>
      <c r="E91" s="144" t="s">
        <v>164</v>
      </c>
      <c r="F91" s="82" t="str">
        <f>IFERROR(VLOOKUP(E91,客户!B:C,2,FALSE),"/")</f>
        <v>/</v>
      </c>
      <c r="G91" s="73" t="s">
        <v>225</v>
      </c>
      <c r="H91" s="145" t="s">
        <v>123</v>
      </c>
      <c r="I91" s="145" t="s">
        <v>226</v>
      </c>
      <c r="J91" s="110"/>
      <c r="K91" s="93">
        <v>43289</v>
      </c>
      <c r="L91" s="93">
        <v>43324</v>
      </c>
      <c r="M91" s="113"/>
      <c r="N91" s="113"/>
      <c r="O91" s="108"/>
      <c r="P91" s="114">
        <v>20991.7</v>
      </c>
      <c r="Q91" s="114">
        <v>6387.9</v>
      </c>
      <c r="R91" s="133"/>
      <c r="S91" s="134"/>
      <c r="T91" s="126">
        <f>N91-P91</f>
        <v>-20991.7</v>
      </c>
      <c r="U91" s="93"/>
      <c r="V91" s="107"/>
      <c r="W91" s="171"/>
    </row>
    <row r="92" s="40" customFormat="1" ht="22" customHeight="1" spans="1:23">
      <c r="A92" s="70" t="s">
        <v>227</v>
      </c>
      <c r="B92" s="71" t="s">
        <v>30</v>
      </c>
      <c r="C92" s="72"/>
      <c r="D92" s="73" t="s">
        <v>31</v>
      </c>
      <c r="E92" s="73" t="s">
        <v>75</v>
      </c>
      <c r="F92" s="82" t="str">
        <f>IFERROR(VLOOKUP(E92,客户!B:C,2,FALSE),"/")</f>
        <v>/</v>
      </c>
      <c r="G92" s="73" t="s">
        <v>228</v>
      </c>
      <c r="H92" s="45" t="s">
        <v>154</v>
      </c>
      <c r="I92" s="45" t="s">
        <v>229</v>
      </c>
      <c r="J92" s="110"/>
      <c r="K92" s="93">
        <v>43269</v>
      </c>
      <c r="L92" s="93">
        <v>43309</v>
      </c>
      <c r="M92" s="113"/>
      <c r="N92" s="113"/>
      <c r="O92" s="108"/>
      <c r="P92" s="114">
        <v>24330.88</v>
      </c>
      <c r="Q92" s="107">
        <v>16850.59</v>
      </c>
      <c r="R92" s="133"/>
      <c r="S92" s="134"/>
      <c r="T92" s="126">
        <f>N92-P92</f>
        <v>-24330.88</v>
      </c>
      <c r="U92" s="93"/>
      <c r="V92" s="107"/>
      <c r="W92" s="171"/>
    </row>
    <row r="93" s="40" customFormat="1" ht="22" customHeight="1" spans="1:23">
      <c r="A93" s="70" t="s">
        <v>230</v>
      </c>
      <c r="B93" s="71" t="s">
        <v>30</v>
      </c>
      <c r="C93" s="72"/>
      <c r="D93" s="73" t="s">
        <v>31</v>
      </c>
      <c r="E93" s="73" t="s">
        <v>111</v>
      </c>
      <c r="F93" s="82" t="str">
        <f>IFERROR(VLOOKUP(E93,客户!B:C,2,FALSE),"/")</f>
        <v>/</v>
      </c>
      <c r="G93" s="73" t="s">
        <v>228</v>
      </c>
      <c r="H93" s="45" t="s">
        <v>123</v>
      </c>
      <c r="I93" s="45" t="s">
        <v>219</v>
      </c>
      <c r="J93" s="110"/>
      <c r="K93" s="93">
        <v>43269</v>
      </c>
      <c r="L93" s="93">
        <v>43302</v>
      </c>
      <c r="M93" s="116"/>
      <c r="N93" s="116"/>
      <c r="O93" s="108"/>
      <c r="P93" s="114">
        <v>23200.83</v>
      </c>
      <c r="Q93" s="127">
        <v>16916</v>
      </c>
      <c r="R93" s="133"/>
      <c r="S93" s="134"/>
      <c r="T93" s="126">
        <f>2059.84+4750</f>
        <v>6809.84</v>
      </c>
      <c r="U93" s="93"/>
      <c r="V93" s="107"/>
      <c r="W93" s="171"/>
    </row>
    <row r="94" s="40" customFormat="1" ht="22" customHeight="1" spans="1:23">
      <c r="A94" s="70" t="s">
        <v>231</v>
      </c>
      <c r="B94" s="71" t="s">
        <v>30</v>
      </c>
      <c r="C94" s="72"/>
      <c r="D94" s="73" t="s">
        <v>31</v>
      </c>
      <c r="E94" s="144" t="s">
        <v>179</v>
      </c>
      <c r="F94" s="82" t="str">
        <f>IFERROR(VLOOKUP(E94,客户!B:C,2,FALSE),"/")</f>
        <v>/</v>
      </c>
      <c r="G94" s="73" t="s">
        <v>228</v>
      </c>
      <c r="H94" s="145" t="s">
        <v>123</v>
      </c>
      <c r="I94" s="145" t="s">
        <v>232</v>
      </c>
      <c r="J94" s="110"/>
      <c r="K94" s="93">
        <v>43246</v>
      </c>
      <c r="L94" s="93">
        <v>43262</v>
      </c>
      <c r="M94" s="116"/>
      <c r="N94" s="116"/>
      <c r="O94" s="108"/>
      <c r="P94" s="114">
        <v>22126.5</v>
      </c>
      <c r="Q94" s="140">
        <v>15526</v>
      </c>
      <c r="R94" s="133"/>
      <c r="S94" s="134"/>
      <c r="T94" s="126">
        <v>6514</v>
      </c>
      <c r="U94" s="93"/>
      <c r="V94" s="107"/>
      <c r="W94" s="171"/>
    </row>
    <row r="95" s="40" customFormat="1" ht="22" customHeight="1" spans="1:23">
      <c r="A95" s="70" t="s">
        <v>233</v>
      </c>
      <c r="B95" s="71" t="s">
        <v>30</v>
      </c>
      <c r="C95" s="72"/>
      <c r="D95" s="73" t="s">
        <v>31</v>
      </c>
      <c r="E95" s="73" t="s">
        <v>174</v>
      </c>
      <c r="F95" s="82" t="str">
        <f>IFERROR(VLOOKUP(E95,客户!B:C,2,FALSE),"/")</f>
        <v>/</v>
      </c>
      <c r="G95" s="73" t="s">
        <v>234</v>
      </c>
      <c r="H95" s="145" t="s">
        <v>123</v>
      </c>
      <c r="I95" s="145" t="s">
        <v>205</v>
      </c>
      <c r="J95" s="110"/>
      <c r="K95" s="93">
        <v>43258</v>
      </c>
      <c r="L95" s="93">
        <v>43284</v>
      </c>
      <c r="M95" s="116"/>
      <c r="N95" s="116"/>
      <c r="O95" s="108"/>
      <c r="P95" s="107">
        <v>62071.44</v>
      </c>
      <c r="Q95" s="127">
        <f>P95-U95</f>
        <v>62071.44</v>
      </c>
      <c r="R95" s="133"/>
      <c r="S95" s="134"/>
      <c r="T95" s="126">
        <v>61908.65</v>
      </c>
      <c r="U95" s="93"/>
      <c r="V95" s="107"/>
      <c r="W95" s="171"/>
    </row>
    <row r="96" s="40" customFormat="1" ht="22" customHeight="1" spans="1:23">
      <c r="A96" s="70" t="s">
        <v>235</v>
      </c>
      <c r="B96" s="71" t="s">
        <v>30</v>
      </c>
      <c r="C96" s="72"/>
      <c r="D96" s="73" t="s">
        <v>31</v>
      </c>
      <c r="E96" s="73" t="s">
        <v>174</v>
      </c>
      <c r="F96" s="82" t="str">
        <f>IFERROR(VLOOKUP(E96,客户!B:C,2,FALSE),"/")</f>
        <v>/</v>
      </c>
      <c r="G96" s="73" t="s">
        <v>234</v>
      </c>
      <c r="H96" s="145" t="s">
        <v>123</v>
      </c>
      <c r="I96" s="145" t="s">
        <v>205</v>
      </c>
      <c r="J96" s="110"/>
      <c r="K96" s="93">
        <v>43287</v>
      </c>
      <c r="L96" s="93">
        <v>43315</v>
      </c>
      <c r="M96" s="116"/>
      <c r="N96" s="116"/>
      <c r="O96" s="108"/>
      <c r="P96" s="107">
        <v>41704</v>
      </c>
      <c r="Q96" s="127">
        <f>P96-U96</f>
        <v>41704</v>
      </c>
      <c r="R96" s="133"/>
      <c r="S96" s="134"/>
      <c r="T96" s="126">
        <v>41566</v>
      </c>
      <c r="U96" s="93"/>
      <c r="V96" s="107"/>
      <c r="W96" s="171"/>
    </row>
    <row r="97" s="40" customFormat="1" ht="22" customHeight="1" spans="1:23">
      <c r="A97" s="70" t="s">
        <v>236</v>
      </c>
      <c r="B97" s="71" t="s">
        <v>30</v>
      </c>
      <c r="C97" s="72"/>
      <c r="D97" s="73" t="s">
        <v>31</v>
      </c>
      <c r="E97" s="73" t="s">
        <v>174</v>
      </c>
      <c r="F97" s="82" t="str">
        <f>IFERROR(VLOOKUP(E97,客户!B:C,2,FALSE),"/")</f>
        <v>/</v>
      </c>
      <c r="G97" s="73" t="s">
        <v>234</v>
      </c>
      <c r="H97" s="145" t="s">
        <v>123</v>
      </c>
      <c r="I97" s="145" t="s">
        <v>205</v>
      </c>
      <c r="J97" s="110"/>
      <c r="K97" s="93">
        <v>43315</v>
      </c>
      <c r="L97" s="93">
        <v>43345</v>
      </c>
      <c r="M97" s="113"/>
      <c r="N97" s="113"/>
      <c r="O97" s="108"/>
      <c r="P97" s="114">
        <v>63024.56</v>
      </c>
      <c r="Q97" s="167"/>
      <c r="R97" s="133"/>
      <c r="S97" s="134"/>
      <c r="T97" s="126">
        <v>63024</v>
      </c>
      <c r="U97" s="93"/>
      <c r="V97" s="107"/>
      <c r="W97" s="171"/>
    </row>
    <row r="98" s="40" customFormat="1" ht="22" customHeight="1" spans="1:23">
      <c r="A98" s="70" t="s">
        <v>237</v>
      </c>
      <c r="B98" s="71" t="s">
        <v>30</v>
      </c>
      <c r="C98" s="72"/>
      <c r="D98" s="73" t="s">
        <v>31</v>
      </c>
      <c r="E98" s="73" t="s">
        <v>56</v>
      </c>
      <c r="F98" s="82" t="str">
        <f>IFERROR(VLOOKUP(E98,客户!B:C,2,FALSE),"/")</f>
        <v>/</v>
      </c>
      <c r="G98" s="73" t="s">
        <v>228</v>
      </c>
      <c r="H98" s="145" t="s">
        <v>123</v>
      </c>
      <c r="I98" s="145" t="s">
        <v>238</v>
      </c>
      <c r="J98" s="110"/>
      <c r="K98" s="93">
        <v>43297</v>
      </c>
      <c r="L98" s="93">
        <v>43325</v>
      </c>
      <c r="M98" s="116"/>
      <c r="N98" s="116"/>
      <c r="O98" s="108"/>
      <c r="P98" s="107">
        <v>23146.2</v>
      </c>
      <c r="Q98" s="168">
        <v>4629</v>
      </c>
      <c r="R98" s="133"/>
      <c r="S98" s="134"/>
      <c r="T98" s="126">
        <f>N98-P98</f>
        <v>-23146.2</v>
      </c>
      <c r="U98" s="93"/>
      <c r="V98" s="107"/>
      <c r="W98" s="171"/>
    </row>
    <row r="99" s="40" customFormat="1" ht="22" customHeight="1" spans="1:23">
      <c r="A99" s="70" t="s">
        <v>239</v>
      </c>
      <c r="B99" s="71" t="s">
        <v>30</v>
      </c>
      <c r="C99" s="72"/>
      <c r="D99" s="73" t="s">
        <v>31</v>
      </c>
      <c r="E99" s="73" t="s">
        <v>174</v>
      </c>
      <c r="F99" s="82" t="str">
        <f>IFERROR(VLOOKUP(E99,客户!B:C,2,FALSE),"/")</f>
        <v>/</v>
      </c>
      <c r="G99" s="73" t="s">
        <v>240</v>
      </c>
      <c r="H99" s="145" t="s">
        <v>123</v>
      </c>
      <c r="I99" s="145" t="s">
        <v>241</v>
      </c>
      <c r="J99" s="110"/>
      <c r="K99" s="93">
        <v>43265</v>
      </c>
      <c r="L99" s="93">
        <v>43298</v>
      </c>
      <c r="M99" s="116"/>
      <c r="N99" s="116"/>
      <c r="O99" s="108"/>
      <c r="P99" s="114">
        <v>20825.2</v>
      </c>
      <c r="Q99" s="167"/>
      <c r="R99" s="133"/>
      <c r="S99" s="134"/>
      <c r="T99" s="126">
        <v>20825</v>
      </c>
      <c r="U99" s="93"/>
      <c r="V99" s="107"/>
      <c r="W99" s="171"/>
    </row>
    <row r="100" s="40" customFormat="1" ht="22" customHeight="1" spans="1:23">
      <c r="A100" s="70" t="s">
        <v>242</v>
      </c>
      <c r="B100" s="71" t="s">
        <v>30</v>
      </c>
      <c r="C100" s="72"/>
      <c r="D100" s="73" t="s">
        <v>31</v>
      </c>
      <c r="E100" s="73" t="s">
        <v>102</v>
      </c>
      <c r="F100" s="82" t="str">
        <f>IFERROR(VLOOKUP(E100,客户!B:C,2,FALSE),"/")</f>
        <v>/</v>
      </c>
      <c r="G100" s="73" t="s">
        <v>57</v>
      </c>
      <c r="H100" s="45" t="s">
        <v>123</v>
      </c>
      <c r="I100" s="45" t="s">
        <v>223</v>
      </c>
      <c r="J100" s="110"/>
      <c r="K100" s="93">
        <v>43267</v>
      </c>
      <c r="L100" s="93">
        <v>43291</v>
      </c>
      <c r="M100" s="113"/>
      <c r="N100" s="113"/>
      <c r="O100" s="108"/>
      <c r="P100" s="114">
        <v>21990.4</v>
      </c>
      <c r="Q100" s="127">
        <v>22000</v>
      </c>
      <c r="R100" s="129"/>
      <c r="S100" s="130"/>
      <c r="T100" s="107"/>
      <c r="U100" s="93"/>
      <c r="V100" s="107"/>
      <c r="W100" s="171"/>
    </row>
    <row r="101" s="40" customFormat="1" ht="22" customHeight="1" spans="1:23">
      <c r="A101" s="70" t="s">
        <v>243</v>
      </c>
      <c r="B101" s="71" t="s">
        <v>30</v>
      </c>
      <c r="C101" s="72"/>
      <c r="D101" s="73" t="s">
        <v>31</v>
      </c>
      <c r="E101" s="73" t="s">
        <v>196</v>
      </c>
      <c r="F101" s="82" t="str">
        <f>IFERROR(VLOOKUP(E101,客户!B:C,2,FALSE),"/")</f>
        <v>/</v>
      </c>
      <c r="G101" s="73" t="s">
        <v>197</v>
      </c>
      <c r="H101" s="45" t="s">
        <v>147</v>
      </c>
      <c r="I101" s="45" t="s">
        <v>210</v>
      </c>
      <c r="J101" s="110">
        <v>43193</v>
      </c>
      <c r="K101" s="93">
        <v>43299</v>
      </c>
      <c r="L101" s="93">
        <v>43330</v>
      </c>
      <c r="M101" s="113"/>
      <c r="N101" s="113"/>
      <c r="O101" s="108"/>
      <c r="P101" s="107">
        <v>66051.45</v>
      </c>
      <c r="Q101" s="127">
        <f>P101-U101</f>
        <v>66051.45</v>
      </c>
      <c r="R101" s="133"/>
      <c r="S101" s="134"/>
      <c r="T101" s="126">
        <v>65900</v>
      </c>
      <c r="U101" s="93"/>
      <c r="V101" s="107"/>
      <c r="W101" s="171"/>
    </row>
    <row r="102" s="40" customFormat="1" ht="22" customHeight="1" spans="1:23">
      <c r="A102" s="70" t="s">
        <v>244</v>
      </c>
      <c r="B102" s="71" t="s">
        <v>30</v>
      </c>
      <c r="C102" s="72"/>
      <c r="D102" s="73" t="s">
        <v>31</v>
      </c>
      <c r="E102" s="73" t="s">
        <v>196</v>
      </c>
      <c r="F102" s="82" t="str">
        <f>IFERROR(VLOOKUP(E102,客户!B:C,2,FALSE),"/")</f>
        <v>/</v>
      </c>
      <c r="G102" s="73" t="s">
        <v>245</v>
      </c>
      <c r="H102" s="45" t="s">
        <v>147</v>
      </c>
      <c r="I102" s="45" t="s">
        <v>210</v>
      </c>
      <c r="J102" s="110">
        <v>43193</v>
      </c>
      <c r="K102" s="93">
        <v>43350</v>
      </c>
      <c r="L102" s="93">
        <v>43375</v>
      </c>
      <c r="M102" s="154" t="s">
        <v>246</v>
      </c>
      <c r="N102" s="152" t="s">
        <v>247</v>
      </c>
      <c r="O102" s="108"/>
      <c r="P102" s="107">
        <v>66047.4</v>
      </c>
      <c r="Q102" s="127">
        <v>157</v>
      </c>
      <c r="R102" s="133"/>
      <c r="S102" s="134"/>
      <c r="T102" s="126">
        <v>65896</v>
      </c>
      <c r="U102" s="93"/>
      <c r="V102" s="107"/>
      <c r="W102" s="171"/>
    </row>
    <row r="103" s="39" customFormat="1" ht="22" customHeight="1" spans="1:23">
      <c r="A103" s="70" t="s">
        <v>248</v>
      </c>
      <c r="B103" s="71" t="s">
        <v>30</v>
      </c>
      <c r="C103" s="72"/>
      <c r="D103" s="73" t="s">
        <v>31</v>
      </c>
      <c r="E103" s="73" t="s">
        <v>196</v>
      </c>
      <c r="F103" s="82" t="str">
        <f>IFERROR(VLOOKUP(E103,客户!B:C,2,FALSE),"/")</f>
        <v>/</v>
      </c>
      <c r="G103" s="73" t="s">
        <v>249</v>
      </c>
      <c r="H103" s="45" t="s">
        <v>147</v>
      </c>
      <c r="I103" s="45" t="s">
        <v>205</v>
      </c>
      <c r="J103" s="110">
        <v>43168</v>
      </c>
      <c r="K103" s="93">
        <v>43393</v>
      </c>
      <c r="L103" s="93">
        <v>43423</v>
      </c>
      <c r="M103" s="155" t="s">
        <v>250</v>
      </c>
      <c r="N103" s="154" t="s">
        <v>251</v>
      </c>
      <c r="O103" s="108"/>
      <c r="P103" s="107">
        <v>128772.6</v>
      </c>
      <c r="Q103" s="114"/>
      <c r="R103" s="129"/>
      <c r="S103" s="130"/>
      <c r="T103" s="107"/>
      <c r="U103" s="93"/>
      <c r="V103" s="107"/>
      <c r="W103" s="171"/>
    </row>
    <row r="104" s="42" customFormat="1" ht="22" customHeight="1" spans="1:23">
      <c r="A104" s="70" t="s">
        <v>252</v>
      </c>
      <c r="B104" s="71" t="s">
        <v>30</v>
      </c>
      <c r="C104" s="72"/>
      <c r="D104" s="73" t="s">
        <v>31</v>
      </c>
      <c r="E104" s="73" t="s">
        <v>196</v>
      </c>
      <c r="F104" s="82" t="str">
        <f>IFERROR(VLOOKUP(E104,客户!B:C,2,FALSE),"/")</f>
        <v>/</v>
      </c>
      <c r="G104" s="73" t="s">
        <v>61</v>
      </c>
      <c r="H104" s="45" t="s">
        <v>147</v>
      </c>
      <c r="I104" s="45" t="s">
        <v>205</v>
      </c>
      <c r="J104" s="110">
        <v>43236</v>
      </c>
      <c r="K104" s="93"/>
      <c r="L104" s="93"/>
      <c r="M104" s="154" t="s">
        <v>253</v>
      </c>
      <c r="N104" s="154"/>
      <c r="O104" s="108"/>
      <c r="P104" s="107"/>
      <c r="Q104" s="167"/>
      <c r="R104" s="129"/>
      <c r="S104" s="130"/>
      <c r="T104" s="107"/>
      <c r="U104" s="93"/>
      <c r="V104" s="107"/>
      <c r="W104" s="171"/>
    </row>
    <row r="105" s="42" customFormat="1" ht="22" customHeight="1" spans="1:23">
      <c r="A105" s="70" t="s">
        <v>254</v>
      </c>
      <c r="B105" s="71" t="s">
        <v>30</v>
      </c>
      <c r="C105" s="72"/>
      <c r="D105" s="73" t="s">
        <v>31</v>
      </c>
      <c r="E105" s="73" t="s">
        <v>196</v>
      </c>
      <c r="F105" s="82" t="str">
        <f>IFERROR(VLOOKUP(E105,客户!B:C,2,FALSE),"/")</f>
        <v>/</v>
      </c>
      <c r="G105" s="73" t="s">
        <v>234</v>
      </c>
      <c r="H105" s="45" t="s">
        <v>147</v>
      </c>
      <c r="I105" s="45" t="s">
        <v>205</v>
      </c>
      <c r="J105" s="110">
        <v>43236</v>
      </c>
      <c r="K105" s="93">
        <v>43401</v>
      </c>
      <c r="L105" s="93">
        <v>43445</v>
      </c>
      <c r="M105" s="156" t="s">
        <v>255</v>
      </c>
      <c r="N105" s="154" t="s">
        <v>256</v>
      </c>
      <c r="O105" s="108"/>
      <c r="P105" s="107">
        <v>64771.2</v>
      </c>
      <c r="Q105" s="167"/>
      <c r="R105" s="124"/>
      <c r="S105" s="125"/>
      <c r="T105" s="126">
        <v>64586.473</v>
      </c>
      <c r="U105" s="93"/>
      <c r="V105" s="107"/>
      <c r="W105" s="171"/>
    </row>
    <row r="106" s="42" customFormat="1" ht="22" customHeight="1" spans="1:23">
      <c r="A106" s="70" t="s">
        <v>257</v>
      </c>
      <c r="B106" s="71" t="s">
        <v>30</v>
      </c>
      <c r="C106" s="72"/>
      <c r="D106" s="73" t="s">
        <v>31</v>
      </c>
      <c r="E106" s="73" t="s">
        <v>196</v>
      </c>
      <c r="F106" s="82" t="str">
        <f>IFERROR(VLOOKUP(E106,客户!B:C,2,FALSE),"/")</f>
        <v>/</v>
      </c>
      <c r="G106" s="73" t="s">
        <v>234</v>
      </c>
      <c r="H106" s="45" t="s">
        <v>147</v>
      </c>
      <c r="I106" s="45" t="s">
        <v>205</v>
      </c>
      <c r="J106" s="110">
        <v>43236</v>
      </c>
      <c r="K106" s="93">
        <v>43407</v>
      </c>
      <c r="L106" s="93">
        <v>43449</v>
      </c>
      <c r="M106" s="154" t="s">
        <v>258</v>
      </c>
      <c r="N106" s="154" t="s">
        <v>259</v>
      </c>
      <c r="O106" s="108"/>
      <c r="P106" s="107">
        <v>64771.2</v>
      </c>
      <c r="Q106" s="167"/>
      <c r="R106" s="129"/>
      <c r="S106" s="130"/>
      <c r="T106" s="107">
        <v>59386</v>
      </c>
      <c r="U106" s="93"/>
      <c r="V106" s="107"/>
      <c r="W106" s="171"/>
    </row>
    <row r="107" s="40" customFormat="1" ht="22" customHeight="1" spans="1:23">
      <c r="A107" s="70" t="s">
        <v>260</v>
      </c>
      <c r="B107" s="71" t="s">
        <v>30</v>
      </c>
      <c r="C107" s="72"/>
      <c r="D107" s="73" t="s">
        <v>31</v>
      </c>
      <c r="E107" s="73" t="s">
        <v>196</v>
      </c>
      <c r="F107" s="82" t="str">
        <f>IFERROR(VLOOKUP(E107,客户!B:C,2,FALSE),"/")</f>
        <v>/</v>
      </c>
      <c r="G107" s="73" t="s">
        <v>234</v>
      </c>
      <c r="H107" s="45" t="s">
        <v>147</v>
      </c>
      <c r="I107" s="45" t="s">
        <v>205</v>
      </c>
      <c r="J107" s="110">
        <v>43236</v>
      </c>
      <c r="K107" s="93">
        <v>43112</v>
      </c>
      <c r="L107" s="93">
        <v>43519</v>
      </c>
      <c r="M107" s="45" t="s">
        <v>261</v>
      </c>
      <c r="N107" s="154" t="s">
        <v>262</v>
      </c>
      <c r="O107" s="108"/>
      <c r="P107" s="107">
        <v>63072.6</v>
      </c>
      <c r="Q107" s="107">
        <v>0</v>
      </c>
      <c r="R107" s="129"/>
      <c r="S107" s="130"/>
      <c r="T107" s="107">
        <v>62865</v>
      </c>
      <c r="U107" s="93"/>
      <c r="V107" s="107"/>
      <c r="W107" s="172"/>
    </row>
    <row r="108" s="40" customFormat="1" ht="22" customHeight="1" spans="1:23">
      <c r="A108" s="70" t="s">
        <v>263</v>
      </c>
      <c r="B108" s="71" t="s">
        <v>30</v>
      </c>
      <c r="C108" s="72"/>
      <c r="D108" s="73" t="s">
        <v>31</v>
      </c>
      <c r="E108" s="73" t="s">
        <v>196</v>
      </c>
      <c r="F108" s="82" t="str">
        <f>IFERROR(VLOOKUP(E108,客户!B:C,2,FALSE),"/")</f>
        <v>/</v>
      </c>
      <c r="G108" s="73" t="s">
        <v>234</v>
      </c>
      <c r="H108" s="45" t="s">
        <v>147</v>
      </c>
      <c r="I108" s="45" t="s">
        <v>205</v>
      </c>
      <c r="J108" s="110">
        <v>43236</v>
      </c>
      <c r="K108" s="93">
        <v>43534</v>
      </c>
      <c r="L108" s="93">
        <v>43565</v>
      </c>
      <c r="M108" s="154" t="s">
        <v>264</v>
      </c>
      <c r="N108" s="45" t="s">
        <v>265</v>
      </c>
      <c r="O108" s="108"/>
      <c r="P108" s="107">
        <v>64827</v>
      </c>
      <c r="Q108" s="107">
        <v>0</v>
      </c>
      <c r="R108" s="129"/>
      <c r="S108" s="130"/>
      <c r="T108" s="107">
        <v>64642</v>
      </c>
      <c r="U108" s="93">
        <v>43570</v>
      </c>
      <c r="V108" s="107"/>
      <c r="W108" s="172"/>
    </row>
    <row r="109" s="42" customFormat="1" ht="22" customHeight="1" spans="1:23">
      <c r="A109" s="70" t="s">
        <v>266</v>
      </c>
      <c r="B109" s="71" t="s">
        <v>30</v>
      </c>
      <c r="C109" s="72"/>
      <c r="D109" s="73" t="s">
        <v>31</v>
      </c>
      <c r="E109" s="73" t="s">
        <v>196</v>
      </c>
      <c r="F109" s="82" t="str">
        <f>IFERROR(VLOOKUP(E109,客户!B:C,2,FALSE),"/")</f>
        <v>/</v>
      </c>
      <c r="G109" s="73" t="s">
        <v>234</v>
      </c>
      <c r="H109" s="45" t="s">
        <v>147</v>
      </c>
      <c r="I109" s="45" t="s">
        <v>210</v>
      </c>
      <c r="J109" s="110">
        <v>43363</v>
      </c>
      <c r="K109" s="93">
        <v>43449</v>
      </c>
      <c r="L109" s="93">
        <v>43488</v>
      </c>
      <c r="M109" s="45" t="s">
        <v>267</v>
      </c>
      <c r="N109" s="154" t="s">
        <v>268</v>
      </c>
      <c r="O109" s="108"/>
      <c r="P109" s="114">
        <v>67945.12</v>
      </c>
      <c r="Q109" s="127">
        <v>0</v>
      </c>
      <c r="R109" s="129"/>
      <c r="S109" s="130"/>
      <c r="T109" s="107">
        <v>67790</v>
      </c>
      <c r="U109" s="93">
        <v>43482</v>
      </c>
      <c r="V109" s="107"/>
      <c r="W109" s="172"/>
    </row>
    <row r="110" s="40" customFormat="1" ht="22" customHeight="1" spans="1:23">
      <c r="A110" s="70" t="s">
        <v>269</v>
      </c>
      <c r="B110" s="71" t="s">
        <v>30</v>
      </c>
      <c r="C110" s="72"/>
      <c r="D110" s="73" t="s">
        <v>31</v>
      </c>
      <c r="E110" s="73" t="s">
        <v>221</v>
      </c>
      <c r="F110" s="82" t="str">
        <f>IFERROR(VLOOKUP(E110,客户!B:C,2,FALSE),"/")</f>
        <v>/</v>
      </c>
      <c r="G110" s="73" t="s">
        <v>54</v>
      </c>
      <c r="H110" s="45" t="s">
        <v>123</v>
      </c>
      <c r="I110" s="45" t="s">
        <v>223</v>
      </c>
      <c r="J110" s="110">
        <v>43238</v>
      </c>
      <c r="K110" s="93">
        <v>43275</v>
      </c>
      <c r="L110" s="93">
        <v>43306</v>
      </c>
      <c r="M110" s="113"/>
      <c r="N110" s="113"/>
      <c r="O110" s="108"/>
      <c r="P110" s="114">
        <v>22383.5</v>
      </c>
      <c r="Q110" s="107"/>
      <c r="R110" s="129"/>
      <c r="S110" s="130"/>
      <c r="T110" s="107">
        <v>15165</v>
      </c>
      <c r="U110" s="107">
        <v>22383.5</v>
      </c>
      <c r="V110" s="107"/>
      <c r="W110" s="172"/>
    </row>
    <row r="111" s="40" customFormat="1" ht="22" customHeight="1" spans="1:23">
      <c r="A111" s="70" t="s">
        <v>270</v>
      </c>
      <c r="B111" s="71" t="s">
        <v>30</v>
      </c>
      <c r="C111" s="72"/>
      <c r="D111" s="73" t="s">
        <v>31</v>
      </c>
      <c r="E111" s="73" t="s">
        <v>221</v>
      </c>
      <c r="F111" s="82" t="str">
        <f>IFERROR(VLOOKUP(E111,客户!B:C,2,FALSE),"/")</f>
        <v>/</v>
      </c>
      <c r="G111" s="73" t="s">
        <v>271</v>
      </c>
      <c r="H111" s="45" t="s">
        <v>123</v>
      </c>
      <c r="I111" s="45" t="s">
        <v>272</v>
      </c>
      <c r="J111" s="110">
        <v>43254</v>
      </c>
      <c r="K111" s="93">
        <v>43312</v>
      </c>
      <c r="L111" s="93">
        <v>43346</v>
      </c>
      <c r="M111" s="157" t="s">
        <v>273</v>
      </c>
      <c r="N111" s="157"/>
      <c r="O111" s="108"/>
      <c r="P111" s="107">
        <v>46045.21</v>
      </c>
      <c r="Q111" s="107"/>
      <c r="R111" s="129"/>
      <c r="S111" s="130"/>
      <c r="T111" s="107">
        <v>30630</v>
      </c>
      <c r="U111" s="107">
        <v>46045.21</v>
      </c>
      <c r="V111" s="107"/>
      <c r="W111" s="172"/>
    </row>
    <row r="112" s="40" customFormat="1" ht="22" customHeight="1" spans="1:23">
      <c r="A112" s="70" t="s">
        <v>274</v>
      </c>
      <c r="B112" s="71" t="s">
        <v>30</v>
      </c>
      <c r="C112" s="72"/>
      <c r="D112" s="73" t="s">
        <v>31</v>
      </c>
      <c r="E112" s="83" t="s">
        <v>275</v>
      </c>
      <c r="F112" s="82" t="str">
        <f>IFERROR(VLOOKUP(E112,客户!B:C,2,FALSE),"/")</f>
        <v>/</v>
      </c>
      <c r="G112" s="73" t="s">
        <v>91</v>
      </c>
      <c r="H112" s="45" t="s">
        <v>123</v>
      </c>
      <c r="I112" s="45" t="s">
        <v>276</v>
      </c>
      <c r="J112" s="110">
        <v>43255</v>
      </c>
      <c r="K112" s="93">
        <v>43328</v>
      </c>
      <c r="L112" s="93">
        <v>43363</v>
      </c>
      <c r="M112" s="158" t="s">
        <v>277</v>
      </c>
      <c r="N112" s="152" t="s">
        <v>278</v>
      </c>
      <c r="O112" s="108"/>
      <c r="P112" s="107">
        <v>20578.91</v>
      </c>
      <c r="Q112" s="107"/>
      <c r="R112" s="129"/>
      <c r="S112" s="130"/>
      <c r="T112" s="107">
        <v>6155</v>
      </c>
      <c r="U112" s="107">
        <v>20578.91</v>
      </c>
      <c r="V112" s="107"/>
      <c r="W112" s="172"/>
    </row>
    <row r="113" s="40" customFormat="1" ht="22" customHeight="1" spans="1:23">
      <c r="A113" s="70" t="s">
        <v>279</v>
      </c>
      <c r="B113" s="71" t="s">
        <v>30</v>
      </c>
      <c r="C113" s="72"/>
      <c r="D113" s="73" t="s">
        <v>31</v>
      </c>
      <c r="E113" s="73" t="s">
        <v>125</v>
      </c>
      <c r="F113" s="82" t="str">
        <f>IFERROR(VLOOKUP(E113,客户!B:C,2,FALSE),"/")</f>
        <v>/</v>
      </c>
      <c r="G113" s="73" t="s">
        <v>280</v>
      </c>
      <c r="H113" s="45" t="s">
        <v>127</v>
      </c>
      <c r="I113" s="45" t="s">
        <v>215</v>
      </c>
      <c r="J113" s="110"/>
      <c r="K113" s="93">
        <v>43324</v>
      </c>
      <c r="L113" s="93">
        <v>43340</v>
      </c>
      <c r="M113" s="113" t="s">
        <v>281</v>
      </c>
      <c r="N113" s="113"/>
      <c r="O113" s="108"/>
      <c r="P113" s="107">
        <v>69515</v>
      </c>
      <c r="Q113" s="127"/>
      <c r="R113" s="169"/>
      <c r="S113" s="170"/>
      <c r="T113" s="127">
        <v>21535</v>
      </c>
      <c r="U113" s="107">
        <v>69515</v>
      </c>
      <c r="V113" s="107"/>
      <c r="W113" s="172"/>
    </row>
    <row r="114" s="40" customFormat="1" ht="22" customHeight="1" spans="1:23">
      <c r="A114" s="74" t="s">
        <v>282</v>
      </c>
      <c r="B114" s="71" t="s">
        <v>30</v>
      </c>
      <c r="C114" s="72"/>
      <c r="D114" s="73" t="s">
        <v>31</v>
      </c>
      <c r="E114" s="73" t="s">
        <v>221</v>
      </c>
      <c r="F114" s="82" t="str">
        <f>IFERROR(VLOOKUP(E114,客户!B:C,2,FALSE),"/")</f>
        <v>/</v>
      </c>
      <c r="G114" s="73" t="s">
        <v>54</v>
      </c>
      <c r="H114" s="45" t="s">
        <v>123</v>
      </c>
      <c r="I114" s="45" t="s">
        <v>272</v>
      </c>
      <c r="J114" s="110">
        <v>43306</v>
      </c>
      <c r="K114" s="93">
        <v>43330</v>
      </c>
      <c r="L114" s="93">
        <v>43363</v>
      </c>
      <c r="M114" s="159" t="s">
        <v>273</v>
      </c>
      <c r="N114" s="158" t="s">
        <v>283</v>
      </c>
      <c r="O114" s="108"/>
      <c r="P114" s="107">
        <v>23317.38</v>
      </c>
      <c r="Q114" s="107"/>
      <c r="R114" s="129"/>
      <c r="S114" s="130"/>
      <c r="T114" s="107">
        <v>7959.25</v>
      </c>
      <c r="U114" s="107">
        <v>23317.38</v>
      </c>
      <c r="V114" s="107"/>
      <c r="W114" s="172"/>
    </row>
    <row r="115" s="40" customFormat="1" ht="22" customHeight="1" spans="1:23">
      <c r="A115" s="70" t="s">
        <v>284</v>
      </c>
      <c r="B115" s="71" t="s">
        <v>30</v>
      </c>
      <c r="C115" s="72"/>
      <c r="D115" s="73" t="s">
        <v>31</v>
      </c>
      <c r="E115" s="73" t="s">
        <v>221</v>
      </c>
      <c r="F115" s="82" t="str">
        <f>IFERROR(VLOOKUP(E115,客户!B:C,2,FALSE),"/")</f>
        <v>/</v>
      </c>
      <c r="G115" s="73" t="s">
        <v>54</v>
      </c>
      <c r="H115" s="45" t="s">
        <v>123</v>
      </c>
      <c r="I115" s="45" t="s">
        <v>272</v>
      </c>
      <c r="J115" s="146">
        <v>43306</v>
      </c>
      <c r="K115" s="93">
        <v>43366</v>
      </c>
      <c r="L115" s="93">
        <v>43389</v>
      </c>
      <c r="M115" s="160" t="s">
        <v>285</v>
      </c>
      <c r="N115" s="42" t="s">
        <v>286</v>
      </c>
      <c r="O115" s="108"/>
      <c r="P115" s="107">
        <v>24089.85</v>
      </c>
      <c r="Q115" s="127"/>
      <c r="R115" s="133"/>
      <c r="S115" s="134"/>
      <c r="T115" s="127">
        <v>22933.65</v>
      </c>
      <c r="U115" s="107">
        <v>24089.85</v>
      </c>
      <c r="V115" s="173" t="s">
        <v>287</v>
      </c>
      <c r="W115" s="172"/>
    </row>
    <row r="116" s="39" customFormat="1" ht="22" customHeight="1" spans="1:23">
      <c r="A116" s="74" t="s">
        <v>288</v>
      </c>
      <c r="B116" s="71" t="s">
        <v>30</v>
      </c>
      <c r="C116" s="72"/>
      <c r="D116" s="73" t="s">
        <v>31</v>
      </c>
      <c r="E116" s="73" t="s">
        <v>53</v>
      </c>
      <c r="F116" s="82" t="str">
        <f>IFERROR(VLOOKUP(E116,客户!B:C,2,FALSE),"/")</f>
        <v>/</v>
      </c>
      <c r="G116" s="73" t="s">
        <v>54</v>
      </c>
      <c r="H116" s="45" t="s">
        <v>123</v>
      </c>
      <c r="I116" s="45" t="s">
        <v>232</v>
      </c>
      <c r="J116" s="110">
        <v>43298</v>
      </c>
      <c r="K116" s="93">
        <v>43344</v>
      </c>
      <c r="L116" s="93">
        <v>43357</v>
      </c>
      <c r="M116" s="161" t="s">
        <v>289</v>
      </c>
      <c r="N116" s="146" t="s">
        <v>290</v>
      </c>
      <c r="O116" s="108"/>
      <c r="P116" s="107">
        <v>20440.5</v>
      </c>
      <c r="Q116" s="107">
        <v>6072.15</v>
      </c>
      <c r="R116" s="129"/>
      <c r="S116" s="130"/>
      <c r="T116" s="107"/>
      <c r="U116" s="107"/>
      <c r="V116" s="107"/>
      <c r="W116" s="172"/>
    </row>
    <row r="117" s="42" customFormat="1" ht="22" customHeight="1" spans="1:23">
      <c r="A117" s="142" t="s">
        <v>291</v>
      </c>
      <c r="B117" s="71" t="s">
        <v>30</v>
      </c>
      <c r="C117" s="72"/>
      <c r="D117" s="73" t="s">
        <v>31</v>
      </c>
      <c r="E117" s="73" t="s">
        <v>292</v>
      </c>
      <c r="F117" s="82" t="str">
        <f>IFERROR(VLOOKUP(E117,客户!B:C,2,FALSE),"/")</f>
        <v>/</v>
      </c>
      <c r="G117" s="73" t="s">
        <v>136</v>
      </c>
      <c r="H117" s="45" t="s">
        <v>123</v>
      </c>
      <c r="I117" s="45" t="s">
        <v>276</v>
      </c>
      <c r="J117" s="146">
        <v>43300</v>
      </c>
      <c r="K117" s="93">
        <v>43365</v>
      </c>
      <c r="L117" s="93">
        <v>43396</v>
      </c>
      <c r="M117" s="146" t="s">
        <v>293</v>
      </c>
      <c r="N117" s="146" t="s">
        <v>294</v>
      </c>
      <c r="O117" s="108"/>
      <c r="P117" s="107">
        <v>11750.24</v>
      </c>
      <c r="Q117" s="107">
        <v>11750.24</v>
      </c>
      <c r="R117" s="129"/>
      <c r="S117" s="130"/>
      <c r="T117" s="107"/>
      <c r="U117" s="107"/>
      <c r="V117" s="107"/>
      <c r="W117" s="172"/>
    </row>
    <row r="118" s="39" customFormat="1" ht="22" customHeight="1" spans="1:23">
      <c r="A118" s="74" t="s">
        <v>295</v>
      </c>
      <c r="B118" s="71" t="s">
        <v>30</v>
      </c>
      <c r="C118" s="72"/>
      <c r="D118" s="73" t="s">
        <v>31</v>
      </c>
      <c r="E118" s="73" t="s">
        <v>296</v>
      </c>
      <c r="F118" s="82">
        <f>IFERROR(VLOOKUP(E118,客户!B:C,2,FALSE),"/")</f>
        <v>0</v>
      </c>
      <c r="G118" s="73" t="s">
        <v>122</v>
      </c>
      <c r="H118" s="45" t="s">
        <v>123</v>
      </c>
      <c r="I118" s="45" t="s">
        <v>297</v>
      </c>
      <c r="J118" s="110">
        <v>43307</v>
      </c>
      <c r="K118" s="93">
        <v>43346</v>
      </c>
      <c r="L118" s="93">
        <v>43383</v>
      </c>
      <c r="M118" s="162" t="s">
        <v>298</v>
      </c>
      <c r="N118" s="146" t="s">
        <v>299</v>
      </c>
      <c r="O118" s="108"/>
      <c r="P118" s="107">
        <v>23368.5</v>
      </c>
      <c r="Q118" s="107">
        <v>6969</v>
      </c>
      <c r="R118" s="129"/>
      <c r="S118" s="130"/>
      <c r="T118" s="107"/>
      <c r="U118" s="107"/>
      <c r="V118" s="107"/>
      <c r="W118" s="172"/>
    </row>
    <row r="119" s="39" customFormat="1" ht="22" customHeight="1" spans="1:23">
      <c r="A119" s="70" t="s">
        <v>300</v>
      </c>
      <c r="B119" s="71" t="s">
        <v>30</v>
      </c>
      <c r="C119" s="72"/>
      <c r="D119" s="73" t="s">
        <v>31</v>
      </c>
      <c r="E119" s="73" t="s">
        <v>301</v>
      </c>
      <c r="F119" s="82" t="str">
        <f>IFERROR(VLOOKUP(E119,客户!B:C,2,FALSE),"/")</f>
        <v>/</v>
      </c>
      <c r="G119" s="73" t="s">
        <v>302</v>
      </c>
      <c r="H119" s="45" t="s">
        <v>127</v>
      </c>
      <c r="I119" s="45" t="s">
        <v>215</v>
      </c>
      <c r="J119" s="110">
        <v>43319</v>
      </c>
      <c r="K119" s="93">
        <v>43338</v>
      </c>
      <c r="L119" s="93">
        <v>43359</v>
      </c>
      <c r="M119" s="113" t="s">
        <v>303</v>
      </c>
      <c r="N119" s="163" t="s">
        <v>304</v>
      </c>
      <c r="O119" s="108"/>
      <c r="P119" s="107">
        <v>128683.8</v>
      </c>
      <c r="Q119" s="107">
        <v>40000</v>
      </c>
      <c r="R119" s="129"/>
      <c r="S119" s="130"/>
      <c r="T119" s="107"/>
      <c r="U119" s="107"/>
      <c r="V119" s="107"/>
      <c r="W119" s="172"/>
    </row>
    <row r="120" s="39" customFormat="1" ht="22" customHeight="1" spans="1:23">
      <c r="A120" s="70" t="s">
        <v>305</v>
      </c>
      <c r="B120" s="71" t="s">
        <v>30</v>
      </c>
      <c r="C120" s="72"/>
      <c r="D120" s="73" t="s">
        <v>31</v>
      </c>
      <c r="E120" s="83" t="s">
        <v>306</v>
      </c>
      <c r="F120" s="82" t="str">
        <f>IFERROR(VLOOKUP(E120,客户!B:C,2,FALSE),"/")</f>
        <v>/</v>
      </c>
      <c r="G120" s="73" t="s">
        <v>40</v>
      </c>
      <c r="H120" s="45"/>
      <c r="I120" s="45" t="s">
        <v>210</v>
      </c>
      <c r="J120" s="110">
        <v>43326</v>
      </c>
      <c r="K120" s="93">
        <v>43392</v>
      </c>
      <c r="L120" s="93">
        <v>43417</v>
      </c>
      <c r="M120" s="146" t="s">
        <v>307</v>
      </c>
      <c r="N120" s="162" t="s">
        <v>308</v>
      </c>
      <c r="O120" s="108"/>
      <c r="P120" s="107">
        <v>42738.26</v>
      </c>
      <c r="Q120" s="107">
        <v>13073</v>
      </c>
      <c r="R120" s="129"/>
      <c r="S120" s="130"/>
      <c r="T120" s="107"/>
      <c r="U120" s="107"/>
      <c r="V120" s="107"/>
      <c r="W120" s="172"/>
    </row>
    <row r="121" s="42" customFormat="1" ht="22" customHeight="1" spans="1:23">
      <c r="A121" s="142" t="s">
        <v>309</v>
      </c>
      <c r="B121" s="71" t="s">
        <v>30</v>
      </c>
      <c r="C121" s="72"/>
      <c r="D121" s="73" t="s">
        <v>31</v>
      </c>
      <c r="E121" s="73" t="s">
        <v>310</v>
      </c>
      <c r="F121" s="82" t="str">
        <f>IFERROR(VLOOKUP(E121,客户!B:C,2,FALSE),"/")</f>
        <v>/</v>
      </c>
      <c r="G121" s="73" t="s">
        <v>311</v>
      </c>
      <c r="H121" s="45" t="s">
        <v>154</v>
      </c>
      <c r="I121" s="45" t="s">
        <v>312</v>
      </c>
      <c r="J121" s="146">
        <v>43340</v>
      </c>
      <c r="K121" s="93">
        <v>43365</v>
      </c>
      <c r="L121" s="93">
        <v>43388</v>
      </c>
      <c r="M121" s="146" t="s">
        <v>313</v>
      </c>
      <c r="N121" s="146" t="s">
        <v>314</v>
      </c>
      <c r="O121" s="108"/>
      <c r="P121" s="107">
        <v>86659.6</v>
      </c>
      <c r="Q121" s="107"/>
      <c r="R121" s="129"/>
      <c r="S121" s="130"/>
      <c r="T121" s="107">
        <v>86659.6</v>
      </c>
      <c r="U121" s="93"/>
      <c r="V121" s="107"/>
      <c r="W121" s="172"/>
    </row>
    <row r="122" s="39" customFormat="1" ht="22" customHeight="1" spans="1:23">
      <c r="A122" s="142" t="s">
        <v>315</v>
      </c>
      <c r="B122" s="71" t="s">
        <v>30</v>
      </c>
      <c r="C122" s="72"/>
      <c r="D122" s="73" t="s">
        <v>31</v>
      </c>
      <c r="E122" s="73" t="s">
        <v>310</v>
      </c>
      <c r="F122" s="82" t="str">
        <f>IFERROR(VLOOKUP(E122,客户!B:C,2,FALSE),"/")</f>
        <v>/</v>
      </c>
      <c r="G122" s="73" t="s">
        <v>316</v>
      </c>
      <c r="H122" s="45" t="s">
        <v>154</v>
      </c>
      <c r="I122" s="45" t="s">
        <v>312</v>
      </c>
      <c r="J122" s="110">
        <v>43340</v>
      </c>
      <c r="K122" s="93">
        <v>43380</v>
      </c>
      <c r="L122" s="93">
        <v>43406</v>
      </c>
      <c r="M122" s="164" t="s">
        <v>317</v>
      </c>
      <c r="N122" s="165" t="s">
        <v>318</v>
      </c>
      <c r="O122" s="108"/>
      <c r="P122" s="107">
        <v>129989.4</v>
      </c>
      <c r="Q122" s="107"/>
      <c r="R122" s="129"/>
      <c r="S122" s="130"/>
      <c r="T122" s="107">
        <v>129989.4</v>
      </c>
      <c r="U122" s="93"/>
      <c r="V122" s="107"/>
      <c r="W122" s="172"/>
    </row>
    <row r="123" s="39" customFormat="1" ht="22" customHeight="1" spans="1:23">
      <c r="A123" s="142" t="s">
        <v>319</v>
      </c>
      <c r="B123" s="71" t="s">
        <v>30</v>
      </c>
      <c r="C123" s="72"/>
      <c r="D123" s="73" t="s">
        <v>31</v>
      </c>
      <c r="E123" s="73" t="s">
        <v>310</v>
      </c>
      <c r="F123" s="82" t="str">
        <f>IFERROR(VLOOKUP(E123,客户!B:C,2,FALSE),"/")</f>
        <v>/</v>
      </c>
      <c r="G123" s="73" t="s">
        <v>320</v>
      </c>
      <c r="H123" s="45" t="s">
        <v>123</v>
      </c>
      <c r="I123" s="45" t="s">
        <v>312</v>
      </c>
      <c r="J123" s="110">
        <v>43340</v>
      </c>
      <c r="K123" s="93">
        <v>43393</v>
      </c>
      <c r="L123" s="93">
        <v>43419</v>
      </c>
      <c r="M123" s="110" t="s">
        <v>321</v>
      </c>
      <c r="N123" s="146" t="s">
        <v>322</v>
      </c>
      <c r="O123" s="108"/>
      <c r="P123" s="107">
        <v>64994.7</v>
      </c>
      <c r="Q123" s="107"/>
      <c r="R123" s="129"/>
      <c r="S123" s="130"/>
      <c r="T123" s="107">
        <v>64994.7</v>
      </c>
      <c r="U123" s="93"/>
      <c r="V123" s="107"/>
      <c r="W123" s="172"/>
    </row>
    <row r="124" s="39" customFormat="1" ht="22" customHeight="1" spans="1:23">
      <c r="A124" s="142" t="s">
        <v>323</v>
      </c>
      <c r="B124" s="71" t="s">
        <v>30</v>
      </c>
      <c r="C124" s="72"/>
      <c r="D124" s="73" t="s">
        <v>31</v>
      </c>
      <c r="E124" s="73" t="s">
        <v>310</v>
      </c>
      <c r="F124" s="82" t="str">
        <f>IFERROR(VLOOKUP(E124,客户!B:C,2,FALSE),"/")</f>
        <v>/</v>
      </c>
      <c r="G124" s="73" t="s">
        <v>320</v>
      </c>
      <c r="H124" s="45" t="s">
        <v>123</v>
      </c>
      <c r="I124" s="45" t="s">
        <v>312</v>
      </c>
      <c r="J124" s="110">
        <v>43340</v>
      </c>
      <c r="K124" s="93">
        <v>43393</v>
      </c>
      <c r="L124" s="93">
        <v>43423</v>
      </c>
      <c r="M124" s="146" t="s">
        <v>324</v>
      </c>
      <c r="N124" s="146" t="s">
        <v>322</v>
      </c>
      <c r="O124" s="108"/>
      <c r="P124" s="107">
        <v>64994.7</v>
      </c>
      <c r="Q124" s="107"/>
      <c r="R124" s="129"/>
      <c r="S124" s="130"/>
      <c r="T124" s="107">
        <v>64994.7</v>
      </c>
      <c r="U124" s="93"/>
      <c r="V124" s="107"/>
      <c r="W124" s="172"/>
    </row>
    <row r="125" s="39" customFormat="1" ht="22" customHeight="1" spans="1:23">
      <c r="A125" s="142" t="s">
        <v>325</v>
      </c>
      <c r="B125" s="71" t="s">
        <v>30</v>
      </c>
      <c r="C125" s="72"/>
      <c r="D125" s="73" t="s">
        <v>31</v>
      </c>
      <c r="E125" s="73" t="s">
        <v>326</v>
      </c>
      <c r="F125" s="82" t="str">
        <f>IFERROR(VLOOKUP(E125,客户!B:C,2,FALSE),"/")</f>
        <v>/</v>
      </c>
      <c r="G125" s="73" t="s">
        <v>327</v>
      </c>
      <c r="H125" s="45" t="s">
        <v>123</v>
      </c>
      <c r="I125" s="45" t="s">
        <v>312</v>
      </c>
      <c r="J125" s="110">
        <v>43340</v>
      </c>
      <c r="K125" s="93">
        <v>43413</v>
      </c>
      <c r="L125" s="93">
        <v>43442</v>
      </c>
      <c r="M125" s="146" t="s">
        <v>328</v>
      </c>
      <c r="N125" s="146" t="s">
        <v>329</v>
      </c>
      <c r="O125" s="108"/>
      <c r="P125" s="107">
        <v>86659.6</v>
      </c>
      <c r="Q125" s="107">
        <f>P125-U125</f>
        <v>86659.6</v>
      </c>
      <c r="R125" s="129"/>
      <c r="S125" s="130"/>
      <c r="T125" s="107">
        <v>86659.6</v>
      </c>
      <c r="U125" s="93"/>
      <c r="V125" s="107"/>
      <c r="W125" s="172"/>
    </row>
    <row r="126" s="39" customFormat="1" ht="22" customHeight="1" spans="1:23">
      <c r="A126" s="142" t="s">
        <v>330</v>
      </c>
      <c r="B126" s="71" t="s">
        <v>30</v>
      </c>
      <c r="C126" s="72"/>
      <c r="D126" s="73" t="s">
        <v>31</v>
      </c>
      <c r="E126" s="73" t="s">
        <v>326</v>
      </c>
      <c r="F126" s="82" t="str">
        <f>IFERROR(VLOOKUP(E126,客户!B:C,2,FALSE),"/")</f>
        <v>/</v>
      </c>
      <c r="G126" s="73" t="s">
        <v>320</v>
      </c>
      <c r="H126" s="45" t="s">
        <v>123</v>
      </c>
      <c r="I126" s="45" t="s">
        <v>312</v>
      </c>
      <c r="J126" s="110">
        <v>43340</v>
      </c>
      <c r="K126" s="93">
        <v>43427</v>
      </c>
      <c r="L126" s="93">
        <v>43461</v>
      </c>
      <c r="M126" s="146" t="s">
        <v>331</v>
      </c>
      <c r="N126" s="146" t="s">
        <v>332</v>
      </c>
      <c r="O126" s="108"/>
      <c r="P126" s="107">
        <v>64994.7</v>
      </c>
      <c r="Q126" s="107"/>
      <c r="R126" s="129"/>
      <c r="S126" s="130"/>
      <c r="T126" s="107">
        <v>64994.7</v>
      </c>
      <c r="U126" s="93"/>
      <c r="V126" s="107"/>
      <c r="W126" s="172"/>
    </row>
    <row r="127" s="39" customFormat="1" ht="22" customHeight="1" spans="1:23">
      <c r="A127" s="142" t="s">
        <v>333</v>
      </c>
      <c r="B127" s="71" t="s">
        <v>30</v>
      </c>
      <c r="C127" s="72"/>
      <c r="D127" s="73" t="s">
        <v>31</v>
      </c>
      <c r="E127" s="73" t="s">
        <v>326</v>
      </c>
      <c r="F127" s="82" t="str">
        <f>IFERROR(VLOOKUP(E127,客户!B:C,2,FALSE),"/")</f>
        <v>/</v>
      </c>
      <c r="G127" s="73" t="s">
        <v>334</v>
      </c>
      <c r="H127" s="45" t="s">
        <v>123</v>
      </c>
      <c r="I127" s="45" t="s">
        <v>312</v>
      </c>
      <c r="J127" s="110">
        <v>43340</v>
      </c>
      <c r="K127" s="93">
        <v>43434</v>
      </c>
      <c r="L127" s="93">
        <v>43103</v>
      </c>
      <c r="M127" s="146" t="s">
        <v>335</v>
      </c>
      <c r="N127" s="146" t="s">
        <v>336</v>
      </c>
      <c r="O127" s="108"/>
      <c r="P127" s="107">
        <v>33181.8</v>
      </c>
      <c r="Q127" s="107"/>
      <c r="R127" s="129"/>
      <c r="S127" s="130"/>
      <c r="T127" s="107">
        <v>33181.8</v>
      </c>
      <c r="U127" s="93">
        <v>43473</v>
      </c>
      <c r="V127" s="107"/>
      <c r="W127" s="172"/>
    </row>
    <row r="128" s="39" customFormat="1" ht="22" customHeight="1" spans="1:23">
      <c r="A128" s="143" t="s">
        <v>337</v>
      </c>
      <c r="B128" s="71" t="s">
        <v>30</v>
      </c>
      <c r="C128" s="72"/>
      <c r="D128" s="73" t="s">
        <v>31</v>
      </c>
      <c r="E128" s="73" t="s">
        <v>338</v>
      </c>
      <c r="F128" s="82" t="str">
        <f>IFERROR(VLOOKUP(E128,客户!B:C,2,FALSE),"/")</f>
        <v>/</v>
      </c>
      <c r="G128" s="73" t="s">
        <v>339</v>
      </c>
      <c r="H128" s="45" t="s">
        <v>123</v>
      </c>
      <c r="I128" s="45" t="s">
        <v>340</v>
      </c>
      <c r="J128" s="110">
        <v>43350</v>
      </c>
      <c r="K128" s="93">
        <v>43409</v>
      </c>
      <c r="L128" s="93">
        <v>43440</v>
      </c>
      <c r="M128" s="146" t="s">
        <v>341</v>
      </c>
      <c r="N128" s="162" t="s">
        <v>294</v>
      </c>
      <c r="O128" s="108"/>
      <c r="P128" s="107">
        <v>17843</v>
      </c>
      <c r="Q128" s="107">
        <v>5309.9</v>
      </c>
      <c r="R128" s="129"/>
      <c r="S128" s="130"/>
      <c r="T128" s="107">
        <v>17843</v>
      </c>
      <c r="U128" s="93"/>
      <c r="V128" s="107"/>
      <c r="W128" s="172"/>
    </row>
    <row r="129" s="39" customFormat="1" ht="22" customHeight="1" spans="1:23">
      <c r="A129" s="142" t="s">
        <v>342</v>
      </c>
      <c r="B129" s="71" t="s">
        <v>30</v>
      </c>
      <c r="C129" s="72"/>
      <c r="D129" s="73" t="s">
        <v>31</v>
      </c>
      <c r="E129" s="83" t="s">
        <v>343</v>
      </c>
      <c r="F129" s="82" t="str">
        <f>IFERROR(VLOOKUP(E129,客户!B:C,2,FALSE),"/")</f>
        <v>/</v>
      </c>
      <c r="G129" s="73" t="s">
        <v>344</v>
      </c>
      <c r="H129" s="45" t="s">
        <v>123</v>
      </c>
      <c r="I129" s="45" t="s">
        <v>345</v>
      </c>
      <c r="J129" s="110">
        <v>43349</v>
      </c>
      <c r="K129" s="93">
        <v>43392</v>
      </c>
      <c r="L129" s="93">
        <v>43426</v>
      </c>
      <c r="M129" s="146" t="s">
        <v>341</v>
      </c>
      <c r="N129" s="162" t="s">
        <v>346</v>
      </c>
      <c r="O129" s="108"/>
      <c r="P129" s="107">
        <v>51798.78</v>
      </c>
      <c r="Q129" s="107">
        <v>8000</v>
      </c>
      <c r="R129" s="129"/>
      <c r="S129" s="130"/>
      <c r="T129" s="107">
        <v>51798.78</v>
      </c>
      <c r="U129" s="93"/>
      <c r="V129" s="107"/>
      <c r="W129" s="172"/>
    </row>
    <row r="130" s="39" customFormat="1" ht="22" customHeight="1" spans="1:23">
      <c r="A130" s="142" t="s">
        <v>347</v>
      </c>
      <c r="B130" s="71" t="s">
        <v>30</v>
      </c>
      <c r="C130" s="72"/>
      <c r="D130" s="73" t="s">
        <v>31</v>
      </c>
      <c r="E130" s="73" t="s">
        <v>348</v>
      </c>
      <c r="F130" s="82" t="str">
        <f>IFERROR(VLOOKUP(E130,客户!B:C,2,FALSE),"/")</f>
        <v>/</v>
      </c>
      <c r="G130" s="73" t="s">
        <v>349</v>
      </c>
      <c r="H130" s="45"/>
      <c r="I130" s="45" t="s">
        <v>350</v>
      </c>
      <c r="J130" s="110">
        <v>43350</v>
      </c>
      <c r="K130" s="93">
        <v>43407</v>
      </c>
      <c r="L130" s="93">
        <v>43440</v>
      </c>
      <c r="M130" s="146" t="s">
        <v>351</v>
      </c>
      <c r="N130" s="146" t="s">
        <v>352</v>
      </c>
      <c r="O130" s="108"/>
      <c r="P130" s="107">
        <v>25205.45</v>
      </c>
      <c r="Q130" s="107">
        <v>8138</v>
      </c>
      <c r="R130" s="129"/>
      <c r="S130" s="130"/>
      <c r="T130" s="107">
        <v>25205</v>
      </c>
      <c r="U130" s="93"/>
      <c r="V130" s="107"/>
      <c r="W130" s="172"/>
    </row>
    <row r="131" s="39" customFormat="1" ht="22" customHeight="1" spans="1:23">
      <c r="A131" s="142" t="s">
        <v>353</v>
      </c>
      <c r="B131" s="71" t="s">
        <v>30</v>
      </c>
      <c r="C131" s="72"/>
      <c r="D131" s="73" t="s">
        <v>31</v>
      </c>
      <c r="E131" s="73" t="s">
        <v>354</v>
      </c>
      <c r="F131" s="82" t="str">
        <f>IFERROR(VLOOKUP(E131,客户!B:C,2,FALSE),"/")</f>
        <v>/</v>
      </c>
      <c r="G131" s="73" t="s">
        <v>355</v>
      </c>
      <c r="H131" s="45" t="s">
        <v>123</v>
      </c>
      <c r="I131" s="45" t="s">
        <v>356</v>
      </c>
      <c r="J131" s="110">
        <v>43359</v>
      </c>
      <c r="K131" s="93">
        <v>43400</v>
      </c>
      <c r="L131" s="93">
        <v>43429</v>
      </c>
      <c r="M131" s="146" t="s">
        <v>357</v>
      </c>
      <c r="N131" s="162" t="s">
        <v>358</v>
      </c>
      <c r="O131" s="108"/>
      <c r="P131" s="107">
        <v>23981.6</v>
      </c>
      <c r="Q131" s="107">
        <v>6384</v>
      </c>
      <c r="R131" s="129"/>
      <c r="S131" s="130"/>
      <c r="T131" s="107">
        <v>23981.6</v>
      </c>
      <c r="U131" s="93"/>
      <c r="V131" s="107"/>
      <c r="W131" s="172"/>
    </row>
    <row r="132" s="39" customFormat="1" ht="22" customHeight="1" spans="1:23">
      <c r="A132" s="142" t="s">
        <v>359</v>
      </c>
      <c r="B132" s="71" t="s">
        <v>30</v>
      </c>
      <c r="C132" s="72"/>
      <c r="D132" s="73" t="s">
        <v>31</v>
      </c>
      <c r="E132" s="73" t="s">
        <v>360</v>
      </c>
      <c r="F132" s="82" t="str">
        <f>IFERROR(VLOOKUP(E132,客户!B:C,2,FALSE),"/")</f>
        <v>/</v>
      </c>
      <c r="G132" s="73" t="s">
        <v>361</v>
      </c>
      <c r="H132" s="45" t="s">
        <v>123</v>
      </c>
      <c r="I132" s="45" t="s">
        <v>362</v>
      </c>
      <c r="J132" s="110">
        <v>43363</v>
      </c>
      <c r="K132" s="93">
        <v>43425</v>
      </c>
      <c r="L132" s="93">
        <v>43457</v>
      </c>
      <c r="M132" s="162" t="s">
        <v>363</v>
      </c>
      <c r="N132" s="162" t="s">
        <v>364</v>
      </c>
      <c r="O132" s="108"/>
      <c r="P132" s="107">
        <v>21443.8</v>
      </c>
      <c r="Q132" s="107">
        <v>5972</v>
      </c>
      <c r="R132" s="129"/>
      <c r="S132" s="130"/>
      <c r="T132" s="107">
        <v>21443.8</v>
      </c>
      <c r="U132" s="93"/>
      <c r="V132" s="107"/>
      <c r="W132" s="184"/>
    </row>
    <row r="133" s="39" customFormat="1" ht="22" customHeight="1" spans="1:23">
      <c r="A133" s="142" t="s">
        <v>365</v>
      </c>
      <c r="B133" s="71" t="s">
        <v>30</v>
      </c>
      <c r="C133" s="72"/>
      <c r="D133" s="73" t="s">
        <v>31</v>
      </c>
      <c r="E133" s="73" t="s">
        <v>366</v>
      </c>
      <c r="F133" s="82" t="str">
        <f>IFERROR(VLOOKUP(E133,客户!B:C,2,FALSE),"/")</f>
        <v>/</v>
      </c>
      <c r="G133" s="73" t="s">
        <v>367</v>
      </c>
      <c r="H133" s="45" t="s">
        <v>123</v>
      </c>
      <c r="I133" s="45" t="s">
        <v>368</v>
      </c>
      <c r="J133" s="110">
        <v>43368</v>
      </c>
      <c r="K133" s="93">
        <v>43430</v>
      </c>
      <c r="L133" s="93">
        <v>43458</v>
      </c>
      <c r="M133" s="146" t="s">
        <v>369</v>
      </c>
      <c r="N133" s="162" t="s">
        <v>370</v>
      </c>
      <c r="O133" s="108"/>
      <c r="P133" s="107">
        <v>20899.7</v>
      </c>
      <c r="Q133" s="107">
        <v>8450</v>
      </c>
      <c r="R133" s="129"/>
      <c r="S133" s="130"/>
      <c r="T133" s="107">
        <v>20899.7</v>
      </c>
      <c r="U133" s="93"/>
      <c r="V133" s="107"/>
      <c r="W133" s="172"/>
    </row>
    <row r="134" s="39" customFormat="1" ht="22" customHeight="1" spans="1:23">
      <c r="A134" s="70" t="s">
        <v>371</v>
      </c>
      <c r="B134" s="71" t="s">
        <v>30</v>
      </c>
      <c r="C134" s="72"/>
      <c r="D134" s="73" t="s">
        <v>31</v>
      </c>
      <c r="E134" s="73" t="s">
        <v>372</v>
      </c>
      <c r="F134" s="82" t="str">
        <f>IFERROR(VLOOKUP(E134,客户!B:C,2,FALSE),"/")</f>
        <v>/</v>
      </c>
      <c r="G134" s="73" t="s">
        <v>373</v>
      </c>
      <c r="H134" s="45" t="s">
        <v>123</v>
      </c>
      <c r="I134" s="45" t="s">
        <v>374</v>
      </c>
      <c r="J134" s="110"/>
      <c r="K134" s="93">
        <v>43367</v>
      </c>
      <c r="L134" s="93">
        <v>43392</v>
      </c>
      <c r="M134" s="155" t="s">
        <v>375</v>
      </c>
      <c r="N134" s="152" t="s">
        <v>376</v>
      </c>
      <c r="O134" s="108"/>
      <c r="P134" s="107">
        <v>78318.88</v>
      </c>
      <c r="Q134" s="128"/>
      <c r="R134" s="129"/>
      <c r="S134" s="130"/>
      <c r="T134" s="107">
        <v>78318.88</v>
      </c>
      <c r="U134" s="93"/>
      <c r="V134" s="107"/>
      <c r="W134" s="184"/>
    </row>
    <row r="135" s="39" customFormat="1" ht="22" customHeight="1" spans="1:23">
      <c r="A135" s="70" t="s">
        <v>377</v>
      </c>
      <c r="B135" s="71" t="s">
        <v>30</v>
      </c>
      <c r="C135" s="72"/>
      <c r="D135" s="73" t="s">
        <v>31</v>
      </c>
      <c r="E135" s="73" t="s">
        <v>372</v>
      </c>
      <c r="F135" s="82" t="str">
        <f>IFERROR(VLOOKUP(E135,客户!B:C,2,FALSE),"/")</f>
        <v>/</v>
      </c>
      <c r="G135" s="73" t="s">
        <v>378</v>
      </c>
      <c r="H135" s="45" t="s">
        <v>123</v>
      </c>
      <c r="I135" s="45" t="s">
        <v>374</v>
      </c>
      <c r="J135" s="110"/>
      <c r="K135" s="93"/>
      <c r="L135" s="93"/>
      <c r="M135" s="155"/>
      <c r="N135" s="177"/>
      <c r="O135" s="108"/>
      <c r="P135" s="107"/>
      <c r="Q135" s="128"/>
      <c r="R135" s="129"/>
      <c r="S135" s="130"/>
      <c r="T135" s="107"/>
      <c r="U135" s="93"/>
      <c r="V135" s="107"/>
      <c r="W135" s="184"/>
    </row>
    <row r="136" s="39" customFormat="1" ht="22" customHeight="1" spans="1:23">
      <c r="A136" s="70" t="s">
        <v>379</v>
      </c>
      <c r="B136" s="71" t="s">
        <v>30</v>
      </c>
      <c r="C136" s="72"/>
      <c r="D136" s="73" t="s">
        <v>31</v>
      </c>
      <c r="E136" s="73" t="s">
        <v>372</v>
      </c>
      <c r="F136" s="82" t="str">
        <f>IFERROR(VLOOKUP(E136,客户!B:C,2,FALSE),"/")</f>
        <v>/</v>
      </c>
      <c r="G136" s="73" t="s">
        <v>378</v>
      </c>
      <c r="H136" s="45" t="s">
        <v>123</v>
      </c>
      <c r="I136" s="45" t="s">
        <v>380</v>
      </c>
      <c r="J136" s="110"/>
      <c r="K136" s="93">
        <v>43325</v>
      </c>
      <c r="L136" s="93">
        <v>43358</v>
      </c>
      <c r="M136" s="106" t="s">
        <v>381</v>
      </c>
      <c r="N136" s="106"/>
      <c r="O136" s="108"/>
      <c r="P136" s="107">
        <v>21875.19</v>
      </c>
      <c r="Q136" s="128"/>
      <c r="R136" s="129"/>
      <c r="S136" s="130"/>
      <c r="T136" s="107">
        <v>21875.19</v>
      </c>
      <c r="U136" s="93"/>
      <c r="V136" s="107"/>
      <c r="W136" s="184"/>
    </row>
    <row r="137" s="39" customFormat="1" ht="22" customHeight="1" spans="1:23">
      <c r="A137" s="142" t="s">
        <v>382</v>
      </c>
      <c r="B137" s="71" t="s">
        <v>30</v>
      </c>
      <c r="C137" s="72"/>
      <c r="D137" s="73" t="s">
        <v>31</v>
      </c>
      <c r="E137" s="73" t="s">
        <v>383</v>
      </c>
      <c r="F137" s="82" t="str">
        <f>IFERROR(VLOOKUP(E137,客户!B:C,2,FALSE),"/")</f>
        <v>/</v>
      </c>
      <c r="G137" s="73" t="s">
        <v>384</v>
      </c>
      <c r="H137" s="45" t="s">
        <v>385</v>
      </c>
      <c r="I137" s="45" t="s">
        <v>386</v>
      </c>
      <c r="J137" s="110">
        <v>43372</v>
      </c>
      <c r="K137" s="93">
        <v>43449</v>
      </c>
      <c r="L137" s="93">
        <v>43462</v>
      </c>
      <c r="M137" s="116"/>
      <c r="N137" s="162" t="s">
        <v>387</v>
      </c>
      <c r="O137" s="108"/>
      <c r="P137" s="107">
        <v>26373</v>
      </c>
      <c r="Q137" s="107">
        <v>7372.8</v>
      </c>
      <c r="R137" s="129">
        <v>0</v>
      </c>
      <c r="S137" s="130"/>
      <c r="T137" s="107">
        <v>26373</v>
      </c>
      <c r="U137" s="93"/>
      <c r="V137" s="107"/>
      <c r="W137" s="172"/>
    </row>
    <row r="138" s="39" customFormat="1" ht="22" customHeight="1" spans="1:23">
      <c r="A138" s="142" t="s">
        <v>388</v>
      </c>
      <c r="B138" s="71" t="s">
        <v>30</v>
      </c>
      <c r="C138" s="72"/>
      <c r="D138" s="73" t="s">
        <v>31</v>
      </c>
      <c r="E138" s="73" t="s">
        <v>389</v>
      </c>
      <c r="F138" s="82" t="str">
        <f>IFERROR(VLOOKUP(E138,客户!B:C,2,FALSE),"/")</f>
        <v>/</v>
      </c>
      <c r="G138" s="73" t="s">
        <v>390</v>
      </c>
      <c r="H138" s="45" t="s">
        <v>154</v>
      </c>
      <c r="I138" s="45" t="s">
        <v>391</v>
      </c>
      <c r="J138" s="110">
        <v>43377</v>
      </c>
      <c r="K138" s="93">
        <v>43451</v>
      </c>
      <c r="L138" s="93">
        <v>43118</v>
      </c>
      <c r="M138" s="116"/>
      <c r="N138" s="178" t="s">
        <v>392</v>
      </c>
      <c r="O138" s="108"/>
      <c r="P138" s="107">
        <v>26711.65</v>
      </c>
      <c r="Q138" s="107">
        <v>5200</v>
      </c>
      <c r="R138" s="129">
        <v>0</v>
      </c>
      <c r="S138" s="130"/>
      <c r="T138" s="107" t="s">
        <v>393</v>
      </c>
      <c r="U138" s="93"/>
      <c r="V138" s="135"/>
      <c r="W138" s="172"/>
    </row>
    <row r="139" s="39" customFormat="1" ht="22" customHeight="1" spans="1:23">
      <c r="A139" s="142" t="s">
        <v>394</v>
      </c>
      <c r="B139" s="71" t="s">
        <v>30</v>
      </c>
      <c r="C139" s="72"/>
      <c r="D139" s="73" t="s">
        <v>31</v>
      </c>
      <c r="E139" s="73" t="s">
        <v>395</v>
      </c>
      <c r="F139" s="82" t="str">
        <f>IFERROR(VLOOKUP(E139,客户!B:C,2,FALSE),"/")</f>
        <v>/</v>
      </c>
      <c r="G139" s="73" t="s">
        <v>390</v>
      </c>
      <c r="H139" s="45" t="s">
        <v>396</v>
      </c>
      <c r="I139" s="45" t="s">
        <v>397</v>
      </c>
      <c r="J139" s="110">
        <v>43386</v>
      </c>
      <c r="K139" s="93">
        <v>43428</v>
      </c>
      <c r="L139" s="93">
        <v>43446</v>
      </c>
      <c r="M139" s="165" t="s">
        <v>398</v>
      </c>
      <c r="N139" s="162" t="s">
        <v>399</v>
      </c>
      <c r="O139" s="108"/>
      <c r="P139" s="107">
        <v>22834.4</v>
      </c>
      <c r="Q139" s="107"/>
      <c r="R139" s="129">
        <v>0</v>
      </c>
      <c r="S139" s="130"/>
      <c r="T139" s="107">
        <v>22834</v>
      </c>
      <c r="U139" s="93"/>
      <c r="V139" s="107"/>
      <c r="W139" s="172"/>
    </row>
    <row r="140" s="39" customFormat="1" ht="22" customHeight="1" spans="1:23">
      <c r="A140" s="142" t="s">
        <v>400</v>
      </c>
      <c r="B140" s="71" t="s">
        <v>30</v>
      </c>
      <c r="C140" s="72"/>
      <c r="D140" s="73" t="s">
        <v>31</v>
      </c>
      <c r="E140" s="73" t="s">
        <v>221</v>
      </c>
      <c r="F140" s="82" t="str">
        <f>IFERROR(VLOOKUP(E140,客户!B:C,2,FALSE),"/")</f>
        <v>/</v>
      </c>
      <c r="G140" s="73" t="s">
        <v>401</v>
      </c>
      <c r="H140" s="45" t="s">
        <v>123</v>
      </c>
      <c r="I140" s="45" t="s">
        <v>402</v>
      </c>
      <c r="J140" s="110">
        <v>43391</v>
      </c>
      <c r="K140" s="93">
        <v>43442</v>
      </c>
      <c r="L140" s="93">
        <v>43484</v>
      </c>
      <c r="M140" s="179"/>
      <c r="N140" s="162" t="s">
        <v>403</v>
      </c>
      <c r="O140" s="108"/>
      <c r="P140" s="107">
        <f>21121.68+1156</f>
        <v>22277.68</v>
      </c>
      <c r="Q140" s="107"/>
      <c r="R140" s="129"/>
      <c r="S140" s="130"/>
      <c r="T140" s="107">
        <f>15006.13+5000</f>
        <v>20006.13</v>
      </c>
      <c r="U140" s="93"/>
      <c r="V140" s="185" t="s">
        <v>404</v>
      </c>
      <c r="W140" s="172"/>
    </row>
    <row r="141" s="39" customFormat="1" ht="22" customHeight="1" spans="1:23">
      <c r="A141" s="142" t="s">
        <v>405</v>
      </c>
      <c r="B141" s="71" t="s">
        <v>30</v>
      </c>
      <c r="C141" s="72"/>
      <c r="D141" s="73" t="s">
        <v>31</v>
      </c>
      <c r="E141" s="73" t="s">
        <v>301</v>
      </c>
      <c r="F141" s="82" t="str">
        <f>IFERROR(VLOOKUP(E141,客户!B:C,2,FALSE),"/")</f>
        <v>/</v>
      </c>
      <c r="G141" s="73" t="s">
        <v>406</v>
      </c>
      <c r="H141" s="45" t="s">
        <v>407</v>
      </c>
      <c r="I141" s="45"/>
      <c r="J141" s="110">
        <v>43394</v>
      </c>
      <c r="K141" s="93">
        <v>43424</v>
      </c>
      <c r="L141" s="93">
        <v>43445</v>
      </c>
      <c r="M141" s="146" t="s">
        <v>408</v>
      </c>
      <c r="N141" s="162" t="s">
        <v>409</v>
      </c>
      <c r="O141" s="108"/>
      <c r="P141" s="45" t="s">
        <v>410</v>
      </c>
      <c r="Q141" s="107"/>
      <c r="R141" s="129"/>
      <c r="S141" s="130"/>
      <c r="T141" s="107"/>
      <c r="U141" s="93"/>
      <c r="V141" s="128"/>
      <c r="W141" s="186"/>
    </row>
    <row r="142" s="39" customFormat="1" ht="22" customHeight="1" spans="1:23">
      <c r="A142" s="142" t="s">
        <v>411</v>
      </c>
      <c r="B142" s="71" t="s">
        <v>30</v>
      </c>
      <c r="C142" s="72"/>
      <c r="D142" s="73" t="s">
        <v>31</v>
      </c>
      <c r="E142" s="73" t="s">
        <v>412</v>
      </c>
      <c r="F142" s="82">
        <f>IFERROR(VLOOKUP(E142,客户!B:C,2,FALSE),"/")</f>
        <v>0</v>
      </c>
      <c r="G142" s="73" t="s">
        <v>413</v>
      </c>
      <c r="H142" s="45" t="s">
        <v>123</v>
      </c>
      <c r="I142" s="45" t="s">
        <v>414</v>
      </c>
      <c r="J142" s="110">
        <v>43399</v>
      </c>
      <c r="K142" s="93">
        <v>43483</v>
      </c>
      <c r="L142" s="93">
        <v>43523</v>
      </c>
      <c r="M142" s="45" t="s">
        <v>415</v>
      </c>
      <c r="N142" s="110" t="s">
        <v>416</v>
      </c>
      <c r="O142" s="108"/>
      <c r="P142" s="107">
        <v>22228</v>
      </c>
      <c r="Q142" s="107">
        <v>0</v>
      </c>
      <c r="R142" s="129">
        <v>0</v>
      </c>
      <c r="S142" s="130"/>
      <c r="T142" s="107">
        <v>22176</v>
      </c>
      <c r="U142" s="93">
        <v>43524</v>
      </c>
      <c r="V142" s="128"/>
      <c r="W142" s="172"/>
    </row>
    <row r="143" s="39" customFormat="1" ht="22" customHeight="1" spans="1:23">
      <c r="A143" s="142" t="s">
        <v>417</v>
      </c>
      <c r="B143" s="71" t="s">
        <v>30</v>
      </c>
      <c r="C143" s="72"/>
      <c r="D143" s="73" t="s">
        <v>31</v>
      </c>
      <c r="E143" s="73" t="s">
        <v>301</v>
      </c>
      <c r="F143" s="82" t="str">
        <f>IFERROR(VLOOKUP(E143,客户!B:C,2,FALSE),"/")</f>
        <v>/</v>
      </c>
      <c r="G143" s="73" t="s">
        <v>418</v>
      </c>
      <c r="H143" s="142" t="s">
        <v>127</v>
      </c>
      <c r="I143" s="45" t="s">
        <v>419</v>
      </c>
      <c r="J143" s="110">
        <v>43409</v>
      </c>
      <c r="K143" s="93"/>
      <c r="L143" s="176"/>
      <c r="M143" s="146"/>
      <c r="N143" s="110" t="s">
        <v>420</v>
      </c>
      <c r="O143" s="108"/>
      <c r="P143" s="107">
        <v>128994</v>
      </c>
      <c r="Q143" s="107">
        <v>26232</v>
      </c>
      <c r="R143" s="129"/>
      <c r="S143" s="130"/>
      <c r="T143" s="107"/>
      <c r="U143" s="93"/>
      <c r="V143" s="107"/>
      <c r="W143" s="172"/>
    </row>
    <row r="144" s="39" customFormat="1" ht="22" customHeight="1" spans="1:24">
      <c r="A144" s="142" t="s">
        <v>421</v>
      </c>
      <c r="B144" s="71" t="s">
        <v>30</v>
      </c>
      <c r="C144" s="72"/>
      <c r="D144" s="73" t="s">
        <v>31</v>
      </c>
      <c r="E144" s="83" t="s">
        <v>422</v>
      </c>
      <c r="F144" s="82" t="str">
        <f>IFERROR(VLOOKUP(E144,客户!B:C,2,FALSE),"/")</f>
        <v>埃及红线客户配件 样品都要单独显示在箱单发票上</v>
      </c>
      <c r="G144" s="73" t="s">
        <v>423</v>
      </c>
      <c r="H144" s="45" t="s">
        <v>123</v>
      </c>
      <c r="I144" s="45" t="s">
        <v>219</v>
      </c>
      <c r="J144" s="110">
        <v>43413</v>
      </c>
      <c r="K144" s="93">
        <v>43491</v>
      </c>
      <c r="L144" s="93">
        <v>43533</v>
      </c>
      <c r="M144" s="180"/>
      <c r="N144" s="116" t="s">
        <v>424</v>
      </c>
      <c r="O144" s="108"/>
      <c r="P144" s="107">
        <v>23910.45</v>
      </c>
      <c r="Q144" s="107"/>
      <c r="R144" s="129">
        <v>0</v>
      </c>
      <c r="S144" s="130"/>
      <c r="T144" s="107" t="s">
        <v>425</v>
      </c>
      <c r="U144" s="93">
        <v>43528</v>
      </c>
      <c r="V144" s="126">
        <v>16762.26</v>
      </c>
      <c r="W144" s="126">
        <f>P144-V144</f>
        <v>7148.19</v>
      </c>
      <c r="X144" s="187" t="s">
        <v>426</v>
      </c>
    </row>
    <row r="145" s="39" customFormat="1" ht="22" customHeight="1" spans="1:23">
      <c r="A145" s="142" t="s">
        <v>427</v>
      </c>
      <c r="B145" s="71" t="s">
        <v>30</v>
      </c>
      <c r="C145" s="72"/>
      <c r="D145" s="73" t="s">
        <v>31</v>
      </c>
      <c r="E145" s="73" t="s">
        <v>428</v>
      </c>
      <c r="F145" s="82">
        <f>IFERROR(VLOOKUP(E145,客户!B:C,2,FALSE),"/")</f>
        <v>0</v>
      </c>
      <c r="G145" s="73" t="s">
        <v>429</v>
      </c>
      <c r="H145" s="45"/>
      <c r="I145" s="45" t="s">
        <v>419</v>
      </c>
      <c r="J145" s="110">
        <v>43445</v>
      </c>
      <c r="K145" s="93">
        <v>43478</v>
      </c>
      <c r="L145" s="93">
        <v>43494</v>
      </c>
      <c r="M145" s="146"/>
      <c r="N145" s="110" t="s">
        <v>430</v>
      </c>
      <c r="O145" s="108"/>
      <c r="P145" s="107">
        <v>141897</v>
      </c>
      <c r="Q145" s="107">
        <v>14000</v>
      </c>
      <c r="R145" s="129">
        <v>0</v>
      </c>
      <c r="S145" s="130"/>
      <c r="T145" s="107">
        <v>127850</v>
      </c>
      <c r="U145" s="93">
        <v>43487</v>
      </c>
      <c r="V145" s="128"/>
      <c r="W145" s="172"/>
    </row>
    <row r="146" s="39" customFormat="1" ht="22" customHeight="1" spans="1:23">
      <c r="A146" s="142" t="s">
        <v>431</v>
      </c>
      <c r="B146" s="71" t="s">
        <v>30</v>
      </c>
      <c r="C146" s="72"/>
      <c r="D146" s="73" t="s">
        <v>31</v>
      </c>
      <c r="E146" s="73" t="s">
        <v>296</v>
      </c>
      <c r="F146" s="82">
        <f>IFERROR(VLOOKUP(E146,客户!B:C,2,FALSE),"/")</f>
        <v>0</v>
      </c>
      <c r="G146" s="73" t="s">
        <v>432</v>
      </c>
      <c r="H146" s="45"/>
      <c r="I146" s="45"/>
      <c r="J146" s="110">
        <v>43447</v>
      </c>
      <c r="K146" s="93">
        <v>43490</v>
      </c>
      <c r="L146" s="93">
        <v>43530</v>
      </c>
      <c r="M146" s="146" t="s">
        <v>433</v>
      </c>
      <c r="N146" s="110" t="s">
        <v>434</v>
      </c>
      <c r="O146" s="108"/>
      <c r="P146" s="107">
        <v>23679.2</v>
      </c>
      <c r="Q146" s="107">
        <v>7070.76</v>
      </c>
      <c r="R146" s="129">
        <v>0</v>
      </c>
      <c r="S146" s="130"/>
      <c r="T146" s="107">
        <v>16534</v>
      </c>
      <c r="U146" s="93"/>
      <c r="V146" s="128"/>
      <c r="W146" s="172"/>
    </row>
    <row r="147" s="39" customFormat="1" ht="22" customHeight="1" spans="1:23">
      <c r="A147" s="142" t="s">
        <v>435</v>
      </c>
      <c r="B147" s="71" t="s">
        <v>30</v>
      </c>
      <c r="C147" s="72"/>
      <c r="D147" s="73" t="s">
        <v>31</v>
      </c>
      <c r="E147" s="73" t="s">
        <v>436</v>
      </c>
      <c r="F147" s="82" t="str">
        <f>IFERROR(VLOOKUP(E147,客户!B:C,2,FALSE),"/")</f>
        <v>$53.50 TUV Austria administration cost 革力减掉150代理费</v>
      </c>
      <c r="G147" s="73" t="s">
        <v>437</v>
      </c>
      <c r="H147" s="45" t="s">
        <v>123</v>
      </c>
      <c r="I147" s="45" t="s">
        <v>226</v>
      </c>
      <c r="J147" s="110">
        <v>43448</v>
      </c>
      <c r="K147" s="93">
        <v>43519</v>
      </c>
      <c r="L147" s="93">
        <v>43552</v>
      </c>
      <c r="M147" s="146" t="s">
        <v>438</v>
      </c>
      <c r="N147" s="110"/>
      <c r="O147" s="108"/>
      <c r="P147" s="107">
        <v>21014.6</v>
      </c>
      <c r="Q147" s="107">
        <v>6675</v>
      </c>
      <c r="R147" s="129">
        <v>0</v>
      </c>
      <c r="S147" s="130"/>
      <c r="T147" s="107">
        <v>14287</v>
      </c>
      <c r="U147" s="93">
        <v>43532</v>
      </c>
      <c r="V147" s="128"/>
      <c r="W147" s="172"/>
    </row>
    <row r="148" s="39" customFormat="1" ht="22" customHeight="1" spans="1:23">
      <c r="A148" s="142" t="s">
        <v>439</v>
      </c>
      <c r="B148" s="71" t="s">
        <v>30</v>
      </c>
      <c r="C148" s="72"/>
      <c r="D148" s="73" t="s">
        <v>31</v>
      </c>
      <c r="E148" s="73" t="s">
        <v>440</v>
      </c>
      <c r="F148" s="82">
        <f>IFERROR(VLOOKUP(E148,客户!B:C,2,FALSE),"/")</f>
        <v>0</v>
      </c>
      <c r="G148" s="73" t="s">
        <v>441</v>
      </c>
      <c r="H148" s="45" t="s">
        <v>123</v>
      </c>
      <c r="I148" s="45" t="s">
        <v>442</v>
      </c>
      <c r="J148" s="110">
        <v>43468</v>
      </c>
      <c r="K148" s="93">
        <v>43493</v>
      </c>
      <c r="L148" s="93">
        <v>43533</v>
      </c>
      <c r="M148" s="146" t="s">
        <v>443</v>
      </c>
      <c r="N148" s="110" t="s">
        <v>444</v>
      </c>
      <c r="O148" s="108"/>
      <c r="P148" s="107">
        <v>4054.95</v>
      </c>
      <c r="Q148" s="107">
        <v>1200</v>
      </c>
      <c r="R148" s="129">
        <v>0</v>
      </c>
      <c r="S148" s="130"/>
      <c r="T148" s="107">
        <v>2833</v>
      </c>
      <c r="U148" s="93">
        <v>43483</v>
      </c>
      <c r="V148" s="128"/>
      <c r="W148" s="172"/>
    </row>
    <row r="149" s="39" customFormat="1" ht="22" customHeight="1" spans="1:23">
      <c r="A149" s="142" t="s">
        <v>445</v>
      </c>
      <c r="B149" s="71" t="s">
        <v>30</v>
      </c>
      <c r="C149" s="72"/>
      <c r="D149" s="73" t="s">
        <v>31</v>
      </c>
      <c r="E149" s="73" t="s">
        <v>446</v>
      </c>
      <c r="F149" s="82">
        <f>IFERROR(VLOOKUP(E149,客户!B:C,2,FALSE),"/")</f>
        <v>0</v>
      </c>
      <c r="G149" s="73" t="s">
        <v>43</v>
      </c>
      <c r="H149" s="45" t="s">
        <v>123</v>
      </c>
      <c r="I149" s="45" t="s">
        <v>238</v>
      </c>
      <c r="J149" s="110">
        <v>43468</v>
      </c>
      <c r="K149" s="93">
        <v>43500</v>
      </c>
      <c r="L149" s="93">
        <v>43528</v>
      </c>
      <c r="M149" s="146" t="s">
        <v>447</v>
      </c>
      <c r="N149" s="110" t="s">
        <v>448</v>
      </c>
      <c r="O149" s="108"/>
      <c r="P149" s="107">
        <v>24383.35</v>
      </c>
      <c r="Q149" s="107">
        <v>4972.97</v>
      </c>
      <c r="R149" s="129">
        <v>0</v>
      </c>
      <c r="S149" s="130"/>
      <c r="T149" s="107">
        <v>19361</v>
      </c>
      <c r="U149" s="93">
        <v>43525</v>
      </c>
      <c r="V149" s="128"/>
      <c r="W149" s="172"/>
    </row>
    <row r="150" s="39" customFormat="1" ht="22" customHeight="1" spans="1:23">
      <c r="A150" s="142" t="s">
        <v>449</v>
      </c>
      <c r="B150" s="71" t="s">
        <v>30</v>
      </c>
      <c r="C150" s="72"/>
      <c r="D150" s="73" t="s">
        <v>31</v>
      </c>
      <c r="E150" s="73" t="s">
        <v>450</v>
      </c>
      <c r="F150" s="82">
        <f>IFERROR(VLOOKUP(E150,客户!B:C,2,FALSE),"/")</f>
        <v>0</v>
      </c>
      <c r="G150" s="73" t="s">
        <v>43</v>
      </c>
      <c r="H150" s="45" t="s">
        <v>123</v>
      </c>
      <c r="I150" s="45" t="s">
        <v>223</v>
      </c>
      <c r="J150" s="110">
        <v>43469</v>
      </c>
      <c r="K150" s="93">
        <v>43496</v>
      </c>
      <c r="L150" s="93">
        <v>43552</v>
      </c>
      <c r="M150" s="181" t="s">
        <v>451</v>
      </c>
      <c r="N150" s="110" t="s">
        <v>452</v>
      </c>
      <c r="O150" s="108"/>
      <c r="P150" s="107">
        <v>23385.45</v>
      </c>
      <c r="Q150" s="107" t="s">
        <v>453</v>
      </c>
      <c r="R150" s="129"/>
      <c r="S150" s="130"/>
      <c r="T150" s="107">
        <f>14790+8600</f>
        <v>23390</v>
      </c>
      <c r="U150" s="93"/>
      <c r="V150" s="188" t="s">
        <v>454</v>
      </c>
      <c r="W150" s="172"/>
    </row>
    <row r="151" s="39" customFormat="1" ht="22" customHeight="1" spans="1:24">
      <c r="A151" s="142" t="s">
        <v>455</v>
      </c>
      <c r="B151" s="71" t="s">
        <v>30</v>
      </c>
      <c r="C151" s="72"/>
      <c r="D151" s="73" t="s">
        <v>31</v>
      </c>
      <c r="E151" s="73" t="s">
        <v>456</v>
      </c>
      <c r="F151" s="82" t="str">
        <f>IFERROR(VLOOKUP(E151,客户!B:C,2,FALSE),"/")</f>
        <v>埃及红线客户配件 样品都要单独显示在箱单发票上</v>
      </c>
      <c r="G151" s="73" t="s">
        <v>43</v>
      </c>
      <c r="H151" s="45" t="s">
        <v>123</v>
      </c>
      <c r="I151" s="45" t="s">
        <v>219</v>
      </c>
      <c r="J151" s="110">
        <v>43474</v>
      </c>
      <c r="K151" s="93">
        <v>43561</v>
      </c>
      <c r="L151" s="93">
        <v>43589</v>
      </c>
      <c r="M151" s="146" t="s">
        <v>457</v>
      </c>
      <c r="N151" s="146" t="s">
        <v>458</v>
      </c>
      <c r="O151" s="108"/>
      <c r="P151" s="107">
        <v>23425.03</v>
      </c>
      <c r="Q151" s="135"/>
      <c r="R151" s="129">
        <v>0</v>
      </c>
      <c r="S151" s="130"/>
      <c r="T151" s="107" t="s">
        <v>459</v>
      </c>
      <c r="U151" s="93"/>
      <c r="V151" s="126">
        <v>16563.81</v>
      </c>
      <c r="W151" s="126">
        <f>P151-V151</f>
        <v>6861.22</v>
      </c>
      <c r="X151" s="187"/>
    </row>
    <row r="152" s="39" customFormat="1" ht="22" customHeight="1" spans="1:24">
      <c r="A152" s="142" t="s">
        <v>460</v>
      </c>
      <c r="B152" s="71" t="s">
        <v>30</v>
      </c>
      <c r="C152" s="72"/>
      <c r="D152" s="73" t="s">
        <v>31</v>
      </c>
      <c r="E152" s="73" t="s">
        <v>456</v>
      </c>
      <c r="F152" s="82" t="str">
        <f>IFERROR(VLOOKUP(E152,客户!B:C,2,FALSE),"/")</f>
        <v>埃及红线客户配件 样品都要单独显示在箱单发票上</v>
      </c>
      <c r="G152" s="73" t="s">
        <v>43</v>
      </c>
      <c r="H152" s="45" t="s">
        <v>123</v>
      </c>
      <c r="I152" s="45" t="s">
        <v>219</v>
      </c>
      <c r="J152" s="110">
        <v>43481</v>
      </c>
      <c r="K152" s="93">
        <v>43561</v>
      </c>
      <c r="L152" s="93">
        <v>43589</v>
      </c>
      <c r="M152" s="146" t="s">
        <v>461</v>
      </c>
      <c r="N152" s="146" t="s">
        <v>458</v>
      </c>
      <c r="O152" s="108"/>
      <c r="P152" s="107">
        <v>24737.78</v>
      </c>
      <c r="Q152" s="135"/>
      <c r="R152" s="129">
        <v>0</v>
      </c>
      <c r="S152" s="130"/>
      <c r="T152" s="107" t="s">
        <v>462</v>
      </c>
      <c r="U152" s="93"/>
      <c r="V152" s="128"/>
      <c r="W152" s="128"/>
      <c r="X152" s="42"/>
    </row>
    <row r="153" s="39" customFormat="1" ht="22" customHeight="1" spans="1:23">
      <c r="A153" s="142" t="s">
        <v>463</v>
      </c>
      <c r="B153" s="71" t="s">
        <v>30</v>
      </c>
      <c r="C153" s="72"/>
      <c r="D153" s="73" t="s">
        <v>31</v>
      </c>
      <c r="E153" s="73" t="s">
        <v>464</v>
      </c>
      <c r="F153" s="82">
        <f>IFERROR(VLOOKUP(E153,客户!B:C,2,FALSE),"/")</f>
        <v>0</v>
      </c>
      <c r="G153" s="73" t="s">
        <v>43</v>
      </c>
      <c r="H153" s="45" t="s">
        <v>123</v>
      </c>
      <c r="I153" s="45" t="s">
        <v>465</v>
      </c>
      <c r="J153" s="110">
        <v>43493</v>
      </c>
      <c r="K153" s="93">
        <v>43559</v>
      </c>
      <c r="L153" s="93">
        <v>43589</v>
      </c>
      <c r="M153" s="146" t="s">
        <v>466</v>
      </c>
      <c r="N153" s="110" t="s">
        <v>467</v>
      </c>
      <c r="O153" s="108"/>
      <c r="P153" s="107">
        <v>41221.8</v>
      </c>
      <c r="Q153" s="107" t="s">
        <v>468</v>
      </c>
      <c r="R153" s="129">
        <v>0</v>
      </c>
      <c r="S153" s="130"/>
      <c r="T153" s="107" t="s">
        <v>469</v>
      </c>
      <c r="U153" s="93">
        <v>43578</v>
      </c>
      <c r="V153" s="128"/>
      <c r="W153" s="128"/>
    </row>
    <row r="154" s="39" customFormat="1" ht="22" customHeight="1" spans="1:23">
      <c r="A154" s="142" t="s">
        <v>470</v>
      </c>
      <c r="B154" s="71" t="s">
        <v>30</v>
      </c>
      <c r="C154" s="72"/>
      <c r="D154" s="73" t="s">
        <v>31</v>
      </c>
      <c r="E154" s="73" t="s">
        <v>464</v>
      </c>
      <c r="F154" s="82">
        <f>IFERROR(VLOOKUP(E154,客户!B:C,2,FALSE),"/")</f>
        <v>0</v>
      </c>
      <c r="G154" s="73" t="s">
        <v>43</v>
      </c>
      <c r="H154" s="45" t="s">
        <v>123</v>
      </c>
      <c r="I154" s="45" t="s">
        <v>465</v>
      </c>
      <c r="J154" s="110">
        <v>43493</v>
      </c>
      <c r="K154" s="93">
        <v>43559</v>
      </c>
      <c r="L154" s="93">
        <v>43589</v>
      </c>
      <c r="M154" s="146" t="s">
        <v>466</v>
      </c>
      <c r="N154" s="110" t="s">
        <v>467</v>
      </c>
      <c r="O154" s="108"/>
      <c r="P154" s="107"/>
      <c r="Q154" s="107" t="s">
        <v>468</v>
      </c>
      <c r="R154" s="129"/>
      <c r="S154" s="130"/>
      <c r="T154" s="107" t="s">
        <v>471</v>
      </c>
      <c r="U154" s="93">
        <v>43580</v>
      </c>
      <c r="V154" s="128"/>
      <c r="W154" s="189">
        <f>SUBTOTAL(9,W144:W153)</f>
        <v>14009.41</v>
      </c>
    </row>
    <row r="155" s="39" customFormat="1" ht="22" customHeight="1" spans="1:23">
      <c r="A155" s="142" t="s">
        <v>472</v>
      </c>
      <c r="B155" s="71" t="s">
        <v>30</v>
      </c>
      <c r="C155" s="72"/>
      <c r="D155" s="73" t="s">
        <v>31</v>
      </c>
      <c r="E155" s="73" t="s">
        <v>473</v>
      </c>
      <c r="F155" s="82">
        <f>IFERROR(VLOOKUP(E155,客户!B:C,2,FALSE),"/")</f>
        <v>0</v>
      </c>
      <c r="G155" s="73" t="s">
        <v>474</v>
      </c>
      <c r="H155" s="142" t="s">
        <v>127</v>
      </c>
      <c r="I155" s="45" t="s">
        <v>475</v>
      </c>
      <c r="J155" s="110">
        <v>43509</v>
      </c>
      <c r="K155" s="93">
        <v>43554</v>
      </c>
      <c r="L155" s="94">
        <v>43567</v>
      </c>
      <c r="M155" s="181" t="s">
        <v>476</v>
      </c>
      <c r="N155" s="110" t="s">
        <v>477</v>
      </c>
      <c r="O155" s="108"/>
      <c r="P155" s="107">
        <v>115563.28</v>
      </c>
      <c r="Q155" s="107" t="s">
        <v>478</v>
      </c>
      <c r="R155" s="129">
        <v>0</v>
      </c>
      <c r="S155" s="130"/>
      <c r="T155" s="107" t="s">
        <v>479</v>
      </c>
      <c r="U155" s="93">
        <v>43563</v>
      </c>
      <c r="V155" s="128"/>
      <c r="W155" s="172"/>
    </row>
    <row r="156" s="39" customFormat="1" ht="22" customHeight="1" spans="1:23">
      <c r="A156" s="142" t="s">
        <v>480</v>
      </c>
      <c r="B156" s="71" t="s">
        <v>30</v>
      </c>
      <c r="C156" s="72"/>
      <c r="D156" s="73" t="s">
        <v>31</v>
      </c>
      <c r="E156" s="73" t="s">
        <v>481</v>
      </c>
      <c r="F156" s="82" t="str">
        <f>IFERROR(VLOOKUP(E156,客户!B:C,2,FALSE),"/")</f>
        <v>$53.50 TUV Austria administration cost 革力减掉150代理费</v>
      </c>
      <c r="G156" s="73" t="s">
        <v>91</v>
      </c>
      <c r="H156" s="45" t="s">
        <v>123</v>
      </c>
      <c r="I156" s="45" t="s">
        <v>226</v>
      </c>
      <c r="J156" s="110">
        <v>43510</v>
      </c>
      <c r="K156" s="93">
        <v>43578</v>
      </c>
      <c r="L156" s="93">
        <v>43622</v>
      </c>
      <c r="M156" s="181" t="s">
        <v>482</v>
      </c>
      <c r="N156" s="146" t="s">
        <v>483</v>
      </c>
      <c r="O156" s="108"/>
      <c r="P156" s="107">
        <v>18776</v>
      </c>
      <c r="Q156" s="107">
        <v>5786.7</v>
      </c>
      <c r="R156" s="129">
        <v>0</v>
      </c>
      <c r="S156" s="130"/>
      <c r="T156" s="107">
        <v>12938</v>
      </c>
      <c r="U156" s="93">
        <v>43588</v>
      </c>
      <c r="V156" s="128"/>
      <c r="W156" s="172"/>
    </row>
    <row r="157" s="39" customFormat="1" ht="22" customHeight="1" spans="1:23">
      <c r="A157" s="142" t="s">
        <v>484</v>
      </c>
      <c r="B157" s="71" t="s">
        <v>30</v>
      </c>
      <c r="C157" s="72"/>
      <c r="D157" s="73" t="s">
        <v>31</v>
      </c>
      <c r="E157" s="73" t="s">
        <v>446</v>
      </c>
      <c r="F157" s="82">
        <f>IFERROR(VLOOKUP(E157,客户!B:C,2,FALSE),"/")</f>
        <v>0</v>
      </c>
      <c r="G157" s="73" t="s">
        <v>485</v>
      </c>
      <c r="H157" s="45" t="s">
        <v>123</v>
      </c>
      <c r="I157" s="45" t="s">
        <v>238</v>
      </c>
      <c r="J157" s="110">
        <v>43514</v>
      </c>
      <c r="K157" s="93">
        <v>43556</v>
      </c>
      <c r="L157" s="93">
        <v>43584</v>
      </c>
      <c r="M157" s="146" t="s">
        <v>486</v>
      </c>
      <c r="N157" s="110" t="s">
        <v>487</v>
      </c>
      <c r="O157" s="108"/>
      <c r="P157" s="107">
        <v>24292.88</v>
      </c>
      <c r="Q157" s="107">
        <v>4858.5</v>
      </c>
      <c r="R157" s="129">
        <v>0</v>
      </c>
      <c r="S157" s="130"/>
      <c r="T157" s="107">
        <v>14385</v>
      </c>
      <c r="U157" s="93">
        <v>43580</v>
      </c>
      <c r="V157" s="128"/>
      <c r="W157" s="172"/>
    </row>
    <row r="158" s="39" customFormat="1" ht="22" customHeight="1" spans="1:23">
      <c r="A158" s="142" t="s">
        <v>488</v>
      </c>
      <c r="B158" s="71" t="s">
        <v>30</v>
      </c>
      <c r="C158" s="72"/>
      <c r="D158" s="73" t="s">
        <v>31</v>
      </c>
      <c r="E158" s="73" t="s">
        <v>450</v>
      </c>
      <c r="F158" s="82">
        <f>IFERROR(VLOOKUP(E158,客户!B:C,2,FALSE),"/")</f>
        <v>0</v>
      </c>
      <c r="G158" s="73" t="s">
        <v>485</v>
      </c>
      <c r="H158" s="45" t="s">
        <v>123</v>
      </c>
      <c r="I158" s="45" t="s">
        <v>223</v>
      </c>
      <c r="J158" s="110">
        <v>43516</v>
      </c>
      <c r="K158" s="93">
        <v>43556</v>
      </c>
      <c r="L158" s="93">
        <v>43595</v>
      </c>
      <c r="M158" s="146" t="s">
        <v>489</v>
      </c>
      <c r="N158" s="110" t="s">
        <v>490</v>
      </c>
      <c r="O158" s="108"/>
      <c r="P158" s="107">
        <v>22555.63</v>
      </c>
      <c r="Q158" s="107"/>
      <c r="R158" s="129"/>
      <c r="S158" s="130"/>
      <c r="T158" s="107">
        <f>6858+15190</f>
        <v>22048</v>
      </c>
      <c r="U158" s="93">
        <v>43590</v>
      </c>
      <c r="V158" s="128" t="s">
        <v>491</v>
      </c>
      <c r="W158" s="172"/>
    </row>
    <row r="159" s="39" customFormat="1" ht="22" customHeight="1" spans="1:23">
      <c r="A159" s="142" t="s">
        <v>492</v>
      </c>
      <c r="B159" s="71" t="s">
        <v>30</v>
      </c>
      <c r="C159" s="72"/>
      <c r="D159" s="73" t="s">
        <v>31</v>
      </c>
      <c r="E159" s="73" t="s">
        <v>473</v>
      </c>
      <c r="F159" s="82">
        <f>IFERROR(VLOOKUP(E159,客户!B:C,2,FALSE),"/")</f>
        <v>0</v>
      </c>
      <c r="G159" s="73" t="s">
        <v>493</v>
      </c>
      <c r="H159" s="142" t="s">
        <v>127</v>
      </c>
      <c r="I159" s="45" t="s">
        <v>475</v>
      </c>
      <c r="J159" s="110">
        <v>43518</v>
      </c>
      <c r="K159" s="93">
        <v>43609</v>
      </c>
      <c r="L159" s="93">
        <v>43623</v>
      </c>
      <c r="M159" s="146" t="s">
        <v>494</v>
      </c>
      <c r="N159" s="110" t="s">
        <v>495</v>
      </c>
      <c r="O159" s="108"/>
      <c r="P159" s="107">
        <v>17795.22</v>
      </c>
      <c r="Q159" s="107">
        <v>6926</v>
      </c>
      <c r="R159" s="129"/>
      <c r="S159" s="130"/>
      <c r="T159" s="107">
        <v>9960</v>
      </c>
      <c r="U159" s="93">
        <v>43612</v>
      </c>
      <c r="V159" s="128" t="s">
        <v>496</v>
      </c>
      <c r="W159" s="172"/>
    </row>
    <row r="160" s="39" customFormat="1" ht="22" customHeight="1" spans="1:23">
      <c r="A160" s="142" t="s">
        <v>497</v>
      </c>
      <c r="B160" s="71" t="s">
        <v>30</v>
      </c>
      <c r="C160" s="72"/>
      <c r="D160" s="73" t="s">
        <v>31</v>
      </c>
      <c r="E160" s="73" t="s">
        <v>473</v>
      </c>
      <c r="F160" s="82">
        <f>IFERROR(VLOOKUP(E160,客户!B:C,2,FALSE),"/")</f>
        <v>0</v>
      </c>
      <c r="G160" s="73" t="s">
        <v>498</v>
      </c>
      <c r="H160" s="142" t="s">
        <v>127</v>
      </c>
      <c r="I160" s="45" t="s">
        <v>475</v>
      </c>
      <c r="J160" s="110">
        <v>43518</v>
      </c>
      <c r="K160" s="93">
        <v>43619</v>
      </c>
      <c r="L160" s="93">
        <v>43630</v>
      </c>
      <c r="M160" s="146" t="s">
        <v>499</v>
      </c>
      <c r="N160" s="110" t="s">
        <v>500</v>
      </c>
      <c r="O160" s="108"/>
      <c r="P160" s="107">
        <v>11823.83</v>
      </c>
      <c r="Q160" s="107"/>
      <c r="R160" s="129">
        <v>0</v>
      </c>
      <c r="S160" s="130"/>
      <c r="T160" s="107" t="s">
        <v>501</v>
      </c>
      <c r="U160" s="93" t="s">
        <v>502</v>
      </c>
      <c r="V160" s="128"/>
      <c r="W160" s="172"/>
    </row>
    <row r="161" s="39" customFormat="1" ht="22" customHeight="1" spans="1:23">
      <c r="A161" s="142" t="s">
        <v>503</v>
      </c>
      <c r="B161" s="71" t="s">
        <v>30</v>
      </c>
      <c r="C161" s="72"/>
      <c r="D161" s="73" t="s">
        <v>31</v>
      </c>
      <c r="E161" s="73" t="s">
        <v>504</v>
      </c>
      <c r="F161" s="82" t="str">
        <f>IFERROR(VLOOKUP(E161,客户!B:C,2,FALSE),"/")</f>
        <v>收货人可能变 每次和客户确认下收货人 必须受到客户明确回复</v>
      </c>
      <c r="G161" s="73" t="s">
        <v>505</v>
      </c>
      <c r="H161" s="45" t="s">
        <v>123</v>
      </c>
      <c r="I161" s="45" t="s">
        <v>465</v>
      </c>
      <c r="J161" s="110">
        <v>43524</v>
      </c>
      <c r="K161" s="93">
        <v>43578</v>
      </c>
      <c r="L161" s="93">
        <v>43605</v>
      </c>
      <c r="M161" s="146" t="s">
        <v>506</v>
      </c>
      <c r="N161" s="110" t="s">
        <v>507</v>
      </c>
      <c r="O161" s="108"/>
      <c r="P161" s="107">
        <v>47359.3</v>
      </c>
      <c r="Q161" s="107">
        <v>8000</v>
      </c>
      <c r="R161" s="129">
        <v>0</v>
      </c>
      <c r="S161" s="130"/>
      <c r="T161" s="107">
        <v>39359</v>
      </c>
      <c r="U161" s="93">
        <v>43639</v>
      </c>
      <c r="V161" s="128"/>
      <c r="W161" s="172"/>
    </row>
    <row r="162" s="39" customFormat="1" ht="22" customHeight="1" spans="1:23">
      <c r="A162" s="142" t="s">
        <v>508</v>
      </c>
      <c r="B162" s="71" t="s">
        <v>30</v>
      </c>
      <c r="C162" s="72"/>
      <c r="D162" s="73" t="s">
        <v>31</v>
      </c>
      <c r="E162" s="73" t="s">
        <v>60</v>
      </c>
      <c r="F162" s="82" t="str">
        <f>IFERROR(VLOOKUP(E162,客户!B:C,2,FALSE),"/")</f>
        <v>外送费用945人民币+装箱费用 加在发票里</v>
      </c>
      <c r="G162" s="73" t="s">
        <v>509</v>
      </c>
      <c r="H162" s="142" t="s">
        <v>147</v>
      </c>
      <c r="I162" s="45" t="s">
        <v>205</v>
      </c>
      <c r="J162" s="110">
        <v>43528</v>
      </c>
      <c r="K162" s="93">
        <v>43557</v>
      </c>
      <c r="L162" s="93">
        <v>43589</v>
      </c>
      <c r="M162" s="181" t="s">
        <v>510</v>
      </c>
      <c r="N162" s="110" t="s">
        <v>511</v>
      </c>
      <c r="O162" s="108"/>
      <c r="P162" s="107">
        <v>59831.25</v>
      </c>
      <c r="Q162" s="107">
        <v>0</v>
      </c>
      <c r="R162" s="129">
        <v>0</v>
      </c>
      <c r="S162" s="130"/>
      <c r="T162" s="107">
        <v>59831</v>
      </c>
      <c r="U162" s="93"/>
      <c r="V162" s="128"/>
      <c r="W162" s="128">
        <f>W152-61</f>
        <v>-61</v>
      </c>
    </row>
    <row r="163" s="39" customFormat="1" ht="22" customHeight="1" spans="1:23">
      <c r="A163" s="142" t="s">
        <v>512</v>
      </c>
      <c r="B163" s="71" t="s">
        <v>30</v>
      </c>
      <c r="C163" s="72"/>
      <c r="D163" s="73" t="s">
        <v>31</v>
      </c>
      <c r="E163" s="73" t="s">
        <v>60</v>
      </c>
      <c r="F163" s="82" t="str">
        <f>IFERROR(VLOOKUP(E163,客户!B:C,2,FALSE),"/")</f>
        <v>外送费用945人民币+装箱费用 加在发票里</v>
      </c>
      <c r="G163" s="73" t="s">
        <v>513</v>
      </c>
      <c r="H163" s="142" t="s">
        <v>147</v>
      </c>
      <c r="I163" s="45" t="s">
        <v>205</v>
      </c>
      <c r="J163" s="110">
        <v>43528</v>
      </c>
      <c r="K163" s="93">
        <v>43592</v>
      </c>
      <c r="L163" s="93">
        <v>43630</v>
      </c>
      <c r="M163" s="181" t="s">
        <v>514</v>
      </c>
      <c r="N163" s="110" t="s">
        <v>515</v>
      </c>
      <c r="O163" s="108"/>
      <c r="P163" s="107">
        <v>81309.76</v>
      </c>
      <c r="Q163" s="107">
        <v>0</v>
      </c>
      <c r="R163" s="129">
        <v>0</v>
      </c>
      <c r="S163" s="130"/>
      <c r="T163" s="107">
        <v>81224</v>
      </c>
      <c r="U163" s="93">
        <v>43630</v>
      </c>
      <c r="V163" s="128"/>
      <c r="W163" s="172"/>
    </row>
    <row r="164" s="39" customFormat="1" ht="22" customHeight="1" spans="1:23">
      <c r="A164" s="142" t="s">
        <v>516</v>
      </c>
      <c r="B164" s="174" t="s">
        <v>30</v>
      </c>
      <c r="C164" s="175"/>
      <c r="D164" s="73" t="s">
        <v>31</v>
      </c>
      <c r="E164" s="73" t="s">
        <v>60</v>
      </c>
      <c r="F164" s="82" t="str">
        <f>IFERROR(VLOOKUP(E164,客户!B:C,2,FALSE),"/")</f>
        <v>外送费用945人民币+装箱费用 加在发票里</v>
      </c>
      <c r="G164" s="73" t="s">
        <v>513</v>
      </c>
      <c r="H164" s="142" t="s">
        <v>147</v>
      </c>
      <c r="I164" s="45" t="s">
        <v>205</v>
      </c>
      <c r="J164" s="110">
        <v>43528</v>
      </c>
      <c r="K164" s="93">
        <v>43625</v>
      </c>
      <c r="L164" s="93">
        <v>43679</v>
      </c>
      <c r="M164" s="146" t="s">
        <v>517</v>
      </c>
      <c r="N164" s="110" t="s">
        <v>518</v>
      </c>
      <c r="O164" s="108"/>
      <c r="P164" s="107">
        <v>77607.4</v>
      </c>
      <c r="Q164" s="107">
        <v>0</v>
      </c>
      <c r="R164" s="129">
        <v>0</v>
      </c>
      <c r="S164" s="130"/>
      <c r="T164" s="107">
        <v>77108</v>
      </c>
      <c r="U164" s="93">
        <v>43696</v>
      </c>
      <c r="V164" s="128"/>
      <c r="W164" s="172"/>
    </row>
    <row r="165" s="39" customFormat="1" ht="22" customHeight="1" spans="1:23">
      <c r="A165" s="142" t="s">
        <v>519</v>
      </c>
      <c r="B165" s="174" t="s">
        <v>30</v>
      </c>
      <c r="C165" s="175"/>
      <c r="D165" s="73" t="s">
        <v>31</v>
      </c>
      <c r="E165" s="84" t="s">
        <v>520</v>
      </c>
      <c r="F165" s="82">
        <f>IFERROR(VLOOKUP(E165,客户!B:C,2,FALSE),"/")</f>
        <v>0</v>
      </c>
      <c r="G165" s="73" t="s">
        <v>43</v>
      </c>
      <c r="H165" s="45" t="s">
        <v>123</v>
      </c>
      <c r="I165" s="45" t="s">
        <v>465</v>
      </c>
      <c r="J165" s="110">
        <v>43530</v>
      </c>
      <c r="K165" s="93">
        <v>43585</v>
      </c>
      <c r="L165" s="93">
        <v>43616</v>
      </c>
      <c r="M165" s="146" t="s">
        <v>521</v>
      </c>
      <c r="N165" s="110" t="s">
        <v>522</v>
      </c>
      <c r="O165" s="108" t="s">
        <v>523</v>
      </c>
      <c r="P165" s="107">
        <v>45183</v>
      </c>
      <c r="Q165" s="107">
        <v>2200</v>
      </c>
      <c r="R165" s="129">
        <v>0</v>
      </c>
      <c r="S165" s="130"/>
      <c r="T165" s="107" t="s">
        <v>524</v>
      </c>
      <c r="U165" s="93">
        <v>43782</v>
      </c>
      <c r="V165" s="128"/>
      <c r="W165" s="172"/>
    </row>
    <row r="166" s="39" customFormat="1" ht="22" customHeight="1" spans="1:23">
      <c r="A166" s="142" t="s">
        <v>525</v>
      </c>
      <c r="B166" s="174" t="s">
        <v>30</v>
      </c>
      <c r="C166" s="175"/>
      <c r="D166" s="73" t="s">
        <v>31</v>
      </c>
      <c r="E166" s="73" t="s">
        <v>464</v>
      </c>
      <c r="F166" s="82">
        <f>IFERROR(VLOOKUP(E166,客户!B:C,2,FALSE),"/")</f>
        <v>0</v>
      </c>
      <c r="G166" s="73" t="s">
        <v>43</v>
      </c>
      <c r="H166" s="45" t="s">
        <v>123</v>
      </c>
      <c r="I166" s="45" t="s">
        <v>465</v>
      </c>
      <c r="J166" s="110">
        <v>43538</v>
      </c>
      <c r="K166" s="93">
        <v>43585</v>
      </c>
      <c r="L166" s="93">
        <v>43616</v>
      </c>
      <c r="M166" s="146" t="s">
        <v>521</v>
      </c>
      <c r="N166" s="110" t="s">
        <v>522</v>
      </c>
      <c r="O166" s="108" t="s">
        <v>523</v>
      </c>
      <c r="P166" s="107"/>
      <c r="Q166" s="107" t="s">
        <v>526</v>
      </c>
      <c r="R166" s="129"/>
      <c r="S166" s="130"/>
      <c r="T166" s="107">
        <v>3000</v>
      </c>
      <c r="U166" s="93"/>
      <c r="V166" s="128"/>
      <c r="W166" s="172"/>
    </row>
    <row r="167" s="39" customFormat="1" ht="22" customHeight="1" spans="1:23">
      <c r="A167" s="142" t="s">
        <v>527</v>
      </c>
      <c r="B167" s="71" t="s">
        <v>30</v>
      </c>
      <c r="C167" s="72"/>
      <c r="D167" s="73" t="s">
        <v>31</v>
      </c>
      <c r="E167" s="73" t="s">
        <v>528</v>
      </c>
      <c r="F167" s="82" t="str">
        <f>IFERROR(VLOOKUP(E167,客户!B:C,2,FALSE),"/")</f>
        <v>/</v>
      </c>
      <c r="G167" s="73" t="s">
        <v>529</v>
      </c>
      <c r="H167" s="45" t="s">
        <v>123</v>
      </c>
      <c r="I167" s="45" t="s">
        <v>530</v>
      </c>
      <c r="J167" s="110">
        <v>43536</v>
      </c>
      <c r="K167" s="93">
        <v>43581</v>
      </c>
      <c r="L167" s="93">
        <v>43630</v>
      </c>
      <c r="M167" s="181" t="s">
        <v>531</v>
      </c>
      <c r="N167" s="110" t="s">
        <v>532</v>
      </c>
      <c r="O167" s="108"/>
      <c r="P167" s="107">
        <v>26968.88</v>
      </c>
      <c r="Q167" s="107">
        <v>5221.44</v>
      </c>
      <c r="R167" s="129">
        <v>0</v>
      </c>
      <c r="S167" s="130"/>
      <c r="T167" s="107">
        <v>20695</v>
      </c>
      <c r="U167" s="93">
        <v>43635</v>
      </c>
      <c r="V167" s="128"/>
      <c r="W167" s="172"/>
    </row>
    <row r="168" s="39" customFormat="1" ht="22" customHeight="1" spans="1:23">
      <c r="A168" s="142" t="s">
        <v>533</v>
      </c>
      <c r="B168" s="71" t="s">
        <v>30</v>
      </c>
      <c r="C168" s="72"/>
      <c r="D168" s="73" t="s">
        <v>31</v>
      </c>
      <c r="E168" s="73" t="s">
        <v>528</v>
      </c>
      <c r="F168" s="82" t="str">
        <f>IFERROR(VLOOKUP(E168,客户!B:C,2,FALSE),"/")</f>
        <v>/</v>
      </c>
      <c r="G168" s="73" t="s">
        <v>534</v>
      </c>
      <c r="H168" s="45" t="s">
        <v>123</v>
      </c>
      <c r="I168" s="45" t="s">
        <v>530</v>
      </c>
      <c r="J168" s="110">
        <v>43536</v>
      </c>
      <c r="K168" s="93">
        <v>43575</v>
      </c>
      <c r="L168" s="93">
        <v>43623</v>
      </c>
      <c r="M168" s="181" t="s">
        <v>535</v>
      </c>
      <c r="N168" s="110" t="s">
        <v>536</v>
      </c>
      <c r="O168" s="108"/>
      <c r="P168" s="107">
        <v>21553.52</v>
      </c>
      <c r="Q168" s="107">
        <v>4037.82</v>
      </c>
      <c r="R168" s="129">
        <v>0</v>
      </c>
      <c r="S168" s="130"/>
      <c r="T168" s="107">
        <v>17463</v>
      </c>
      <c r="U168" s="93">
        <v>43627</v>
      </c>
      <c r="V168" s="128"/>
      <c r="W168" s="172"/>
    </row>
    <row r="169" s="39" customFormat="1" ht="22" customHeight="1" spans="1:23">
      <c r="A169" s="142" t="s">
        <v>537</v>
      </c>
      <c r="B169" s="71" t="s">
        <v>30</v>
      </c>
      <c r="C169" s="72"/>
      <c r="D169" s="73" t="s">
        <v>31</v>
      </c>
      <c r="E169" s="73" t="s">
        <v>450</v>
      </c>
      <c r="F169" s="82">
        <f>IFERROR(VLOOKUP(E169,客户!B:C,2,FALSE),"/")</f>
        <v>0</v>
      </c>
      <c r="G169" s="73" t="s">
        <v>485</v>
      </c>
      <c r="H169" s="45" t="s">
        <v>123</v>
      </c>
      <c r="I169" s="45" t="s">
        <v>223</v>
      </c>
      <c r="J169" s="110">
        <v>43538</v>
      </c>
      <c r="K169" s="93">
        <v>43569</v>
      </c>
      <c r="L169" s="93">
        <v>43598</v>
      </c>
      <c r="M169" s="146" t="s">
        <v>538</v>
      </c>
      <c r="N169" s="110" t="s">
        <v>539</v>
      </c>
      <c r="O169" s="108"/>
      <c r="P169" s="107">
        <v>21400.25</v>
      </c>
      <c r="Q169" s="135"/>
      <c r="R169" s="129">
        <v>0</v>
      </c>
      <c r="S169" s="130"/>
      <c r="T169" s="107">
        <f>14237+9938</f>
        <v>24175</v>
      </c>
      <c r="U169" s="93">
        <v>43598</v>
      </c>
      <c r="V169" s="128" t="s">
        <v>540</v>
      </c>
      <c r="W169" s="172"/>
    </row>
    <row r="170" s="39" customFormat="1" ht="22" customHeight="1" spans="1:23">
      <c r="A170" s="142" t="s">
        <v>541</v>
      </c>
      <c r="B170" s="71" t="s">
        <v>30</v>
      </c>
      <c r="C170" s="72"/>
      <c r="D170" s="73" t="s">
        <v>31</v>
      </c>
      <c r="E170" s="73" t="s">
        <v>60</v>
      </c>
      <c r="F170" s="82" t="str">
        <f>IFERROR(VLOOKUP(E170,客户!B:C,2,FALSE),"/")</f>
        <v>外送费用945人民币+装箱费用 加在发票里</v>
      </c>
      <c r="G170" s="73" t="s">
        <v>509</v>
      </c>
      <c r="H170" s="142" t="s">
        <v>147</v>
      </c>
      <c r="I170" s="45" t="s">
        <v>542</v>
      </c>
      <c r="J170" s="110">
        <v>43540</v>
      </c>
      <c r="K170" s="93">
        <v>43591</v>
      </c>
      <c r="L170" s="93">
        <v>43618</v>
      </c>
      <c r="M170" s="181" t="s">
        <v>543</v>
      </c>
      <c r="N170" s="110" t="s">
        <v>544</v>
      </c>
      <c r="O170" s="108"/>
      <c r="P170" s="107">
        <v>61867.6</v>
      </c>
      <c r="Q170" s="107"/>
      <c r="R170" s="129">
        <v>0</v>
      </c>
      <c r="S170" s="130"/>
      <c r="T170" s="107">
        <v>61852</v>
      </c>
      <c r="U170" s="93">
        <v>43616</v>
      </c>
      <c r="V170" s="128"/>
      <c r="W170" s="172"/>
    </row>
    <row r="171" s="39" customFormat="1" ht="22" customHeight="1" spans="1:23">
      <c r="A171" s="142" t="s">
        <v>545</v>
      </c>
      <c r="B171" s="71" t="s">
        <v>30</v>
      </c>
      <c r="C171" s="72"/>
      <c r="D171" s="73" t="s">
        <v>31</v>
      </c>
      <c r="E171" s="73" t="s">
        <v>60</v>
      </c>
      <c r="F171" s="82" t="str">
        <f>IFERROR(VLOOKUP(E171,客户!B:C,2,FALSE),"/")</f>
        <v>外送费用945人民币+装箱费用 加在发票里</v>
      </c>
      <c r="G171" s="73" t="s">
        <v>509</v>
      </c>
      <c r="H171" s="142" t="s">
        <v>147</v>
      </c>
      <c r="I171" s="45" t="s">
        <v>542</v>
      </c>
      <c r="J171" s="110">
        <v>43542</v>
      </c>
      <c r="K171" s="93">
        <v>43599</v>
      </c>
      <c r="L171" s="93">
        <v>43641</v>
      </c>
      <c r="M171" s="146" t="s">
        <v>546</v>
      </c>
      <c r="N171" s="110" t="s">
        <v>515</v>
      </c>
      <c r="O171" s="108"/>
      <c r="P171" s="107">
        <v>61269</v>
      </c>
      <c r="Q171" s="107"/>
      <c r="R171" s="129">
        <v>0</v>
      </c>
      <c r="S171" s="130"/>
      <c r="T171" s="107">
        <v>61244</v>
      </c>
      <c r="U171" s="93">
        <v>43648</v>
      </c>
      <c r="V171" s="128"/>
      <c r="W171" s="172"/>
    </row>
    <row r="172" s="39" customFormat="1" ht="22" customHeight="1" spans="1:23">
      <c r="A172" s="142" t="s">
        <v>547</v>
      </c>
      <c r="B172" s="71" t="s">
        <v>30</v>
      </c>
      <c r="C172" s="72"/>
      <c r="D172" s="73" t="s">
        <v>31</v>
      </c>
      <c r="E172" s="83" t="s">
        <v>548</v>
      </c>
      <c r="F172" s="82">
        <f>IFERROR(VLOOKUP(E172,客户!B:C,2,FALSE),"/")</f>
        <v>0</v>
      </c>
      <c r="G172" s="73" t="s">
        <v>549</v>
      </c>
      <c r="H172" s="45" t="s">
        <v>123</v>
      </c>
      <c r="I172" s="45" t="s">
        <v>550</v>
      </c>
      <c r="J172" s="110">
        <v>43552</v>
      </c>
      <c r="K172" s="93">
        <v>43588</v>
      </c>
      <c r="L172" s="93"/>
      <c r="M172" s="179" t="s">
        <v>551</v>
      </c>
      <c r="N172" s="110" t="s">
        <v>552</v>
      </c>
      <c r="O172" s="108"/>
      <c r="P172" s="107">
        <v>28404.7</v>
      </c>
      <c r="Q172" s="107">
        <v>28404</v>
      </c>
      <c r="R172" s="129">
        <v>0</v>
      </c>
      <c r="S172" s="130"/>
      <c r="T172" s="107"/>
      <c r="U172" s="93"/>
      <c r="V172" s="128"/>
      <c r="W172" s="172"/>
    </row>
    <row r="173" s="39" customFormat="1" ht="22" customHeight="1" spans="1:23">
      <c r="A173" s="142" t="s">
        <v>553</v>
      </c>
      <c r="B173" s="71" t="s">
        <v>30</v>
      </c>
      <c r="C173" s="72"/>
      <c r="D173" s="73" t="s">
        <v>31</v>
      </c>
      <c r="E173" s="73" t="s">
        <v>554</v>
      </c>
      <c r="F173" s="82">
        <f>IFERROR(VLOOKUP(E173,客户!B:C,2,FALSE),"/")</f>
        <v>0</v>
      </c>
      <c r="G173" s="73" t="s">
        <v>43</v>
      </c>
      <c r="H173" s="142" t="s">
        <v>396</v>
      </c>
      <c r="I173" s="45" t="s">
        <v>555</v>
      </c>
      <c r="J173" s="110">
        <v>43552</v>
      </c>
      <c r="K173" s="93">
        <v>43594</v>
      </c>
      <c r="L173" s="93"/>
      <c r="M173" s="146" t="s">
        <v>556</v>
      </c>
      <c r="N173" s="110" t="s">
        <v>557</v>
      </c>
      <c r="O173" s="108"/>
      <c r="P173" s="107">
        <v>24751.75</v>
      </c>
      <c r="Q173" s="107">
        <v>7387</v>
      </c>
      <c r="R173" s="129">
        <v>0</v>
      </c>
      <c r="S173" s="130"/>
      <c r="T173" s="107">
        <v>17281</v>
      </c>
      <c r="U173" s="93">
        <v>43600</v>
      </c>
      <c r="V173" s="128"/>
      <c r="W173" s="172"/>
    </row>
    <row r="174" s="39" customFormat="1" ht="22" customHeight="1" spans="1:23">
      <c r="A174" s="142" t="s">
        <v>558</v>
      </c>
      <c r="B174" s="71" t="s">
        <v>30</v>
      </c>
      <c r="C174" s="72"/>
      <c r="D174" s="73" t="s">
        <v>31</v>
      </c>
      <c r="E174" s="73" t="s">
        <v>559</v>
      </c>
      <c r="F174" s="82">
        <f>IFERROR(VLOOKUP(E174,客户!B:C,2,FALSE),"/")</f>
        <v>0</v>
      </c>
      <c r="G174" s="73" t="s">
        <v>86</v>
      </c>
      <c r="H174" s="45" t="s">
        <v>123</v>
      </c>
      <c r="I174" s="45" t="s">
        <v>560</v>
      </c>
      <c r="J174" s="110">
        <v>43553</v>
      </c>
      <c r="K174" s="93">
        <v>43588</v>
      </c>
      <c r="L174" s="93">
        <v>43631</v>
      </c>
      <c r="M174" s="146" t="s">
        <v>561</v>
      </c>
      <c r="N174" s="110" t="s">
        <v>562</v>
      </c>
      <c r="O174" s="108"/>
      <c r="P174" s="107">
        <v>51045.72</v>
      </c>
      <c r="Q174" s="107">
        <v>0</v>
      </c>
      <c r="R174" s="129">
        <v>0</v>
      </c>
      <c r="S174" s="130"/>
      <c r="T174" s="107" t="s">
        <v>563</v>
      </c>
      <c r="U174" s="93">
        <v>43689</v>
      </c>
      <c r="V174" s="128"/>
      <c r="W174" s="172"/>
    </row>
    <row r="175" s="39" customFormat="1" ht="22" customHeight="1" spans="1:23">
      <c r="A175" s="142" t="s">
        <v>564</v>
      </c>
      <c r="B175" s="71" t="s">
        <v>30</v>
      </c>
      <c r="C175" s="72"/>
      <c r="D175" s="73" t="s">
        <v>31</v>
      </c>
      <c r="E175" s="73" t="s">
        <v>559</v>
      </c>
      <c r="F175" s="82">
        <f>IFERROR(VLOOKUP(E175,客户!B:C,2,FALSE),"/")</f>
        <v>0</v>
      </c>
      <c r="G175" s="73" t="s">
        <v>86</v>
      </c>
      <c r="H175" s="45" t="s">
        <v>123</v>
      </c>
      <c r="I175" s="45" t="s">
        <v>560</v>
      </c>
      <c r="J175" s="110">
        <v>43553</v>
      </c>
      <c r="K175" s="93">
        <v>43595</v>
      </c>
      <c r="L175" s="93">
        <v>43635</v>
      </c>
      <c r="M175" s="181" t="s">
        <v>561</v>
      </c>
      <c r="N175" s="110" t="s">
        <v>562</v>
      </c>
      <c r="O175" s="108"/>
      <c r="P175" s="107">
        <v>51073.48</v>
      </c>
      <c r="Q175" s="107"/>
      <c r="R175" s="129">
        <v>0</v>
      </c>
      <c r="S175" s="130"/>
      <c r="T175" s="107">
        <v>50938</v>
      </c>
      <c r="U175" s="93">
        <v>43642</v>
      </c>
      <c r="V175" s="128"/>
      <c r="W175" s="172"/>
    </row>
    <row r="176" s="39" customFormat="1" ht="22" customHeight="1" spans="1:23">
      <c r="A176" s="142" t="s">
        <v>565</v>
      </c>
      <c r="B176" s="71" t="s">
        <v>30</v>
      </c>
      <c r="C176" s="72"/>
      <c r="D176" s="73" t="s">
        <v>31</v>
      </c>
      <c r="E176" s="73" t="s">
        <v>559</v>
      </c>
      <c r="F176" s="82">
        <f>IFERROR(VLOOKUP(E176,客户!B:C,2,FALSE),"/")</f>
        <v>0</v>
      </c>
      <c r="G176" s="73" t="s">
        <v>566</v>
      </c>
      <c r="H176" s="45" t="s">
        <v>123</v>
      </c>
      <c r="I176" s="45" t="s">
        <v>205</v>
      </c>
      <c r="J176" s="110">
        <v>43553</v>
      </c>
      <c r="K176" s="93">
        <v>43575</v>
      </c>
      <c r="L176" s="93">
        <v>43608</v>
      </c>
      <c r="M176" s="181" t="s">
        <v>567</v>
      </c>
      <c r="N176" s="110" t="s">
        <v>562</v>
      </c>
      <c r="O176" s="108"/>
      <c r="P176" s="107">
        <v>26980</v>
      </c>
      <c r="Q176" s="107"/>
      <c r="R176" s="129">
        <v>0</v>
      </c>
      <c r="S176" s="130"/>
      <c r="T176" s="107">
        <v>26835</v>
      </c>
      <c r="U176" s="93">
        <v>43610</v>
      </c>
      <c r="V176" s="128"/>
      <c r="W176" s="172"/>
    </row>
    <row r="177" s="39" customFormat="1" ht="22" customHeight="1" spans="1:23">
      <c r="A177" s="142" t="s">
        <v>568</v>
      </c>
      <c r="B177" s="71" t="s">
        <v>30</v>
      </c>
      <c r="C177" s="72"/>
      <c r="D177" s="73" t="s">
        <v>31</v>
      </c>
      <c r="E177" s="73" t="s">
        <v>450</v>
      </c>
      <c r="F177" s="82">
        <f>IFERROR(VLOOKUP(E177,客户!B:C,2,FALSE),"/")</f>
        <v>0</v>
      </c>
      <c r="G177" s="73" t="s">
        <v>485</v>
      </c>
      <c r="H177" s="45" t="s">
        <v>123</v>
      </c>
      <c r="I177" s="45" t="s">
        <v>223</v>
      </c>
      <c r="J177" s="110">
        <v>43566</v>
      </c>
      <c r="K177" s="110">
        <v>43590</v>
      </c>
      <c r="L177" s="93">
        <v>43618</v>
      </c>
      <c r="M177" s="181" t="s">
        <v>569</v>
      </c>
      <c r="N177" s="110" t="s">
        <v>500</v>
      </c>
      <c r="O177" s="108"/>
      <c r="P177" s="107">
        <v>22779.88</v>
      </c>
      <c r="Q177" s="107"/>
      <c r="R177" s="129"/>
      <c r="S177" s="130"/>
      <c r="T177" s="107">
        <v>15012</v>
      </c>
      <c r="U177" s="93">
        <v>43620</v>
      </c>
      <c r="V177" s="128" t="s">
        <v>570</v>
      </c>
      <c r="W177" s="172"/>
    </row>
    <row r="178" s="39" customFormat="1" ht="22" customHeight="1" spans="1:23">
      <c r="A178" s="142" t="s">
        <v>571</v>
      </c>
      <c r="B178" s="71" t="s">
        <v>30</v>
      </c>
      <c r="C178" s="72"/>
      <c r="D178" s="73" t="s">
        <v>31</v>
      </c>
      <c r="E178" s="73" t="s">
        <v>528</v>
      </c>
      <c r="F178" s="82" t="str">
        <f>IFERROR(VLOOKUP(E178,客户!B:C,2,FALSE),"/")</f>
        <v>/</v>
      </c>
      <c r="G178" s="73" t="s">
        <v>534</v>
      </c>
      <c r="H178" s="45" t="s">
        <v>123</v>
      </c>
      <c r="I178" s="45" t="s">
        <v>530</v>
      </c>
      <c r="J178" s="110">
        <v>43566</v>
      </c>
      <c r="K178" s="110">
        <v>43611</v>
      </c>
      <c r="L178" s="93">
        <v>43652</v>
      </c>
      <c r="M178" s="146" t="s">
        <v>572</v>
      </c>
      <c r="N178" s="110" t="s">
        <v>532</v>
      </c>
      <c r="O178" s="108"/>
      <c r="P178" s="107">
        <v>21282.8</v>
      </c>
      <c r="Q178" s="107">
        <v>4094.9</v>
      </c>
      <c r="R178" s="129">
        <v>0</v>
      </c>
      <c r="S178" s="130"/>
      <c r="T178" s="107">
        <v>17136</v>
      </c>
      <c r="U178" s="93">
        <v>43656</v>
      </c>
      <c r="V178" s="128"/>
      <c r="W178" s="172"/>
    </row>
    <row r="179" s="39" customFormat="1" ht="22" customHeight="1" spans="1:23">
      <c r="A179" s="142" t="s">
        <v>573</v>
      </c>
      <c r="B179" s="71" t="s">
        <v>30</v>
      </c>
      <c r="C179" s="72"/>
      <c r="D179" s="73" t="s">
        <v>31</v>
      </c>
      <c r="E179" s="73" t="s">
        <v>574</v>
      </c>
      <c r="F179" s="82" t="str">
        <f>IFERROR(VLOOKUP(E179,客户!B:C,2,FALSE),"/")</f>
        <v>/</v>
      </c>
      <c r="G179" s="73" t="s">
        <v>43</v>
      </c>
      <c r="H179" s="45" t="s">
        <v>123</v>
      </c>
      <c r="I179" s="45" t="s">
        <v>219</v>
      </c>
      <c r="J179" s="110">
        <v>43571</v>
      </c>
      <c r="K179" s="110">
        <v>43605</v>
      </c>
      <c r="L179" s="93">
        <v>43638</v>
      </c>
      <c r="M179" s="146" t="s">
        <v>575</v>
      </c>
      <c r="N179" s="110" t="s">
        <v>576</v>
      </c>
      <c r="O179" s="108"/>
      <c r="P179" s="107">
        <v>23321.95</v>
      </c>
      <c r="Q179" s="135"/>
      <c r="R179" s="129">
        <v>0</v>
      </c>
      <c r="S179" s="130"/>
      <c r="T179" s="107" t="s">
        <v>577</v>
      </c>
      <c r="U179" s="93">
        <v>43654</v>
      </c>
      <c r="V179" s="128"/>
      <c r="W179" s="172"/>
    </row>
    <row r="180" s="39" customFormat="1" ht="22" customHeight="1" spans="1:23">
      <c r="A180" s="142" t="s">
        <v>578</v>
      </c>
      <c r="B180" s="71" t="s">
        <v>30</v>
      </c>
      <c r="C180" s="72"/>
      <c r="D180" s="73" t="s">
        <v>31</v>
      </c>
      <c r="E180" s="73" t="s">
        <v>428</v>
      </c>
      <c r="F180" s="82">
        <f>IFERROR(VLOOKUP(E180,客户!B:C,2,FALSE),"/")</f>
        <v>0</v>
      </c>
      <c r="G180" s="73" t="s">
        <v>579</v>
      </c>
      <c r="H180" s="45" t="s">
        <v>127</v>
      </c>
      <c r="I180" s="45" t="s">
        <v>580</v>
      </c>
      <c r="J180" s="110">
        <v>43579</v>
      </c>
      <c r="K180" s="110">
        <v>43618</v>
      </c>
      <c r="L180" s="93">
        <v>43634</v>
      </c>
      <c r="M180" s="146" t="s">
        <v>581</v>
      </c>
      <c r="N180" s="110" t="s">
        <v>500</v>
      </c>
      <c r="O180" s="108"/>
      <c r="P180" s="107">
        <v>105227.3</v>
      </c>
      <c r="Q180" s="107" t="s">
        <v>582</v>
      </c>
      <c r="R180" s="129">
        <v>0</v>
      </c>
      <c r="S180" s="130"/>
      <c r="T180" s="107">
        <v>85187</v>
      </c>
      <c r="U180" s="93">
        <v>43628</v>
      </c>
      <c r="V180" s="128"/>
      <c r="W180" s="172"/>
    </row>
    <row r="181" s="39" customFormat="1" ht="22" customHeight="1" spans="1:23">
      <c r="A181" s="142" t="s">
        <v>583</v>
      </c>
      <c r="B181" s="71" t="s">
        <v>30</v>
      </c>
      <c r="C181" s="72"/>
      <c r="D181" s="73" t="s">
        <v>31</v>
      </c>
      <c r="E181" s="73" t="s">
        <v>559</v>
      </c>
      <c r="F181" s="82">
        <f>IFERROR(VLOOKUP(E181,客户!B:C,2,FALSE),"/")</f>
        <v>0</v>
      </c>
      <c r="G181" s="73" t="s">
        <v>86</v>
      </c>
      <c r="H181" s="45" t="s">
        <v>123</v>
      </c>
      <c r="I181" s="45" t="s">
        <v>205</v>
      </c>
      <c r="J181" s="110">
        <v>43579</v>
      </c>
      <c r="K181" s="110">
        <v>43613</v>
      </c>
      <c r="L181" s="93">
        <v>43645</v>
      </c>
      <c r="M181" s="146" t="s">
        <v>584</v>
      </c>
      <c r="N181" s="110" t="s">
        <v>585</v>
      </c>
      <c r="O181" s="108"/>
      <c r="P181" s="107">
        <v>60998.04</v>
      </c>
      <c r="Q181" s="135"/>
      <c r="R181" s="129">
        <v>0</v>
      </c>
      <c r="S181" s="130"/>
      <c r="T181" s="107">
        <v>60858</v>
      </c>
      <c r="U181" s="93">
        <v>43647</v>
      </c>
      <c r="V181" s="128"/>
      <c r="W181" s="172"/>
    </row>
    <row r="182" s="42" customFormat="1" ht="22" customHeight="1" spans="1:23">
      <c r="A182" s="142" t="s">
        <v>586</v>
      </c>
      <c r="B182" s="174" t="s">
        <v>30</v>
      </c>
      <c r="C182" s="175"/>
      <c r="D182" s="73" t="s">
        <v>31</v>
      </c>
      <c r="E182" s="73" t="s">
        <v>559</v>
      </c>
      <c r="F182" s="82">
        <f>IFERROR(VLOOKUP(E182,客户!B:C,2,FALSE),"/")</f>
        <v>0</v>
      </c>
      <c r="G182" s="73" t="s">
        <v>566</v>
      </c>
      <c r="H182" s="45" t="s">
        <v>123</v>
      </c>
      <c r="I182" s="45" t="s">
        <v>205</v>
      </c>
      <c r="J182" s="146">
        <v>43579</v>
      </c>
      <c r="K182" s="146">
        <v>43644</v>
      </c>
      <c r="L182" s="93">
        <v>43677</v>
      </c>
      <c r="M182" s="146" t="s">
        <v>587</v>
      </c>
      <c r="N182" s="146" t="s">
        <v>588</v>
      </c>
      <c r="O182" s="108"/>
      <c r="P182" s="107">
        <v>40665.36</v>
      </c>
      <c r="Q182" s="107">
        <v>0</v>
      </c>
      <c r="R182" s="129">
        <v>0</v>
      </c>
      <c r="S182" s="130"/>
      <c r="T182" s="107">
        <v>40222</v>
      </c>
      <c r="U182" s="93">
        <v>43676</v>
      </c>
      <c r="V182" s="126"/>
      <c r="W182" s="172"/>
    </row>
    <row r="183" s="39" customFormat="1" ht="22" customHeight="1" spans="1:23">
      <c r="A183" s="142" t="s">
        <v>589</v>
      </c>
      <c r="B183" s="71" t="s">
        <v>30</v>
      </c>
      <c r="C183" s="72"/>
      <c r="D183" s="73" t="s">
        <v>31</v>
      </c>
      <c r="E183" s="73" t="s">
        <v>559</v>
      </c>
      <c r="F183" s="82">
        <f>IFERROR(VLOOKUP(E183,客户!B:C,2,FALSE),"/")</f>
        <v>0</v>
      </c>
      <c r="G183" s="73" t="s">
        <v>566</v>
      </c>
      <c r="H183" s="45" t="s">
        <v>123</v>
      </c>
      <c r="I183" s="45" t="s">
        <v>542</v>
      </c>
      <c r="J183" s="110">
        <v>43579</v>
      </c>
      <c r="K183" s="110">
        <v>43623</v>
      </c>
      <c r="L183" s="93">
        <v>43661</v>
      </c>
      <c r="M183" s="146" t="s">
        <v>590</v>
      </c>
      <c r="N183" s="110" t="s">
        <v>591</v>
      </c>
      <c r="O183" s="108"/>
      <c r="P183" s="107">
        <v>40627.36</v>
      </c>
      <c r="Q183" s="135"/>
      <c r="R183" s="129">
        <v>0</v>
      </c>
      <c r="S183" s="130"/>
      <c r="T183" s="107">
        <v>40512</v>
      </c>
      <c r="U183" s="93">
        <v>43655</v>
      </c>
      <c r="V183" s="128"/>
      <c r="W183" s="172"/>
    </row>
    <row r="184" s="39" customFormat="1" ht="22" customHeight="1" spans="1:23">
      <c r="A184" s="142" t="s">
        <v>592</v>
      </c>
      <c r="B184" s="71" t="s">
        <v>30</v>
      </c>
      <c r="C184" s="72"/>
      <c r="D184" s="73" t="s">
        <v>31</v>
      </c>
      <c r="E184" s="73" t="s">
        <v>559</v>
      </c>
      <c r="F184" s="82">
        <f>IFERROR(VLOOKUP(E184,客户!B:C,2,FALSE),"/")</f>
        <v>0</v>
      </c>
      <c r="G184" s="73" t="s">
        <v>86</v>
      </c>
      <c r="H184" s="45" t="s">
        <v>123</v>
      </c>
      <c r="I184" s="45" t="s">
        <v>542</v>
      </c>
      <c r="J184" s="110">
        <v>43579</v>
      </c>
      <c r="K184" s="146">
        <v>43660</v>
      </c>
      <c r="L184" s="93">
        <v>43698</v>
      </c>
      <c r="M184" s="182"/>
      <c r="N184" s="110" t="s">
        <v>593</v>
      </c>
      <c r="O184" s="108"/>
      <c r="P184" s="107">
        <v>60941.04</v>
      </c>
      <c r="Q184" s="107">
        <v>0</v>
      </c>
      <c r="R184" s="129">
        <v>0</v>
      </c>
      <c r="S184" s="130"/>
      <c r="T184" s="107" t="s">
        <v>563</v>
      </c>
      <c r="U184" s="93">
        <v>43691</v>
      </c>
      <c r="V184" s="128"/>
      <c r="W184" s="172"/>
    </row>
    <row r="185" s="39" customFormat="1" ht="22" customHeight="1" spans="1:23">
      <c r="A185" s="142" t="s">
        <v>594</v>
      </c>
      <c r="B185" s="71" t="s">
        <v>30</v>
      </c>
      <c r="C185" s="72"/>
      <c r="D185" s="73" t="s">
        <v>31</v>
      </c>
      <c r="E185" s="73" t="s">
        <v>554</v>
      </c>
      <c r="F185" s="82">
        <f>IFERROR(VLOOKUP(E185,客户!B:C,2,FALSE),"/")</f>
        <v>0</v>
      </c>
      <c r="G185" s="73" t="s">
        <v>485</v>
      </c>
      <c r="H185" s="142" t="s">
        <v>396</v>
      </c>
      <c r="I185" s="45" t="s">
        <v>555</v>
      </c>
      <c r="J185" s="110">
        <v>43581</v>
      </c>
      <c r="K185" s="110">
        <v>43613</v>
      </c>
      <c r="L185" s="93">
        <v>43630</v>
      </c>
      <c r="M185" s="181" t="s">
        <v>595</v>
      </c>
      <c r="N185" s="110" t="s">
        <v>557</v>
      </c>
      <c r="O185" s="108"/>
      <c r="P185" s="107">
        <v>22692.8</v>
      </c>
      <c r="Q185" s="107">
        <v>6807</v>
      </c>
      <c r="R185" s="129">
        <v>0</v>
      </c>
      <c r="S185" s="130"/>
      <c r="T185" s="107">
        <v>15838</v>
      </c>
      <c r="U185" s="93">
        <v>43627</v>
      </c>
      <c r="V185" s="128"/>
      <c r="W185" s="172"/>
    </row>
    <row r="186" s="39" customFormat="1" ht="22" customHeight="1" spans="1:23">
      <c r="A186" s="142" t="s">
        <v>596</v>
      </c>
      <c r="B186" s="71" t="s">
        <v>30</v>
      </c>
      <c r="C186" s="72"/>
      <c r="D186" s="73" t="s">
        <v>31</v>
      </c>
      <c r="E186" s="73" t="s">
        <v>597</v>
      </c>
      <c r="F186" s="82" t="str">
        <f>IFERROR(VLOOKUP(E186,客户!B:C,2,FALSE),"/")</f>
        <v>/</v>
      </c>
      <c r="G186" s="73" t="s">
        <v>598</v>
      </c>
      <c r="H186" s="45" t="s">
        <v>123</v>
      </c>
      <c r="I186" s="45" t="s">
        <v>599</v>
      </c>
      <c r="J186" s="110">
        <v>43581</v>
      </c>
      <c r="K186" s="110">
        <v>43617</v>
      </c>
      <c r="L186" s="93"/>
      <c r="M186" s="146"/>
      <c r="N186" s="110" t="s">
        <v>600</v>
      </c>
      <c r="O186" s="108"/>
      <c r="P186" s="107">
        <v>19744</v>
      </c>
      <c r="Q186" s="107">
        <v>1500</v>
      </c>
      <c r="R186" s="129">
        <v>0</v>
      </c>
      <c r="S186" s="130"/>
      <c r="T186" s="107">
        <v>18244</v>
      </c>
      <c r="U186" s="93">
        <v>43613</v>
      </c>
      <c r="V186" s="128"/>
      <c r="W186" s="172"/>
    </row>
    <row r="187" s="39" customFormat="1" ht="22" customHeight="1" spans="1:23">
      <c r="A187" s="142" t="s">
        <v>601</v>
      </c>
      <c r="B187" s="71" t="s">
        <v>30</v>
      </c>
      <c r="C187" s="72"/>
      <c r="D187" s="73" t="s">
        <v>31</v>
      </c>
      <c r="E187" s="73" t="s">
        <v>528</v>
      </c>
      <c r="F187" s="82" t="str">
        <f>IFERROR(VLOOKUP(E187,客户!B:C,2,FALSE),"/")</f>
        <v>/</v>
      </c>
      <c r="G187" s="73" t="s">
        <v>534</v>
      </c>
      <c r="H187" s="45" t="s">
        <v>123</v>
      </c>
      <c r="I187" s="45" t="s">
        <v>530</v>
      </c>
      <c r="J187" s="110">
        <v>43584</v>
      </c>
      <c r="K187" s="110">
        <v>43623</v>
      </c>
      <c r="L187" s="93">
        <v>43668</v>
      </c>
      <c r="M187" s="181" t="s">
        <v>602</v>
      </c>
      <c r="N187" s="110" t="s">
        <v>603</v>
      </c>
      <c r="O187" s="108"/>
      <c r="P187" s="107">
        <v>21417.04</v>
      </c>
      <c r="Q187" s="107">
        <v>3967</v>
      </c>
      <c r="R187" s="129">
        <v>0</v>
      </c>
      <c r="S187" s="130"/>
      <c r="T187" s="107">
        <v>17417</v>
      </c>
      <c r="U187" s="93">
        <v>43676</v>
      </c>
      <c r="V187" s="128"/>
      <c r="W187" s="172"/>
    </row>
    <row r="188" s="39" customFormat="1" ht="22" customHeight="1" spans="1:23">
      <c r="A188" s="142" t="s">
        <v>604</v>
      </c>
      <c r="B188" s="71" t="s">
        <v>30</v>
      </c>
      <c r="C188" s="72"/>
      <c r="D188" s="73" t="s">
        <v>31</v>
      </c>
      <c r="E188" s="73" t="s">
        <v>450</v>
      </c>
      <c r="F188" s="82">
        <f>IFERROR(VLOOKUP(E188,客户!B:C,2,FALSE),"/")</f>
        <v>0</v>
      </c>
      <c r="G188" s="73" t="s">
        <v>485</v>
      </c>
      <c r="H188" s="45" t="s">
        <v>123</v>
      </c>
      <c r="I188" s="45" t="s">
        <v>223</v>
      </c>
      <c r="J188" s="110">
        <v>43586</v>
      </c>
      <c r="K188" s="110">
        <v>43611</v>
      </c>
      <c r="L188" s="93">
        <v>43636</v>
      </c>
      <c r="M188" s="183" t="s">
        <v>605</v>
      </c>
      <c r="N188" s="110" t="s">
        <v>606</v>
      </c>
      <c r="O188" s="108"/>
      <c r="P188" s="107">
        <v>22510</v>
      </c>
      <c r="Q188" s="107"/>
      <c r="R188" s="129">
        <v>0</v>
      </c>
      <c r="S188" s="130"/>
      <c r="T188" s="107">
        <f>11107+14302</f>
        <v>25409</v>
      </c>
      <c r="U188" s="93"/>
      <c r="V188" s="128" t="s">
        <v>607</v>
      </c>
      <c r="W188" s="172"/>
    </row>
    <row r="189" s="39" customFormat="1" ht="22" customHeight="1" spans="1:23">
      <c r="A189" s="142" t="s">
        <v>608</v>
      </c>
      <c r="B189" s="71" t="s">
        <v>30</v>
      </c>
      <c r="C189" s="72"/>
      <c r="D189" s="73" t="s">
        <v>31</v>
      </c>
      <c r="E189" s="73" t="s">
        <v>609</v>
      </c>
      <c r="F189" s="82" t="str">
        <f>IFERROR(VLOOKUP(E189,客户!B:C,2,FALSE),"/")</f>
        <v>/</v>
      </c>
      <c r="G189" s="73" t="s">
        <v>91</v>
      </c>
      <c r="H189" s="45" t="s">
        <v>123</v>
      </c>
      <c r="I189" s="45" t="s">
        <v>542</v>
      </c>
      <c r="J189" s="110">
        <v>43589</v>
      </c>
      <c r="K189" s="110">
        <v>43638</v>
      </c>
      <c r="L189" s="94"/>
      <c r="M189" s="146" t="s">
        <v>610</v>
      </c>
      <c r="N189" s="110" t="s">
        <v>611</v>
      </c>
      <c r="O189" s="108"/>
      <c r="P189" s="107">
        <v>20977.74</v>
      </c>
      <c r="Q189" s="107">
        <v>6319</v>
      </c>
      <c r="R189" s="129">
        <v>0</v>
      </c>
      <c r="S189" s="130"/>
      <c r="T189" s="107">
        <v>14559</v>
      </c>
      <c r="U189" s="93">
        <v>43651</v>
      </c>
      <c r="V189" s="128"/>
      <c r="W189" s="172"/>
    </row>
    <row r="190" s="39" customFormat="1" ht="22" customHeight="1" spans="1:23">
      <c r="A190" s="142" t="s">
        <v>612</v>
      </c>
      <c r="B190" s="71" t="s">
        <v>30</v>
      </c>
      <c r="C190" s="72"/>
      <c r="D190" s="73" t="s">
        <v>31</v>
      </c>
      <c r="E190" s="73" t="s">
        <v>428</v>
      </c>
      <c r="F190" s="82">
        <f>IFERROR(VLOOKUP(E190,客户!B:C,2,FALSE),"/")</f>
        <v>0</v>
      </c>
      <c r="G190" s="73" t="s">
        <v>613</v>
      </c>
      <c r="H190" s="45" t="s">
        <v>127</v>
      </c>
      <c r="I190" s="45" t="s">
        <v>580</v>
      </c>
      <c r="J190" s="110">
        <v>43607</v>
      </c>
      <c r="K190" s="110">
        <v>43643</v>
      </c>
      <c r="L190" s="93">
        <v>43656</v>
      </c>
      <c r="M190" s="181" t="s">
        <v>614</v>
      </c>
      <c r="N190" s="110" t="s">
        <v>615</v>
      </c>
      <c r="O190" s="108"/>
      <c r="P190" s="107">
        <v>149546.9</v>
      </c>
      <c r="Q190" s="107">
        <v>10000</v>
      </c>
      <c r="R190" s="129">
        <v>0</v>
      </c>
      <c r="S190" s="130"/>
      <c r="T190" s="107">
        <v>139500</v>
      </c>
      <c r="U190" s="93">
        <v>43655</v>
      </c>
      <c r="V190" s="128"/>
      <c r="W190" s="172"/>
    </row>
    <row r="191" s="39" customFormat="1" ht="22" customHeight="1" spans="1:23">
      <c r="A191" s="142" t="s">
        <v>616</v>
      </c>
      <c r="B191" s="71" t="s">
        <v>30</v>
      </c>
      <c r="C191" s="72"/>
      <c r="D191" s="73" t="s">
        <v>31</v>
      </c>
      <c r="E191" s="73" t="s">
        <v>617</v>
      </c>
      <c r="F191" s="82">
        <f>IFERROR(VLOOKUP(E191,客户!B:C,2,FALSE),"/")</f>
        <v>0</v>
      </c>
      <c r="G191" s="73" t="s">
        <v>109</v>
      </c>
      <c r="H191" s="45" t="s">
        <v>123</v>
      </c>
      <c r="I191" s="45" t="s">
        <v>618</v>
      </c>
      <c r="J191" s="110">
        <v>43608</v>
      </c>
      <c r="K191" s="146">
        <v>43662</v>
      </c>
      <c r="L191" s="93">
        <v>43709</v>
      </c>
      <c r="M191" s="181" t="s">
        <v>619</v>
      </c>
      <c r="N191" s="110" t="s">
        <v>620</v>
      </c>
      <c r="O191" s="108"/>
      <c r="P191" s="107">
        <v>25524.7</v>
      </c>
      <c r="Q191" s="107">
        <v>7000</v>
      </c>
      <c r="R191" s="129">
        <v>0</v>
      </c>
      <c r="S191" s="130"/>
      <c r="T191" s="107">
        <v>18499</v>
      </c>
      <c r="U191" s="93">
        <v>43677</v>
      </c>
      <c r="V191" s="128"/>
      <c r="W191" s="172"/>
    </row>
    <row r="192" s="39" customFormat="1" ht="22" customHeight="1" spans="1:23">
      <c r="A192" s="142" t="s">
        <v>621</v>
      </c>
      <c r="B192" s="71" t="s">
        <v>30</v>
      </c>
      <c r="C192" s="72"/>
      <c r="D192" s="73" t="s">
        <v>31</v>
      </c>
      <c r="E192" s="73" t="s">
        <v>450</v>
      </c>
      <c r="F192" s="82">
        <f>IFERROR(VLOOKUP(E192,客户!B:C,2,FALSE),"/")</f>
        <v>0</v>
      </c>
      <c r="G192" s="73" t="s">
        <v>43</v>
      </c>
      <c r="H192" s="45" t="s">
        <v>123</v>
      </c>
      <c r="I192" s="45" t="s">
        <v>223</v>
      </c>
      <c r="J192" s="110">
        <v>43609</v>
      </c>
      <c r="K192" s="110">
        <v>43631</v>
      </c>
      <c r="L192" s="93">
        <v>42926</v>
      </c>
      <c r="M192" s="181"/>
      <c r="N192" s="110" t="s">
        <v>606</v>
      </c>
      <c r="O192" s="108"/>
      <c r="P192" s="107">
        <v>22753.13</v>
      </c>
      <c r="Q192" s="107"/>
      <c r="R192" s="129"/>
      <c r="S192" s="130"/>
      <c r="T192" s="107">
        <f>14976+7745</f>
        <v>22721</v>
      </c>
      <c r="U192" s="93"/>
      <c r="V192" s="128" t="s">
        <v>622</v>
      </c>
      <c r="W192" s="172"/>
    </row>
    <row r="193" s="39" customFormat="1" ht="22" customHeight="1" spans="1:23">
      <c r="A193" s="142" t="s">
        <v>623</v>
      </c>
      <c r="B193" s="174" t="s">
        <v>30</v>
      </c>
      <c r="C193" s="175"/>
      <c r="D193" s="73" t="s">
        <v>31</v>
      </c>
      <c r="E193" s="73" t="s">
        <v>624</v>
      </c>
      <c r="F193" s="82">
        <f>IFERROR(VLOOKUP(E193,客户!B:C,2,FALSE),"/")</f>
        <v>0</v>
      </c>
      <c r="G193" s="73" t="s">
        <v>68</v>
      </c>
      <c r="H193" s="45" t="s">
        <v>123</v>
      </c>
      <c r="I193" s="45" t="s">
        <v>219</v>
      </c>
      <c r="J193" s="110">
        <v>43610</v>
      </c>
      <c r="K193" s="146">
        <v>43679</v>
      </c>
      <c r="L193" s="93">
        <v>43708</v>
      </c>
      <c r="M193" s="181" t="s">
        <v>625</v>
      </c>
      <c r="N193" s="110" t="s">
        <v>626</v>
      </c>
      <c r="O193" s="108"/>
      <c r="P193" s="107">
        <v>42909.23</v>
      </c>
      <c r="Q193" s="107">
        <v>8600</v>
      </c>
      <c r="R193" s="129"/>
      <c r="S193" s="130"/>
      <c r="T193" s="107">
        <v>34729</v>
      </c>
      <c r="U193" s="93"/>
      <c r="V193" s="188" t="s">
        <v>627</v>
      </c>
      <c r="W193" s="172"/>
    </row>
    <row r="194" s="43" customFormat="1" ht="22" customHeight="1" spans="1:23">
      <c r="A194" s="142" t="s">
        <v>628</v>
      </c>
      <c r="B194" s="174" t="s">
        <v>30</v>
      </c>
      <c r="C194" s="175"/>
      <c r="D194" s="45" t="s">
        <v>31</v>
      </c>
      <c r="E194" s="45" t="s">
        <v>629</v>
      </c>
      <c r="F194" s="82" t="str">
        <f>IFERROR(VLOOKUP(E194,客户!B:C,2,FALSE),"/")</f>
        <v>/</v>
      </c>
      <c r="G194" s="45" t="s">
        <v>68</v>
      </c>
      <c r="H194" s="45" t="s">
        <v>123</v>
      </c>
      <c r="I194" s="45" t="s">
        <v>630</v>
      </c>
      <c r="J194" s="110">
        <v>43614</v>
      </c>
      <c r="K194" s="93">
        <v>43657</v>
      </c>
      <c r="L194" s="93">
        <v>43688</v>
      </c>
      <c r="M194" s="200" t="s">
        <v>631</v>
      </c>
      <c r="N194" s="110" t="s">
        <v>632</v>
      </c>
      <c r="O194" s="108"/>
      <c r="P194" s="107">
        <v>42613.6</v>
      </c>
      <c r="Q194" s="107" t="s">
        <v>633</v>
      </c>
      <c r="R194" s="129">
        <v>0</v>
      </c>
      <c r="S194" s="130"/>
      <c r="T194" s="107">
        <v>17785</v>
      </c>
      <c r="U194" s="93">
        <v>43699</v>
      </c>
      <c r="V194" s="128"/>
      <c r="W194" s="214"/>
    </row>
    <row r="195" s="42" customFormat="1" ht="22" customHeight="1" spans="1:23">
      <c r="A195" s="142" t="s">
        <v>634</v>
      </c>
      <c r="B195" s="71" t="s">
        <v>30</v>
      </c>
      <c r="C195" s="72"/>
      <c r="D195" s="73" t="s">
        <v>31</v>
      </c>
      <c r="E195" s="73" t="s">
        <v>446</v>
      </c>
      <c r="F195" s="82">
        <f>IFERROR(VLOOKUP(E195,客户!B:C,2,FALSE),"/")</f>
        <v>0</v>
      </c>
      <c r="G195" s="73" t="s">
        <v>43</v>
      </c>
      <c r="H195" s="45" t="s">
        <v>123</v>
      </c>
      <c r="I195" s="45" t="s">
        <v>238</v>
      </c>
      <c r="J195" s="146">
        <v>43617</v>
      </c>
      <c r="K195" s="146">
        <v>43646</v>
      </c>
      <c r="L195" s="93">
        <v>43675</v>
      </c>
      <c r="M195" s="181" t="s">
        <v>635</v>
      </c>
      <c r="N195" s="146" t="s">
        <v>636</v>
      </c>
      <c r="O195" s="108"/>
      <c r="P195" s="107">
        <v>23408.85</v>
      </c>
      <c r="Q195" s="107">
        <v>4681</v>
      </c>
      <c r="R195" s="129">
        <v>0</v>
      </c>
      <c r="S195" s="130"/>
      <c r="T195" s="107">
        <v>18689</v>
      </c>
      <c r="U195" s="93">
        <v>43671</v>
      </c>
      <c r="V195" s="126"/>
      <c r="W195" s="172"/>
    </row>
    <row r="196" s="39" customFormat="1" ht="22" customHeight="1" spans="1:23">
      <c r="A196" s="142" t="s">
        <v>637</v>
      </c>
      <c r="B196" s="71" t="s">
        <v>30</v>
      </c>
      <c r="C196" s="72"/>
      <c r="D196" s="73" t="s">
        <v>31</v>
      </c>
      <c r="E196" s="73" t="s">
        <v>436</v>
      </c>
      <c r="F196" s="82" t="str">
        <f>IFERROR(VLOOKUP(E196,客户!B:C,2,FALSE),"/")</f>
        <v>$53.50 TUV Austria administration cost 革力减掉150代理费</v>
      </c>
      <c r="G196" s="73" t="s">
        <v>91</v>
      </c>
      <c r="H196" s="45" t="s">
        <v>123</v>
      </c>
      <c r="I196" s="45" t="s">
        <v>226</v>
      </c>
      <c r="J196" s="110">
        <v>43620</v>
      </c>
      <c r="K196" s="110">
        <v>43654</v>
      </c>
      <c r="L196" s="93">
        <v>43692</v>
      </c>
      <c r="M196" s="146" t="s">
        <v>638</v>
      </c>
      <c r="N196" s="110" t="s">
        <v>639</v>
      </c>
      <c r="O196" s="108"/>
      <c r="P196" s="107">
        <v>20171</v>
      </c>
      <c r="Q196" s="107">
        <v>6374</v>
      </c>
      <c r="R196" s="129">
        <v>0</v>
      </c>
      <c r="S196" s="130"/>
      <c r="T196" s="107">
        <v>13745</v>
      </c>
      <c r="U196" s="93">
        <v>43664</v>
      </c>
      <c r="V196" s="128"/>
      <c r="W196" s="172"/>
    </row>
    <row r="197" s="39" customFormat="1" ht="22" customHeight="1" spans="1:23">
      <c r="A197" s="142" t="s">
        <v>640</v>
      </c>
      <c r="B197" s="71" t="s">
        <v>30</v>
      </c>
      <c r="C197" s="72"/>
      <c r="D197" s="73" t="s">
        <v>31</v>
      </c>
      <c r="E197" s="83" t="s">
        <v>641</v>
      </c>
      <c r="F197" s="82">
        <f>IFERROR(VLOOKUP(E197,客户!B:C,2,FALSE),"/")</f>
        <v>0</v>
      </c>
      <c r="G197" s="73" t="s">
        <v>43</v>
      </c>
      <c r="H197" s="45" t="s">
        <v>123</v>
      </c>
      <c r="I197" s="45" t="s">
        <v>642</v>
      </c>
      <c r="J197" s="110">
        <v>43629</v>
      </c>
      <c r="K197" s="110">
        <v>43678</v>
      </c>
      <c r="L197" s="93">
        <v>43718</v>
      </c>
      <c r="M197" s="146" t="s">
        <v>643</v>
      </c>
      <c r="N197" s="110" t="s">
        <v>644</v>
      </c>
      <c r="O197" s="108"/>
      <c r="P197" s="107">
        <v>19824.63</v>
      </c>
      <c r="Q197" s="107">
        <v>5000</v>
      </c>
      <c r="R197" s="129">
        <v>0</v>
      </c>
      <c r="S197" s="130"/>
      <c r="T197" s="107">
        <v>14799</v>
      </c>
      <c r="U197" s="93">
        <v>43698</v>
      </c>
      <c r="V197" s="128"/>
      <c r="W197" s="172"/>
    </row>
    <row r="198" s="39" customFormat="1" ht="22" customHeight="1" spans="1:23">
      <c r="A198" s="142" t="s">
        <v>645</v>
      </c>
      <c r="B198" s="71" t="s">
        <v>30</v>
      </c>
      <c r="C198" s="72"/>
      <c r="D198" s="73" t="s">
        <v>31</v>
      </c>
      <c r="E198" s="73" t="s">
        <v>450</v>
      </c>
      <c r="F198" s="82">
        <f>IFERROR(VLOOKUP(E198,客户!B:C,2,FALSE),"/")</f>
        <v>0</v>
      </c>
      <c r="G198" s="73" t="s">
        <v>43</v>
      </c>
      <c r="H198" s="45" t="s">
        <v>123</v>
      </c>
      <c r="I198" s="45" t="s">
        <v>646</v>
      </c>
      <c r="J198" s="110">
        <v>43636</v>
      </c>
      <c r="K198" s="146">
        <v>43674</v>
      </c>
      <c r="L198" s="93">
        <v>43704</v>
      </c>
      <c r="M198" s="201" t="s">
        <v>647</v>
      </c>
      <c r="N198" s="110" t="s">
        <v>500</v>
      </c>
      <c r="O198" s="108"/>
      <c r="P198" s="107">
        <v>22388.87</v>
      </c>
      <c r="Q198" s="107" t="s">
        <v>453</v>
      </c>
      <c r="R198" s="129"/>
      <c r="S198" s="130"/>
      <c r="T198" s="107">
        <v>15520</v>
      </c>
      <c r="U198" s="93"/>
      <c r="V198" s="188" t="s">
        <v>648</v>
      </c>
      <c r="W198" s="172"/>
    </row>
    <row r="199" s="39" customFormat="1" ht="22" customHeight="1" spans="1:23">
      <c r="A199" s="142" t="s">
        <v>649</v>
      </c>
      <c r="B199" s="71" t="s">
        <v>30</v>
      </c>
      <c r="C199" s="72"/>
      <c r="D199" s="73" t="s">
        <v>31</v>
      </c>
      <c r="E199" s="73" t="s">
        <v>473</v>
      </c>
      <c r="F199" s="82">
        <f>IFERROR(VLOOKUP(E199,客户!B:C,2,FALSE),"/")</f>
        <v>0</v>
      </c>
      <c r="G199" s="73" t="s">
        <v>650</v>
      </c>
      <c r="H199" s="45" t="s">
        <v>127</v>
      </c>
      <c r="I199" s="45" t="s">
        <v>651</v>
      </c>
      <c r="J199" s="110">
        <v>43637</v>
      </c>
      <c r="K199" s="146">
        <v>43659</v>
      </c>
      <c r="L199" s="93">
        <v>43672</v>
      </c>
      <c r="M199" s="181" t="s">
        <v>652</v>
      </c>
      <c r="N199" s="110" t="s">
        <v>653</v>
      </c>
      <c r="O199" s="108"/>
      <c r="P199" s="107">
        <v>18523.26</v>
      </c>
      <c r="Q199" s="210">
        <v>11423</v>
      </c>
      <c r="R199" s="129">
        <v>0</v>
      </c>
      <c r="S199" s="130"/>
      <c r="T199" s="107">
        <v>18523</v>
      </c>
      <c r="U199" s="93">
        <v>43664</v>
      </c>
      <c r="V199" s="128"/>
      <c r="W199" s="172"/>
    </row>
    <row r="200" s="39" customFormat="1" ht="22" customHeight="1" spans="1:23">
      <c r="A200" s="142" t="s">
        <v>654</v>
      </c>
      <c r="B200" s="71" t="s">
        <v>30</v>
      </c>
      <c r="C200" s="72"/>
      <c r="D200" s="73" t="s">
        <v>31</v>
      </c>
      <c r="E200" s="83" t="s">
        <v>655</v>
      </c>
      <c r="F200" s="82">
        <f>IFERROR(VLOOKUP(E200,客户!B:C,2,FALSE),"/")</f>
        <v>0</v>
      </c>
      <c r="G200" s="73" t="s">
        <v>650</v>
      </c>
      <c r="H200" s="45" t="s">
        <v>127</v>
      </c>
      <c r="I200" s="45" t="s">
        <v>651</v>
      </c>
      <c r="J200" s="110">
        <v>43637</v>
      </c>
      <c r="K200" s="146">
        <v>43659</v>
      </c>
      <c r="L200" s="93">
        <v>43672</v>
      </c>
      <c r="M200" s="181" t="s">
        <v>652</v>
      </c>
      <c r="N200" s="110" t="s">
        <v>653</v>
      </c>
      <c r="O200" s="108"/>
      <c r="P200" s="107">
        <v>20403.33</v>
      </c>
      <c r="Q200" s="210"/>
      <c r="R200" s="129"/>
      <c r="S200" s="130"/>
      <c r="T200" s="107">
        <v>8930</v>
      </c>
      <c r="U200" s="93">
        <v>43664</v>
      </c>
      <c r="V200" s="128"/>
      <c r="W200" s="172"/>
    </row>
    <row r="201" s="39" customFormat="1" ht="22" customHeight="1" spans="1:23">
      <c r="A201" s="142" t="s">
        <v>656</v>
      </c>
      <c r="B201" s="71" t="s">
        <v>30</v>
      </c>
      <c r="C201" s="72"/>
      <c r="D201" s="73" t="s">
        <v>31</v>
      </c>
      <c r="E201" s="73" t="s">
        <v>60</v>
      </c>
      <c r="F201" s="82" t="str">
        <f>IFERROR(VLOOKUP(E201,客户!B:C,2,FALSE),"/")</f>
        <v>外送费用945人民币+装箱费用 加在发票里</v>
      </c>
      <c r="G201" s="73" t="s">
        <v>566</v>
      </c>
      <c r="H201" s="142" t="s">
        <v>396</v>
      </c>
      <c r="I201" s="45" t="s">
        <v>205</v>
      </c>
      <c r="J201" s="110">
        <v>43640</v>
      </c>
      <c r="K201" s="146">
        <v>43701</v>
      </c>
      <c r="L201" s="93">
        <v>43733</v>
      </c>
      <c r="M201" s="181" t="s">
        <v>657</v>
      </c>
      <c r="N201" s="202" t="s">
        <v>658</v>
      </c>
      <c r="O201" s="108"/>
      <c r="P201" s="107">
        <v>40648.98</v>
      </c>
      <c r="Q201" s="107">
        <v>0</v>
      </c>
      <c r="R201" s="129">
        <v>0</v>
      </c>
      <c r="S201" s="130"/>
      <c r="T201" s="107">
        <v>40389</v>
      </c>
      <c r="U201" s="215">
        <v>43746</v>
      </c>
      <c r="V201" s="128"/>
      <c r="W201" s="172"/>
    </row>
    <row r="202" s="39" customFormat="1" ht="22" customHeight="1" spans="1:23">
      <c r="A202" s="142" t="s">
        <v>659</v>
      </c>
      <c r="B202" s="71" t="s">
        <v>30</v>
      </c>
      <c r="C202" s="72"/>
      <c r="D202" s="73" t="s">
        <v>31</v>
      </c>
      <c r="E202" s="73" t="s">
        <v>60</v>
      </c>
      <c r="F202" s="82" t="str">
        <f>IFERROR(VLOOKUP(E202,客户!B:C,2,FALSE),"/")</f>
        <v>外送费用945人民币+装箱费用 加在发票里</v>
      </c>
      <c r="G202" s="73" t="s">
        <v>660</v>
      </c>
      <c r="H202" s="45" t="s">
        <v>147</v>
      </c>
      <c r="I202" s="45" t="s">
        <v>205</v>
      </c>
      <c r="J202" s="110">
        <v>43640</v>
      </c>
      <c r="K202" s="146">
        <v>43709</v>
      </c>
      <c r="L202" s="146">
        <v>43748</v>
      </c>
      <c r="M202" s="181" t="s">
        <v>661</v>
      </c>
      <c r="N202" s="202" t="s">
        <v>662</v>
      </c>
      <c r="O202" s="108"/>
      <c r="P202" s="107">
        <v>40377</v>
      </c>
      <c r="Q202" s="107">
        <v>0</v>
      </c>
      <c r="R202" s="129">
        <v>0</v>
      </c>
      <c r="S202" s="130"/>
      <c r="T202" s="107">
        <v>40362.6</v>
      </c>
      <c r="U202" s="93"/>
      <c r="V202" s="128"/>
      <c r="W202" s="172"/>
    </row>
    <row r="203" s="39" customFormat="1" ht="22" customHeight="1" spans="1:23">
      <c r="A203" s="142" t="s">
        <v>663</v>
      </c>
      <c r="B203" s="71" t="s">
        <v>30</v>
      </c>
      <c r="C203" s="72"/>
      <c r="D203" s="73" t="s">
        <v>31</v>
      </c>
      <c r="E203" s="83" t="s">
        <v>664</v>
      </c>
      <c r="F203" s="82" t="str">
        <f>IFERROR(VLOOKUP(E203,客户!B:C,2,FALSE),"/")</f>
        <v>/</v>
      </c>
      <c r="G203" s="73" t="s">
        <v>43</v>
      </c>
      <c r="H203" s="45" t="s">
        <v>123</v>
      </c>
      <c r="I203" s="45" t="s">
        <v>219</v>
      </c>
      <c r="J203" s="110">
        <v>43641</v>
      </c>
      <c r="K203" s="110">
        <v>43675</v>
      </c>
      <c r="L203" s="93">
        <v>43725</v>
      </c>
      <c r="M203" s="181" t="s">
        <v>665</v>
      </c>
      <c r="N203" s="110" t="s">
        <v>666</v>
      </c>
      <c r="O203" s="108" t="s">
        <v>523</v>
      </c>
      <c r="P203" s="107">
        <v>21540.63</v>
      </c>
      <c r="Q203" s="107">
        <v>0</v>
      </c>
      <c r="R203" s="129"/>
      <c r="S203" s="130"/>
      <c r="T203" s="107" t="s">
        <v>667</v>
      </c>
      <c r="U203" s="93">
        <v>43755</v>
      </c>
      <c r="V203" s="128"/>
      <c r="W203" s="172"/>
    </row>
    <row r="204" s="39" customFormat="1" ht="22" customHeight="1" spans="1:23">
      <c r="A204" s="142" t="s">
        <v>668</v>
      </c>
      <c r="B204" s="71" t="s">
        <v>30</v>
      </c>
      <c r="C204" s="72"/>
      <c r="D204" s="73" t="s">
        <v>31</v>
      </c>
      <c r="E204" s="73" t="s">
        <v>669</v>
      </c>
      <c r="F204" s="82">
        <f>IFERROR(VLOOKUP(E204,客户!B:C,2,FALSE),"/")</f>
        <v>0</v>
      </c>
      <c r="G204" s="73" t="s">
        <v>73</v>
      </c>
      <c r="H204" s="45" t="s">
        <v>123</v>
      </c>
      <c r="I204" s="45" t="s">
        <v>205</v>
      </c>
      <c r="J204" s="110">
        <v>43642</v>
      </c>
      <c r="K204" s="110">
        <v>43700</v>
      </c>
      <c r="L204" s="93">
        <v>43730</v>
      </c>
      <c r="M204" s="181" t="s">
        <v>670</v>
      </c>
      <c r="N204" s="110" t="s">
        <v>593</v>
      </c>
      <c r="O204" s="108"/>
      <c r="P204" s="107">
        <v>39060</v>
      </c>
      <c r="Q204" s="107">
        <v>0</v>
      </c>
      <c r="R204" s="129">
        <v>0</v>
      </c>
      <c r="S204" s="130"/>
      <c r="T204" s="211">
        <v>39060</v>
      </c>
      <c r="U204" s="215">
        <v>43738</v>
      </c>
      <c r="V204" s="128"/>
      <c r="W204" s="172"/>
    </row>
    <row r="205" s="39" customFormat="1" ht="22" customHeight="1" spans="1:23">
      <c r="A205" s="142" t="s">
        <v>671</v>
      </c>
      <c r="B205" s="174" t="s">
        <v>30</v>
      </c>
      <c r="C205" s="175"/>
      <c r="D205" s="73" t="s">
        <v>31</v>
      </c>
      <c r="E205" s="73" t="s">
        <v>669</v>
      </c>
      <c r="F205" s="82">
        <f>IFERROR(VLOOKUP(E205,客户!B:C,2,FALSE),"/")</f>
        <v>0</v>
      </c>
      <c r="G205" s="73" t="s">
        <v>234</v>
      </c>
      <c r="H205" s="45" t="s">
        <v>123</v>
      </c>
      <c r="I205" s="45" t="s">
        <v>205</v>
      </c>
      <c r="J205" s="110">
        <v>43642</v>
      </c>
      <c r="K205" s="110">
        <v>43708</v>
      </c>
      <c r="L205" s="146">
        <v>43744</v>
      </c>
      <c r="M205" s="181" t="s">
        <v>672</v>
      </c>
      <c r="N205" s="110" t="s">
        <v>673</v>
      </c>
      <c r="O205" s="108"/>
      <c r="P205" s="107">
        <v>58590</v>
      </c>
      <c r="Q205" s="107">
        <v>0</v>
      </c>
      <c r="R205" s="129">
        <v>0</v>
      </c>
      <c r="S205" s="130"/>
      <c r="T205" s="107">
        <v>58590</v>
      </c>
      <c r="U205" s="93">
        <v>43756</v>
      </c>
      <c r="V205" s="128"/>
      <c r="W205" s="172"/>
    </row>
    <row r="206" s="39" customFormat="1" ht="22" customHeight="1" spans="1:23">
      <c r="A206" s="142" t="s">
        <v>674</v>
      </c>
      <c r="B206" s="174" t="s">
        <v>30</v>
      </c>
      <c r="C206" s="175"/>
      <c r="D206" s="73" t="s">
        <v>31</v>
      </c>
      <c r="E206" s="73" t="s">
        <v>669</v>
      </c>
      <c r="F206" s="82">
        <f>IFERROR(VLOOKUP(E206,客户!B:C,2,FALSE),"/")</f>
        <v>0</v>
      </c>
      <c r="G206" s="73" t="s">
        <v>86</v>
      </c>
      <c r="H206" s="45" t="s">
        <v>123</v>
      </c>
      <c r="I206" s="45" t="s">
        <v>542</v>
      </c>
      <c r="J206" s="110">
        <v>43642</v>
      </c>
      <c r="K206" s="110">
        <v>43722</v>
      </c>
      <c r="L206" s="93">
        <v>43771</v>
      </c>
      <c r="M206" s="181" t="s">
        <v>675</v>
      </c>
      <c r="N206" s="110" t="s">
        <v>676</v>
      </c>
      <c r="O206" s="108"/>
      <c r="P206" s="107">
        <v>59073.44</v>
      </c>
      <c r="Q206" s="107">
        <v>0</v>
      </c>
      <c r="R206" s="129"/>
      <c r="S206" s="130"/>
      <c r="T206" s="107">
        <v>59073.44</v>
      </c>
      <c r="U206" s="93"/>
      <c r="V206" s="128"/>
      <c r="W206" s="172"/>
    </row>
    <row r="207" s="39" customFormat="1" ht="22" customHeight="1" spans="1:23">
      <c r="A207" s="142" t="s">
        <v>677</v>
      </c>
      <c r="B207" s="174" t="s">
        <v>30</v>
      </c>
      <c r="C207" s="175"/>
      <c r="D207" s="73" t="s">
        <v>31</v>
      </c>
      <c r="E207" s="73" t="s">
        <v>60</v>
      </c>
      <c r="F207" s="82" t="str">
        <f>IFERROR(VLOOKUP(E207,客户!B:C,2,FALSE),"/")</f>
        <v>外送费用945人民币+装箱费用 加在发票里</v>
      </c>
      <c r="G207" s="73" t="s">
        <v>566</v>
      </c>
      <c r="H207" s="45" t="s">
        <v>147</v>
      </c>
      <c r="I207" s="45" t="s">
        <v>205</v>
      </c>
      <c r="J207" s="110">
        <v>43649</v>
      </c>
      <c r="K207" s="110">
        <v>43743</v>
      </c>
      <c r="L207" s="93">
        <v>43782</v>
      </c>
      <c r="M207" s="179" t="s">
        <v>678</v>
      </c>
      <c r="N207" s="110" t="s">
        <v>679</v>
      </c>
      <c r="O207" s="108" t="s">
        <v>680</v>
      </c>
      <c r="P207" s="107">
        <v>37497.8</v>
      </c>
      <c r="Q207" s="107">
        <v>0</v>
      </c>
      <c r="R207" s="129"/>
      <c r="S207" s="130"/>
      <c r="T207" s="107">
        <v>37242.37</v>
      </c>
      <c r="U207" s="93">
        <v>43789</v>
      </c>
      <c r="V207" s="128"/>
      <c r="W207" s="172"/>
    </row>
    <row r="208" s="39" customFormat="1" ht="22" customHeight="1" spans="1:23">
      <c r="A208" s="142" t="s">
        <v>681</v>
      </c>
      <c r="B208" s="174" t="s">
        <v>30</v>
      </c>
      <c r="C208" s="175"/>
      <c r="D208" s="73" t="s">
        <v>31</v>
      </c>
      <c r="E208" s="73" t="s">
        <v>60</v>
      </c>
      <c r="F208" s="82" t="str">
        <f>IFERROR(VLOOKUP(E208,客户!B:C,2,FALSE),"/")</f>
        <v>外送费用945人民币+装箱费用 加在发票里</v>
      </c>
      <c r="G208" s="73" t="s">
        <v>566</v>
      </c>
      <c r="H208" s="45" t="s">
        <v>147</v>
      </c>
      <c r="I208" s="45" t="s">
        <v>205</v>
      </c>
      <c r="J208" s="110">
        <v>43651</v>
      </c>
      <c r="K208" s="110">
        <v>43821</v>
      </c>
      <c r="L208" s="93">
        <v>43851</v>
      </c>
      <c r="M208" s="179" t="s">
        <v>682</v>
      </c>
      <c r="N208" s="110" t="s">
        <v>683</v>
      </c>
      <c r="O208" s="108" t="s">
        <v>680</v>
      </c>
      <c r="P208" s="107">
        <v>37182</v>
      </c>
      <c r="Q208" s="107">
        <v>0</v>
      </c>
      <c r="R208" s="129"/>
      <c r="S208" s="130"/>
      <c r="T208" s="107">
        <v>36908.57</v>
      </c>
      <c r="U208" s="93">
        <v>43871</v>
      </c>
      <c r="V208" s="128"/>
      <c r="W208" s="172"/>
    </row>
    <row r="209" s="39" customFormat="1" ht="22" customHeight="1" spans="1:23">
      <c r="A209" s="142" t="s">
        <v>684</v>
      </c>
      <c r="B209" s="174" t="s">
        <v>30</v>
      </c>
      <c r="C209" s="175"/>
      <c r="D209" s="73" t="s">
        <v>31</v>
      </c>
      <c r="E209" s="73" t="s">
        <v>428</v>
      </c>
      <c r="F209" s="82">
        <f>IFERROR(VLOOKUP(E209,客户!B:C,2,FALSE),"/")</f>
        <v>0</v>
      </c>
      <c r="G209" s="73" t="s">
        <v>126</v>
      </c>
      <c r="H209" s="45" t="s">
        <v>127</v>
      </c>
      <c r="I209" s="45" t="s">
        <v>215</v>
      </c>
      <c r="J209" s="110">
        <v>43670</v>
      </c>
      <c r="K209" s="110">
        <v>43706</v>
      </c>
      <c r="L209" s="93">
        <v>43722</v>
      </c>
      <c r="M209" s="181" t="s">
        <v>685</v>
      </c>
      <c r="N209" s="110" t="s">
        <v>686</v>
      </c>
      <c r="O209" s="108"/>
      <c r="P209" s="107">
        <v>84766</v>
      </c>
      <c r="Q209" s="107">
        <v>10000</v>
      </c>
      <c r="R209" s="129">
        <v>0</v>
      </c>
      <c r="S209" s="130"/>
      <c r="T209" s="107">
        <v>74766</v>
      </c>
      <c r="U209" s="93">
        <v>43718</v>
      </c>
      <c r="V209" s="128"/>
      <c r="W209" s="172"/>
    </row>
    <row r="210" s="39" customFormat="1" ht="22" customHeight="1" spans="1:23">
      <c r="A210" s="142" t="s">
        <v>687</v>
      </c>
      <c r="B210" s="174" t="s">
        <v>30</v>
      </c>
      <c r="C210" s="175"/>
      <c r="D210" s="73" t="s">
        <v>31</v>
      </c>
      <c r="E210" s="73" t="s">
        <v>554</v>
      </c>
      <c r="F210" s="82">
        <f>IFERROR(VLOOKUP(E210,客户!B:C,2,FALSE),"/")</f>
        <v>0</v>
      </c>
      <c r="G210" s="73" t="s">
        <v>43</v>
      </c>
      <c r="H210" s="45" t="s">
        <v>147</v>
      </c>
      <c r="I210" s="45" t="s">
        <v>688</v>
      </c>
      <c r="J210" s="110">
        <v>43677</v>
      </c>
      <c r="K210" s="110">
        <v>43708</v>
      </c>
      <c r="L210" s="93">
        <v>43722</v>
      </c>
      <c r="M210" s="181" t="s">
        <v>689</v>
      </c>
      <c r="N210" s="110" t="s">
        <v>690</v>
      </c>
      <c r="O210" s="108"/>
      <c r="P210" s="107">
        <v>20666.9</v>
      </c>
      <c r="Q210" s="107">
        <v>6279</v>
      </c>
      <c r="R210" s="129">
        <v>0</v>
      </c>
      <c r="S210" s="130"/>
      <c r="T210" s="107">
        <v>14351</v>
      </c>
      <c r="U210" s="93">
        <v>43725</v>
      </c>
      <c r="V210" s="128"/>
      <c r="W210" s="172"/>
    </row>
    <row r="211" s="42" customFormat="1" ht="22" customHeight="1" spans="1:23">
      <c r="A211" s="142" t="s">
        <v>691</v>
      </c>
      <c r="B211" s="174" t="s">
        <v>30</v>
      </c>
      <c r="C211" s="175"/>
      <c r="D211" s="45" t="s">
        <v>31</v>
      </c>
      <c r="E211" s="83" t="s">
        <v>692</v>
      </c>
      <c r="F211" s="82">
        <f>IFERROR(VLOOKUP(E211,客户!B:C,2,FALSE),"/")</f>
        <v>0</v>
      </c>
      <c r="G211" s="73" t="s">
        <v>43</v>
      </c>
      <c r="H211" s="45" t="s">
        <v>123</v>
      </c>
      <c r="I211" s="45" t="s">
        <v>693</v>
      </c>
      <c r="J211" s="146">
        <v>43684</v>
      </c>
      <c r="K211" s="146">
        <v>43717</v>
      </c>
      <c r="L211" s="93">
        <v>43752</v>
      </c>
      <c r="M211" s="146" t="s">
        <v>694</v>
      </c>
      <c r="N211" s="165" t="s">
        <v>695</v>
      </c>
      <c r="O211" s="108"/>
      <c r="P211" s="107">
        <v>18383.87</v>
      </c>
      <c r="Q211" s="107">
        <v>3672</v>
      </c>
      <c r="R211" s="129">
        <v>0</v>
      </c>
      <c r="S211" s="130"/>
      <c r="T211" s="107" t="s">
        <v>696</v>
      </c>
      <c r="U211" s="93">
        <v>43747</v>
      </c>
      <c r="V211" s="126"/>
      <c r="W211" s="172"/>
    </row>
    <row r="212" s="39" customFormat="1" ht="22" customHeight="1" spans="1:23">
      <c r="A212" s="142" t="s">
        <v>697</v>
      </c>
      <c r="B212" s="174" t="s">
        <v>30</v>
      </c>
      <c r="C212" s="175"/>
      <c r="D212" s="45" t="s">
        <v>31</v>
      </c>
      <c r="E212" s="83" t="s">
        <v>698</v>
      </c>
      <c r="F212" s="82">
        <f>IFERROR(VLOOKUP(E212,客户!B:C,2,FALSE),"/")</f>
        <v>0</v>
      </c>
      <c r="G212" s="73" t="s">
        <v>36</v>
      </c>
      <c r="H212" s="45" t="s">
        <v>123</v>
      </c>
      <c r="I212" s="45" t="s">
        <v>693</v>
      </c>
      <c r="J212" s="110">
        <v>43684</v>
      </c>
      <c r="K212" s="110">
        <v>43738</v>
      </c>
      <c r="L212" s="93">
        <v>43776</v>
      </c>
      <c r="M212" s="179" t="s">
        <v>699</v>
      </c>
      <c r="N212" s="110" t="s">
        <v>700</v>
      </c>
      <c r="O212" s="108"/>
      <c r="P212" s="107">
        <v>20866.4</v>
      </c>
      <c r="Q212" s="107">
        <v>5000</v>
      </c>
      <c r="R212" s="129"/>
      <c r="S212" s="130"/>
      <c r="T212" s="107">
        <v>15866</v>
      </c>
      <c r="U212" s="93">
        <v>43773</v>
      </c>
      <c r="V212" s="128"/>
      <c r="W212" s="172"/>
    </row>
    <row r="213" s="39" customFormat="1" ht="22" customHeight="1" spans="1:23">
      <c r="A213" s="142" t="s">
        <v>701</v>
      </c>
      <c r="B213" s="174" t="s">
        <v>30</v>
      </c>
      <c r="C213" s="175"/>
      <c r="D213" s="45" t="s">
        <v>31</v>
      </c>
      <c r="E213" s="73" t="s">
        <v>450</v>
      </c>
      <c r="F213" s="82">
        <f>IFERROR(VLOOKUP(E213,客户!B:C,2,FALSE),"/")</f>
        <v>0</v>
      </c>
      <c r="G213" s="73" t="s">
        <v>43</v>
      </c>
      <c r="H213" s="45" t="s">
        <v>123</v>
      </c>
      <c r="I213" s="45" t="s">
        <v>702</v>
      </c>
      <c r="J213" s="110">
        <v>43681</v>
      </c>
      <c r="K213" s="110">
        <v>43701</v>
      </c>
      <c r="L213" s="93">
        <v>43732</v>
      </c>
      <c r="M213" s="181" t="s">
        <v>703</v>
      </c>
      <c r="N213" s="110" t="s">
        <v>606</v>
      </c>
      <c r="O213" s="108"/>
      <c r="P213" s="107">
        <v>21912</v>
      </c>
      <c r="Q213" s="107"/>
      <c r="R213" s="129"/>
      <c r="S213" s="130"/>
      <c r="T213" s="107">
        <v>15351</v>
      </c>
      <c r="U213" s="107">
        <v>6542</v>
      </c>
      <c r="V213" s="188" t="s">
        <v>704</v>
      </c>
      <c r="W213" s="172"/>
    </row>
    <row r="214" s="39" customFormat="1" ht="22" customHeight="1" spans="1:23">
      <c r="A214" s="142" t="s">
        <v>705</v>
      </c>
      <c r="B214" s="174" t="s">
        <v>30</v>
      </c>
      <c r="C214" s="175"/>
      <c r="D214" s="45" t="s">
        <v>31</v>
      </c>
      <c r="E214" s="73" t="s">
        <v>706</v>
      </c>
      <c r="F214" s="82">
        <f>IFERROR(VLOOKUP(E214,客户!B:C,2,FALSE),"/")</f>
        <v>0</v>
      </c>
      <c r="G214" s="73" t="s">
        <v>707</v>
      </c>
      <c r="H214" s="45" t="s">
        <v>186</v>
      </c>
      <c r="I214" s="45"/>
      <c r="J214" s="110">
        <v>43689</v>
      </c>
      <c r="K214" s="110">
        <v>43720</v>
      </c>
      <c r="L214" s="95"/>
      <c r="M214" s="203"/>
      <c r="N214" s="110"/>
      <c r="O214" s="108"/>
      <c r="P214" s="107"/>
      <c r="Q214" s="107" t="s">
        <v>708</v>
      </c>
      <c r="R214" s="129"/>
      <c r="S214" s="130"/>
      <c r="T214" s="107"/>
      <c r="U214" s="93"/>
      <c r="V214" s="128"/>
      <c r="W214" s="172"/>
    </row>
    <row r="215" s="39" customFormat="1" ht="22" customHeight="1" spans="1:23">
      <c r="A215" s="190" t="s">
        <v>709</v>
      </c>
      <c r="B215" s="174" t="s">
        <v>30</v>
      </c>
      <c r="C215" s="175"/>
      <c r="D215" s="45" t="s">
        <v>31</v>
      </c>
      <c r="E215" s="83" t="s">
        <v>710</v>
      </c>
      <c r="F215" s="82">
        <f>IFERROR(VLOOKUP(E215,客户!B:C,2,FALSE),"/")</f>
        <v>0</v>
      </c>
      <c r="G215" s="73" t="s">
        <v>485</v>
      </c>
      <c r="H215" s="45" t="s">
        <v>123</v>
      </c>
      <c r="I215" s="45" t="s">
        <v>711</v>
      </c>
      <c r="J215" s="110">
        <v>43698</v>
      </c>
      <c r="K215" s="110">
        <v>43726</v>
      </c>
      <c r="L215" s="196">
        <v>43752</v>
      </c>
      <c r="M215" s="110" t="s">
        <v>712</v>
      </c>
      <c r="N215" s="110" t="s">
        <v>713</v>
      </c>
      <c r="O215" s="108"/>
      <c r="P215" s="107">
        <v>21104</v>
      </c>
      <c r="Q215" s="107">
        <v>6330</v>
      </c>
      <c r="R215" s="129">
        <v>0</v>
      </c>
      <c r="S215" s="130"/>
      <c r="T215" s="107" t="s">
        <v>714</v>
      </c>
      <c r="U215" s="93">
        <v>43733</v>
      </c>
      <c r="V215" s="128"/>
      <c r="W215" s="172"/>
    </row>
    <row r="216" s="39" customFormat="1" ht="22" customHeight="1" spans="1:23">
      <c r="A216" s="190" t="s">
        <v>715</v>
      </c>
      <c r="B216" s="174" t="s">
        <v>30</v>
      </c>
      <c r="C216" s="175"/>
      <c r="D216" s="45" t="s">
        <v>31</v>
      </c>
      <c r="E216" s="73" t="s">
        <v>706</v>
      </c>
      <c r="F216" s="82">
        <f>IFERROR(VLOOKUP(E216,客户!B:C,2,FALSE),"/")</f>
        <v>0</v>
      </c>
      <c r="G216" s="73" t="s">
        <v>707</v>
      </c>
      <c r="H216" s="45" t="s">
        <v>186</v>
      </c>
      <c r="I216" s="45"/>
      <c r="J216" s="110">
        <v>43700</v>
      </c>
      <c r="K216" s="110">
        <v>43758</v>
      </c>
      <c r="L216" s="93"/>
      <c r="M216" s="204" t="s">
        <v>716</v>
      </c>
      <c r="N216" s="202" t="s">
        <v>717</v>
      </c>
      <c r="O216" s="108"/>
      <c r="P216" s="107"/>
      <c r="Q216" s="107" t="s">
        <v>708</v>
      </c>
      <c r="R216" s="129"/>
      <c r="S216" s="130"/>
      <c r="T216" s="107" t="s">
        <v>718</v>
      </c>
      <c r="U216" s="93">
        <v>43758</v>
      </c>
      <c r="V216" s="128"/>
      <c r="W216" s="172"/>
    </row>
    <row r="217" s="39" customFormat="1" ht="22" customHeight="1" spans="1:23">
      <c r="A217" s="190" t="s">
        <v>719</v>
      </c>
      <c r="B217" s="174" t="s">
        <v>30</v>
      </c>
      <c r="C217" s="175"/>
      <c r="D217" s="45" t="s">
        <v>31</v>
      </c>
      <c r="E217" s="73" t="s">
        <v>559</v>
      </c>
      <c r="F217" s="82">
        <f>IFERROR(VLOOKUP(E217,客户!B:C,2,FALSE),"/")</f>
        <v>0</v>
      </c>
      <c r="G217" s="73" t="s">
        <v>73</v>
      </c>
      <c r="H217" s="45" t="s">
        <v>123</v>
      </c>
      <c r="I217" s="45" t="s">
        <v>205</v>
      </c>
      <c r="J217" s="110">
        <v>43703</v>
      </c>
      <c r="K217" s="197">
        <v>43756</v>
      </c>
      <c r="L217" s="93">
        <v>43791</v>
      </c>
      <c r="M217" s="179" t="s">
        <v>720</v>
      </c>
      <c r="N217" s="110" t="s">
        <v>721</v>
      </c>
      <c r="O217" s="108" t="s">
        <v>680</v>
      </c>
      <c r="P217" s="107">
        <v>30344</v>
      </c>
      <c r="Q217" s="107">
        <v>0</v>
      </c>
      <c r="R217" s="129"/>
      <c r="S217" s="130"/>
      <c r="T217" s="107">
        <v>29969.25</v>
      </c>
      <c r="U217" s="93">
        <v>43794</v>
      </c>
      <c r="V217" s="128"/>
      <c r="W217" s="172"/>
    </row>
    <row r="218" s="39" customFormat="1" ht="22" customHeight="1" spans="1:23">
      <c r="A218" s="142" t="s">
        <v>722</v>
      </c>
      <c r="B218" s="174" t="s">
        <v>30</v>
      </c>
      <c r="C218" s="175"/>
      <c r="D218" s="45" t="s">
        <v>31</v>
      </c>
      <c r="E218" s="73" t="s">
        <v>559</v>
      </c>
      <c r="F218" s="82">
        <f>IFERROR(VLOOKUP(E218,客户!B:C,2,FALSE),"/")</f>
        <v>0</v>
      </c>
      <c r="G218" s="73" t="s">
        <v>73</v>
      </c>
      <c r="H218" s="45" t="s">
        <v>123</v>
      </c>
      <c r="I218" s="45" t="s">
        <v>723</v>
      </c>
      <c r="J218" s="110">
        <v>43714</v>
      </c>
      <c r="K218" s="110">
        <v>43764</v>
      </c>
      <c r="L218" s="93">
        <v>43809</v>
      </c>
      <c r="M218" s="146" t="s">
        <v>724</v>
      </c>
      <c r="N218" s="110" t="s">
        <v>725</v>
      </c>
      <c r="O218" s="108" t="s">
        <v>680</v>
      </c>
      <c r="P218" s="107">
        <v>37153.2</v>
      </c>
      <c r="Q218" s="107"/>
      <c r="R218" s="129"/>
      <c r="S218" s="130"/>
      <c r="T218" s="107">
        <v>37138.2</v>
      </c>
      <c r="U218" s="93">
        <v>43808</v>
      </c>
      <c r="V218" s="128"/>
      <c r="W218" s="172"/>
    </row>
    <row r="219" s="39" customFormat="1" ht="22" customHeight="1" spans="1:23">
      <c r="A219" s="142" t="s">
        <v>726</v>
      </c>
      <c r="B219" s="174" t="s">
        <v>30</v>
      </c>
      <c r="C219" s="175"/>
      <c r="D219" s="45" t="s">
        <v>31</v>
      </c>
      <c r="E219" s="73" t="s">
        <v>669</v>
      </c>
      <c r="F219" s="82">
        <f>IFERROR(VLOOKUP(E219,客户!B:C,2,FALSE),"/")</f>
        <v>0</v>
      </c>
      <c r="G219" s="73" t="s">
        <v>73</v>
      </c>
      <c r="H219" s="45" t="s">
        <v>123</v>
      </c>
      <c r="I219" s="45" t="s">
        <v>723</v>
      </c>
      <c r="J219" s="110">
        <v>43714</v>
      </c>
      <c r="K219" s="110">
        <v>43773</v>
      </c>
      <c r="L219" s="93">
        <v>43815</v>
      </c>
      <c r="M219" s="146" t="s">
        <v>727</v>
      </c>
      <c r="N219" s="110" t="s">
        <v>725</v>
      </c>
      <c r="O219" s="108" t="s">
        <v>680</v>
      </c>
      <c r="P219" s="107">
        <v>37166.8</v>
      </c>
      <c r="Q219" s="107"/>
      <c r="R219" s="129"/>
      <c r="S219" s="130"/>
      <c r="T219" s="107">
        <v>37151.8</v>
      </c>
      <c r="U219" s="93">
        <v>43808</v>
      </c>
      <c r="V219" s="128"/>
      <c r="W219" s="172"/>
    </row>
    <row r="220" s="39" customFormat="1" ht="22" customHeight="1" spans="1:23">
      <c r="A220" s="142" t="s">
        <v>728</v>
      </c>
      <c r="B220" s="174" t="s">
        <v>30</v>
      </c>
      <c r="C220" s="175"/>
      <c r="D220" s="45" t="s">
        <v>31</v>
      </c>
      <c r="E220" s="73" t="s">
        <v>554</v>
      </c>
      <c r="F220" s="82">
        <f>IFERROR(VLOOKUP(E220,客户!B:C,2,FALSE),"/")</f>
        <v>0</v>
      </c>
      <c r="G220" s="73" t="s">
        <v>43</v>
      </c>
      <c r="H220" s="45" t="s">
        <v>147</v>
      </c>
      <c r="I220" s="45" t="s">
        <v>555</v>
      </c>
      <c r="J220" s="110">
        <v>43705</v>
      </c>
      <c r="K220" s="110">
        <v>43740</v>
      </c>
      <c r="L220" s="93">
        <v>43757</v>
      </c>
      <c r="M220" s="146" t="s">
        <v>729</v>
      </c>
      <c r="N220" s="110" t="s">
        <v>730</v>
      </c>
      <c r="O220" s="108"/>
      <c r="P220" s="205">
        <v>21873.2</v>
      </c>
      <c r="Q220" s="107">
        <v>6561</v>
      </c>
      <c r="R220" s="129"/>
      <c r="S220" s="130"/>
      <c r="T220" s="107">
        <v>15276.24</v>
      </c>
      <c r="U220" s="93">
        <v>43753</v>
      </c>
      <c r="V220" s="128"/>
      <c r="W220" s="172"/>
    </row>
    <row r="221" s="42" customFormat="1" ht="22" customHeight="1" spans="1:23">
      <c r="A221" s="142" t="s">
        <v>731</v>
      </c>
      <c r="B221" s="71" t="s">
        <v>30</v>
      </c>
      <c r="C221" s="72"/>
      <c r="D221" s="45" t="s">
        <v>31</v>
      </c>
      <c r="E221" s="73" t="s">
        <v>732</v>
      </c>
      <c r="F221" s="82" t="str">
        <f>IFERROR(VLOOKUP(E221,客户!B:C,2,FALSE),"/")</f>
        <v>/</v>
      </c>
      <c r="G221" s="73" t="s">
        <v>733</v>
      </c>
      <c r="H221" s="45" t="s">
        <v>186</v>
      </c>
      <c r="I221" s="45"/>
      <c r="J221" s="146">
        <v>43715</v>
      </c>
      <c r="K221" s="146"/>
      <c r="L221" s="93"/>
      <c r="M221" s="146"/>
      <c r="N221" s="146"/>
      <c r="O221" s="108"/>
      <c r="P221" s="107"/>
      <c r="Q221" s="107"/>
      <c r="R221" s="129"/>
      <c r="S221" s="130"/>
      <c r="T221" s="107"/>
      <c r="U221" s="93"/>
      <c r="V221" s="126"/>
      <c r="W221" s="172"/>
    </row>
    <row r="222" s="39" customFormat="1" ht="22" customHeight="1" spans="1:23">
      <c r="A222" s="142" t="s">
        <v>734</v>
      </c>
      <c r="B222" s="71" t="s">
        <v>30</v>
      </c>
      <c r="C222" s="72"/>
      <c r="D222" s="45" t="s">
        <v>31</v>
      </c>
      <c r="E222" s="73" t="s">
        <v>735</v>
      </c>
      <c r="F222" s="82">
        <f>IFERROR(VLOOKUP(E222,客户!B:C,2,FALSE),"/")</f>
        <v>0</v>
      </c>
      <c r="G222" s="73" t="s">
        <v>43</v>
      </c>
      <c r="H222" s="45" t="s">
        <v>123</v>
      </c>
      <c r="I222" s="45"/>
      <c r="J222" s="110">
        <v>43717</v>
      </c>
      <c r="K222" s="110">
        <v>43773</v>
      </c>
      <c r="L222" s="93"/>
      <c r="M222" s="165" t="s">
        <v>736</v>
      </c>
      <c r="N222" s="202" t="s">
        <v>737</v>
      </c>
      <c r="O222" s="108"/>
      <c r="P222" s="107">
        <v>16172.5</v>
      </c>
      <c r="Q222" s="107">
        <v>0</v>
      </c>
      <c r="R222" s="129"/>
      <c r="S222" s="130"/>
      <c r="T222" s="107">
        <v>16159.56</v>
      </c>
      <c r="U222" s="93">
        <v>43760</v>
      </c>
      <c r="V222" s="128"/>
      <c r="W222" s="172"/>
    </row>
    <row r="223" s="39" customFormat="1" ht="22" customHeight="1" spans="1:23">
      <c r="A223" s="190" t="s">
        <v>738</v>
      </c>
      <c r="B223" s="71" t="s">
        <v>30</v>
      </c>
      <c r="C223" s="72"/>
      <c r="D223" s="45" t="s">
        <v>31</v>
      </c>
      <c r="E223" s="73" t="s">
        <v>428</v>
      </c>
      <c r="F223" s="82">
        <f>IFERROR(VLOOKUP(E223,客户!B:C,2,FALSE),"/")</f>
        <v>0</v>
      </c>
      <c r="G223" s="73" t="s">
        <v>739</v>
      </c>
      <c r="H223" s="45" t="s">
        <v>127</v>
      </c>
      <c r="I223" s="198" t="s">
        <v>215</v>
      </c>
      <c r="J223" s="110">
        <v>43719</v>
      </c>
      <c r="K223" s="110">
        <v>43770</v>
      </c>
      <c r="L223" s="93">
        <v>43792</v>
      </c>
      <c r="M223" s="146" t="s">
        <v>740</v>
      </c>
      <c r="N223" s="197" t="s">
        <v>741</v>
      </c>
      <c r="O223" s="108" t="s">
        <v>523</v>
      </c>
      <c r="P223" s="107">
        <v>140299.6</v>
      </c>
      <c r="Q223" s="212" t="s">
        <v>742</v>
      </c>
      <c r="R223" s="129"/>
      <c r="S223" s="130"/>
      <c r="T223" s="107">
        <v>90268</v>
      </c>
      <c r="U223" s="93">
        <v>43794</v>
      </c>
      <c r="V223" s="128"/>
      <c r="W223" s="172"/>
    </row>
    <row r="224" s="39" customFormat="1" ht="22" customHeight="1" spans="1:23">
      <c r="A224" s="191" t="s">
        <v>743</v>
      </c>
      <c r="B224" s="71" t="s">
        <v>30</v>
      </c>
      <c r="C224" s="72"/>
      <c r="D224" s="192" t="s">
        <v>31</v>
      </c>
      <c r="E224" s="194" t="s">
        <v>744</v>
      </c>
      <c r="F224" s="82">
        <f>IFERROR(VLOOKUP(E224,客户!B:C,2,FALSE),"/")</f>
        <v>0</v>
      </c>
      <c r="G224" s="195" t="s">
        <v>745</v>
      </c>
      <c r="H224" s="192" t="s">
        <v>123</v>
      </c>
      <c r="I224" s="192" t="s">
        <v>746</v>
      </c>
      <c r="J224" s="108">
        <v>43712</v>
      </c>
      <c r="K224" s="108">
        <v>43752</v>
      </c>
      <c r="L224" s="199">
        <v>43798</v>
      </c>
      <c r="M224" s="206" t="s">
        <v>747</v>
      </c>
      <c r="N224" s="108" t="s">
        <v>748</v>
      </c>
      <c r="O224" s="108"/>
      <c r="P224" s="207">
        <v>18907.95</v>
      </c>
      <c r="Q224" s="207">
        <v>5819</v>
      </c>
      <c r="R224" s="129"/>
      <c r="S224" s="130"/>
      <c r="T224" s="207">
        <v>13028.95</v>
      </c>
      <c r="U224" s="199">
        <v>43775</v>
      </c>
      <c r="V224" s="216"/>
      <c r="W224" s="217"/>
    </row>
    <row r="225" s="39" customFormat="1" ht="22" customHeight="1" spans="1:23">
      <c r="A225" s="191" t="s">
        <v>749</v>
      </c>
      <c r="B225" s="71" t="s">
        <v>30</v>
      </c>
      <c r="C225" s="72"/>
      <c r="D225" s="192" t="s">
        <v>31</v>
      </c>
      <c r="E225" s="73" t="s">
        <v>446</v>
      </c>
      <c r="F225" s="82">
        <f>IFERROR(VLOOKUP(E225,客户!B:C,2,FALSE),"/")</f>
        <v>0</v>
      </c>
      <c r="G225" s="195" t="s">
        <v>750</v>
      </c>
      <c r="H225" s="192" t="s">
        <v>123</v>
      </c>
      <c r="I225" s="192" t="s">
        <v>751</v>
      </c>
      <c r="J225" s="108">
        <v>43724</v>
      </c>
      <c r="K225" s="108"/>
      <c r="L225" s="199"/>
      <c r="M225" s="208" t="s">
        <v>752</v>
      </c>
      <c r="N225" s="108"/>
      <c r="O225" s="108" t="s">
        <v>523</v>
      </c>
      <c r="P225" s="207"/>
      <c r="Q225" s="207"/>
      <c r="R225" s="129"/>
      <c r="S225" s="130"/>
      <c r="T225" s="207"/>
      <c r="U225" s="199"/>
      <c r="V225" s="216"/>
      <c r="W225" s="217"/>
    </row>
    <row r="226" s="39" customFormat="1" ht="22" customHeight="1" spans="1:23">
      <c r="A226" s="190" t="s">
        <v>753</v>
      </c>
      <c r="B226" s="174" t="s">
        <v>30</v>
      </c>
      <c r="C226" s="175"/>
      <c r="D226" s="45" t="s">
        <v>31</v>
      </c>
      <c r="E226" s="73" t="s">
        <v>296</v>
      </c>
      <c r="F226" s="82">
        <f>IFERROR(VLOOKUP(E226,客户!B:C,2,FALSE),"/")</f>
        <v>0</v>
      </c>
      <c r="G226" s="73" t="s">
        <v>754</v>
      </c>
      <c r="H226" s="45" t="s">
        <v>123</v>
      </c>
      <c r="I226" s="45" t="s">
        <v>755</v>
      </c>
      <c r="J226" s="110">
        <v>43733</v>
      </c>
      <c r="K226" s="110">
        <v>43785</v>
      </c>
      <c r="L226" s="93">
        <v>43816</v>
      </c>
      <c r="M226" s="165" t="s">
        <v>756</v>
      </c>
      <c r="N226" s="202" t="s">
        <v>757</v>
      </c>
      <c r="O226" s="108" t="s">
        <v>523</v>
      </c>
      <c r="P226" s="107">
        <v>18438.6</v>
      </c>
      <c r="Q226" s="107">
        <v>5681.94</v>
      </c>
      <c r="R226" s="129"/>
      <c r="S226" s="130"/>
      <c r="T226" s="107">
        <v>12746.66</v>
      </c>
      <c r="U226" s="93">
        <v>43805</v>
      </c>
      <c r="V226" s="128"/>
      <c r="W226" s="172"/>
    </row>
    <row r="227" s="39" customFormat="1" ht="22" customHeight="1" spans="1:23">
      <c r="A227" s="142" t="s">
        <v>758</v>
      </c>
      <c r="B227" s="174" t="s">
        <v>30</v>
      </c>
      <c r="C227" s="175"/>
      <c r="D227" s="45" t="s">
        <v>31</v>
      </c>
      <c r="E227" s="73" t="s">
        <v>450</v>
      </c>
      <c r="F227" s="82">
        <f>IFERROR(VLOOKUP(E227,客户!B:C,2,FALSE),"/")</f>
        <v>0</v>
      </c>
      <c r="G227" s="85" t="s">
        <v>759</v>
      </c>
      <c r="H227" s="45" t="s">
        <v>123</v>
      </c>
      <c r="I227" s="45" t="s">
        <v>760</v>
      </c>
      <c r="J227" s="110">
        <v>43734</v>
      </c>
      <c r="K227" s="110">
        <v>43767</v>
      </c>
      <c r="L227" s="93">
        <v>43803</v>
      </c>
      <c r="M227" s="165" t="s">
        <v>761</v>
      </c>
      <c r="N227" s="110" t="s">
        <v>762</v>
      </c>
      <c r="O227" s="108" t="s">
        <v>523</v>
      </c>
      <c r="P227" s="107">
        <v>20908</v>
      </c>
      <c r="Q227" s="107"/>
      <c r="R227" s="129"/>
      <c r="S227" s="130"/>
      <c r="T227" s="107">
        <f>15035.75+41350/7.0416</f>
        <v>20907.9949443308</v>
      </c>
      <c r="U227" s="107"/>
      <c r="V227" s="188" t="s">
        <v>763</v>
      </c>
      <c r="W227" s="172"/>
    </row>
    <row r="228" s="39" customFormat="1" ht="22" customHeight="1" spans="1:23">
      <c r="A228" s="142" t="s">
        <v>764</v>
      </c>
      <c r="B228" s="174" t="s">
        <v>30</v>
      </c>
      <c r="C228" s="175"/>
      <c r="D228" s="45" t="s">
        <v>31</v>
      </c>
      <c r="E228" s="73" t="s">
        <v>446</v>
      </c>
      <c r="F228" s="82">
        <f>IFERROR(VLOOKUP(E228,客户!B:C,2,FALSE),"/")</f>
        <v>0</v>
      </c>
      <c r="G228" s="85" t="s">
        <v>222</v>
      </c>
      <c r="H228" s="45" t="s">
        <v>123</v>
      </c>
      <c r="I228" s="45" t="s">
        <v>238</v>
      </c>
      <c r="J228" s="110">
        <v>43735</v>
      </c>
      <c r="K228" s="110">
        <v>43808</v>
      </c>
      <c r="L228" s="93">
        <v>43843</v>
      </c>
      <c r="M228" s="179" t="s">
        <v>765</v>
      </c>
      <c r="N228" s="110" t="s">
        <v>766</v>
      </c>
      <c r="O228" s="108" t="s">
        <v>523</v>
      </c>
      <c r="P228" s="107">
        <v>21802.88</v>
      </c>
      <c r="Q228" s="107">
        <v>4306</v>
      </c>
      <c r="R228" s="129"/>
      <c r="S228" s="130"/>
      <c r="T228" s="107">
        <v>17458.82</v>
      </c>
      <c r="U228" s="93">
        <v>43836</v>
      </c>
      <c r="V228" s="128"/>
      <c r="W228" s="172"/>
    </row>
    <row r="229" s="39" customFormat="1" ht="22" customHeight="1" spans="1:23">
      <c r="A229" s="142" t="s">
        <v>767</v>
      </c>
      <c r="B229" s="174" t="s">
        <v>30</v>
      </c>
      <c r="C229" s="175"/>
      <c r="D229" s="45" t="s">
        <v>31</v>
      </c>
      <c r="E229" s="83" t="s">
        <v>768</v>
      </c>
      <c r="F229" s="82">
        <f>IFERROR(VLOOKUP(E229,客户!B:C,2,FALSE),"/")</f>
        <v>0</v>
      </c>
      <c r="G229" s="85" t="s">
        <v>769</v>
      </c>
      <c r="H229" s="45" t="s">
        <v>123</v>
      </c>
      <c r="I229" s="45" t="s">
        <v>770</v>
      </c>
      <c r="J229" s="110">
        <v>43754</v>
      </c>
      <c r="K229" s="110">
        <v>43808</v>
      </c>
      <c r="L229" s="93">
        <v>43834</v>
      </c>
      <c r="M229" s="146" t="s">
        <v>771</v>
      </c>
      <c r="N229" s="110" t="s">
        <v>772</v>
      </c>
      <c r="O229" s="108" t="s">
        <v>523</v>
      </c>
      <c r="P229" s="107">
        <v>20247</v>
      </c>
      <c r="Q229" s="107">
        <v>5593</v>
      </c>
      <c r="R229" s="129"/>
      <c r="S229" s="130"/>
      <c r="T229" s="107">
        <v>14639</v>
      </c>
      <c r="U229" s="93">
        <v>43826</v>
      </c>
      <c r="V229" s="128"/>
      <c r="W229" s="172"/>
    </row>
    <row r="230" s="39" customFormat="1" ht="22" customHeight="1" spans="1:23">
      <c r="A230" s="142" t="s">
        <v>773</v>
      </c>
      <c r="B230" s="174" t="s">
        <v>30</v>
      </c>
      <c r="C230" s="175"/>
      <c r="D230" s="45" t="s">
        <v>31</v>
      </c>
      <c r="E230" s="73" t="s">
        <v>559</v>
      </c>
      <c r="F230" s="82">
        <f>IFERROR(VLOOKUP(E230,客户!B:C,2,FALSE),"/")</f>
        <v>0</v>
      </c>
      <c r="G230" s="85" t="s">
        <v>234</v>
      </c>
      <c r="H230" s="45" t="s">
        <v>123</v>
      </c>
      <c r="I230" s="45" t="s">
        <v>774</v>
      </c>
      <c r="J230" s="110">
        <v>43756</v>
      </c>
      <c r="K230" s="110">
        <v>43832</v>
      </c>
      <c r="L230" s="93">
        <v>43863</v>
      </c>
      <c r="M230" s="146" t="s">
        <v>775</v>
      </c>
      <c r="N230" s="110" t="s">
        <v>776</v>
      </c>
      <c r="O230" s="108" t="s">
        <v>680</v>
      </c>
      <c r="P230" s="107">
        <v>56383.15</v>
      </c>
      <c r="Q230" s="107"/>
      <c r="R230" s="129"/>
      <c r="S230" s="130"/>
      <c r="T230" s="107">
        <v>56131.97</v>
      </c>
      <c r="U230" s="93">
        <v>43872</v>
      </c>
      <c r="V230" s="128"/>
      <c r="W230" s="172"/>
    </row>
    <row r="231" s="39" customFormat="1" ht="22" customHeight="1" spans="1:23">
      <c r="A231" s="142" t="s">
        <v>777</v>
      </c>
      <c r="B231" s="174" t="s">
        <v>30</v>
      </c>
      <c r="C231" s="175"/>
      <c r="D231" s="45" t="s">
        <v>31</v>
      </c>
      <c r="E231" s="73" t="s">
        <v>559</v>
      </c>
      <c r="F231" s="82">
        <f>IFERROR(VLOOKUP(E231,客户!B:C,2,FALSE),"/")</f>
        <v>0</v>
      </c>
      <c r="G231" s="85" t="s">
        <v>73</v>
      </c>
      <c r="H231" s="45" t="s">
        <v>123</v>
      </c>
      <c r="I231" s="45" t="s">
        <v>723</v>
      </c>
      <c r="J231" s="110">
        <v>43756</v>
      </c>
      <c r="K231" s="110">
        <v>43780</v>
      </c>
      <c r="L231" s="93">
        <v>43819</v>
      </c>
      <c r="M231" s="146" t="s">
        <v>778</v>
      </c>
      <c r="N231" s="110" t="s">
        <v>779</v>
      </c>
      <c r="O231" s="108" t="s">
        <v>680</v>
      </c>
      <c r="P231" s="107">
        <v>36878</v>
      </c>
      <c r="Q231" s="107"/>
      <c r="R231" s="129"/>
      <c r="S231" s="130"/>
      <c r="T231" s="107">
        <v>36592</v>
      </c>
      <c r="U231" s="93">
        <v>43824</v>
      </c>
      <c r="V231" s="128"/>
      <c r="W231" s="172"/>
    </row>
    <row r="232" s="39" customFormat="1" ht="22" customHeight="1" spans="1:23">
      <c r="A232" s="142" t="s">
        <v>780</v>
      </c>
      <c r="B232" s="174" t="s">
        <v>30</v>
      </c>
      <c r="C232" s="175"/>
      <c r="D232" s="45" t="s">
        <v>31</v>
      </c>
      <c r="E232" s="73" t="s">
        <v>559</v>
      </c>
      <c r="F232" s="82">
        <f>IFERROR(VLOOKUP(E232,客户!B:C,2,FALSE),"/")</f>
        <v>0</v>
      </c>
      <c r="G232" s="85" t="s">
        <v>93</v>
      </c>
      <c r="H232" s="45" t="s">
        <v>123</v>
      </c>
      <c r="I232" s="45" t="s">
        <v>774</v>
      </c>
      <c r="J232" s="110">
        <v>43756</v>
      </c>
      <c r="K232" s="110">
        <v>43789</v>
      </c>
      <c r="L232" s="93">
        <v>43825</v>
      </c>
      <c r="M232" s="146" t="s">
        <v>781</v>
      </c>
      <c r="N232" s="110" t="s">
        <v>782</v>
      </c>
      <c r="O232" s="108" t="s">
        <v>680</v>
      </c>
      <c r="P232" s="107">
        <v>18659.81</v>
      </c>
      <c r="Q232" s="107"/>
      <c r="R232" s="129"/>
      <c r="S232" s="130"/>
      <c r="T232" s="107">
        <v>18231.16</v>
      </c>
      <c r="U232" s="93">
        <v>43822</v>
      </c>
      <c r="V232" s="128"/>
      <c r="W232" s="172"/>
    </row>
    <row r="233" s="39" customFormat="1" ht="22" customHeight="1" spans="1:23">
      <c r="A233" s="142" t="s">
        <v>783</v>
      </c>
      <c r="B233" s="174" t="s">
        <v>30</v>
      </c>
      <c r="C233" s="175"/>
      <c r="D233" s="45" t="s">
        <v>31</v>
      </c>
      <c r="E233" s="73" t="s">
        <v>559</v>
      </c>
      <c r="F233" s="82">
        <f>IFERROR(VLOOKUP(E233,客户!B:C,2,FALSE),"/")</f>
        <v>0</v>
      </c>
      <c r="G233" s="85" t="s">
        <v>73</v>
      </c>
      <c r="H233" s="45" t="s">
        <v>123</v>
      </c>
      <c r="I233" s="45" t="s">
        <v>774</v>
      </c>
      <c r="J233" s="110">
        <v>43756</v>
      </c>
      <c r="K233" s="110">
        <v>43793</v>
      </c>
      <c r="L233" s="93">
        <v>43827</v>
      </c>
      <c r="M233" s="146" t="s">
        <v>784</v>
      </c>
      <c r="N233" s="110" t="s">
        <v>785</v>
      </c>
      <c r="O233" s="108" t="s">
        <v>680</v>
      </c>
      <c r="P233" s="107">
        <v>36470.48</v>
      </c>
      <c r="Q233" s="107"/>
      <c r="R233" s="129"/>
      <c r="S233" s="130"/>
      <c r="T233" s="107">
        <v>36362</v>
      </c>
      <c r="U233" s="93">
        <v>43825</v>
      </c>
      <c r="V233" s="128"/>
      <c r="W233" s="172"/>
    </row>
    <row r="234" s="39" customFormat="1" ht="22" customHeight="1" spans="1:23">
      <c r="A234" s="142" t="s">
        <v>786</v>
      </c>
      <c r="B234" s="174" t="s">
        <v>30</v>
      </c>
      <c r="C234" s="175"/>
      <c r="D234" s="45" t="s">
        <v>31</v>
      </c>
      <c r="E234" s="73" t="s">
        <v>559</v>
      </c>
      <c r="F234" s="82">
        <f>IFERROR(VLOOKUP(E234,客户!B:C,2,FALSE),"/")</f>
        <v>0</v>
      </c>
      <c r="G234" s="85" t="s">
        <v>93</v>
      </c>
      <c r="H234" s="45" t="s">
        <v>123</v>
      </c>
      <c r="I234" s="45" t="s">
        <v>774</v>
      </c>
      <c r="J234" s="110">
        <v>43756</v>
      </c>
      <c r="K234" s="110">
        <v>43801</v>
      </c>
      <c r="L234" s="93">
        <v>43836</v>
      </c>
      <c r="M234" s="146" t="s">
        <v>787</v>
      </c>
      <c r="N234" s="110" t="s">
        <v>585</v>
      </c>
      <c r="O234" s="108" t="s">
        <v>680</v>
      </c>
      <c r="P234" s="107">
        <v>18507.7</v>
      </c>
      <c r="Q234" s="107"/>
      <c r="R234" s="129"/>
      <c r="S234" s="130"/>
      <c r="T234" s="107">
        <v>18079.07</v>
      </c>
      <c r="U234" s="93">
        <v>43838</v>
      </c>
      <c r="V234" s="128"/>
      <c r="W234" s="172"/>
    </row>
    <row r="235" s="39" customFormat="1" ht="22" customHeight="1" spans="1:23">
      <c r="A235" s="142" t="s">
        <v>788</v>
      </c>
      <c r="B235" s="174" t="s">
        <v>30</v>
      </c>
      <c r="C235" s="175"/>
      <c r="D235" s="45" t="s">
        <v>31</v>
      </c>
      <c r="E235" s="73" t="s">
        <v>559</v>
      </c>
      <c r="F235" s="82">
        <f>IFERROR(VLOOKUP(E235,客户!B:C,2,FALSE),"/")</f>
        <v>0</v>
      </c>
      <c r="G235" s="85" t="s">
        <v>234</v>
      </c>
      <c r="H235" s="45" t="s">
        <v>123</v>
      </c>
      <c r="I235" s="45" t="s">
        <v>774</v>
      </c>
      <c r="J235" s="110">
        <v>43756</v>
      </c>
      <c r="K235" s="110">
        <v>43815</v>
      </c>
      <c r="L235" s="93">
        <v>43847</v>
      </c>
      <c r="M235" s="146" t="s">
        <v>789</v>
      </c>
      <c r="N235" s="110" t="s">
        <v>790</v>
      </c>
      <c r="O235" s="108" t="s">
        <v>680</v>
      </c>
      <c r="P235" s="107">
        <v>55831.05</v>
      </c>
      <c r="Q235" s="107"/>
      <c r="R235" s="129"/>
      <c r="S235" s="130"/>
      <c r="T235" s="107">
        <v>55585.35</v>
      </c>
      <c r="U235" s="93">
        <v>43871</v>
      </c>
      <c r="V235" s="128"/>
      <c r="W235" s="172"/>
    </row>
    <row r="236" s="39" customFormat="1" ht="22" customHeight="1" spans="1:23">
      <c r="A236" s="142" t="s">
        <v>791</v>
      </c>
      <c r="B236" s="174" t="s">
        <v>30</v>
      </c>
      <c r="C236" s="175"/>
      <c r="D236" s="45" t="s">
        <v>31</v>
      </c>
      <c r="E236" s="73" t="s">
        <v>559</v>
      </c>
      <c r="F236" s="82">
        <f>IFERROR(VLOOKUP(E236,客户!B:C,2,FALSE),"/")</f>
        <v>0</v>
      </c>
      <c r="G236" s="85" t="s">
        <v>93</v>
      </c>
      <c r="H236" s="45" t="s">
        <v>123</v>
      </c>
      <c r="I236" s="45" t="s">
        <v>774</v>
      </c>
      <c r="J236" s="110">
        <v>43756</v>
      </c>
      <c r="K236" s="110">
        <v>43820</v>
      </c>
      <c r="L236" s="93">
        <v>43859</v>
      </c>
      <c r="M236" s="146" t="s">
        <v>792</v>
      </c>
      <c r="N236" s="110" t="s">
        <v>790</v>
      </c>
      <c r="O236" s="108" t="s">
        <v>680</v>
      </c>
      <c r="P236" s="107">
        <v>17826.48</v>
      </c>
      <c r="Q236" s="107"/>
      <c r="R236" s="129"/>
      <c r="S236" s="130"/>
      <c r="T236" s="107">
        <v>17648.32</v>
      </c>
      <c r="U236" s="93">
        <v>43871</v>
      </c>
      <c r="V236" s="128"/>
      <c r="W236" s="172"/>
    </row>
    <row r="237" s="39" customFormat="1" ht="22" customHeight="1" spans="1:23">
      <c r="A237" s="142" t="s">
        <v>793</v>
      </c>
      <c r="B237" s="174" t="s">
        <v>30</v>
      </c>
      <c r="C237" s="175"/>
      <c r="D237" s="45" t="s">
        <v>31</v>
      </c>
      <c r="E237" s="73" t="s">
        <v>559</v>
      </c>
      <c r="F237" s="82">
        <f>IFERROR(VLOOKUP(E237,客户!B:C,2,FALSE),"/")</f>
        <v>0</v>
      </c>
      <c r="G237" s="85" t="s">
        <v>234</v>
      </c>
      <c r="H237" s="45" t="s">
        <v>123</v>
      </c>
      <c r="I237" s="45" t="s">
        <v>723</v>
      </c>
      <c r="J237" s="110">
        <v>43756</v>
      </c>
      <c r="K237" s="110">
        <v>43836</v>
      </c>
      <c r="L237" s="93">
        <v>43868</v>
      </c>
      <c r="M237" s="165" t="s">
        <v>794</v>
      </c>
      <c r="N237" s="110" t="s">
        <v>795</v>
      </c>
      <c r="O237" s="108" t="s">
        <v>680</v>
      </c>
      <c r="P237" s="107">
        <v>56237.98</v>
      </c>
      <c r="Q237" s="107"/>
      <c r="R237" s="129"/>
      <c r="S237" s="130"/>
      <c r="T237" s="107">
        <v>55987.05</v>
      </c>
      <c r="U237" s="93">
        <v>43871</v>
      </c>
      <c r="V237" s="128"/>
      <c r="W237" s="172"/>
    </row>
    <row r="238" s="39" customFormat="1" ht="22" customHeight="1" spans="1:23">
      <c r="A238" s="142" t="s">
        <v>796</v>
      </c>
      <c r="B238" s="174" t="s">
        <v>30</v>
      </c>
      <c r="C238" s="175"/>
      <c r="D238" s="45" t="s">
        <v>31</v>
      </c>
      <c r="E238" s="73" t="s">
        <v>559</v>
      </c>
      <c r="F238" s="82">
        <f>IFERROR(VLOOKUP(E238,客户!B:C,2,FALSE),"/")</f>
        <v>0</v>
      </c>
      <c r="G238" s="85" t="s">
        <v>73</v>
      </c>
      <c r="H238" s="45" t="s">
        <v>123</v>
      </c>
      <c r="I238" s="45" t="s">
        <v>723</v>
      </c>
      <c r="J238" s="110">
        <v>43756</v>
      </c>
      <c r="K238" s="110">
        <v>43785</v>
      </c>
      <c r="L238" s="93">
        <v>43828</v>
      </c>
      <c r="M238" s="146" t="s">
        <v>797</v>
      </c>
      <c r="N238" s="110" t="s">
        <v>782</v>
      </c>
      <c r="O238" s="108" t="s">
        <v>680</v>
      </c>
      <c r="P238" s="107">
        <v>37319.62</v>
      </c>
      <c r="Q238" s="107"/>
      <c r="R238" s="129"/>
      <c r="S238" s="130"/>
      <c r="T238" s="107">
        <v>37139</v>
      </c>
      <c r="U238" s="93">
        <v>43826</v>
      </c>
      <c r="V238" s="128"/>
      <c r="W238" s="172"/>
    </row>
    <row r="239" s="39" customFormat="1" ht="22" customHeight="1" spans="1:23">
      <c r="A239" s="142" t="s">
        <v>798</v>
      </c>
      <c r="B239" s="174" t="s">
        <v>30</v>
      </c>
      <c r="C239" s="175"/>
      <c r="D239" s="45" t="s">
        <v>31</v>
      </c>
      <c r="E239" s="84" t="s">
        <v>799</v>
      </c>
      <c r="F239" s="82">
        <f>IFERROR(VLOOKUP(E239,客户!B:C,2,FALSE),"/")</f>
        <v>0</v>
      </c>
      <c r="G239" s="85" t="s">
        <v>93</v>
      </c>
      <c r="H239" s="45" t="s">
        <v>123</v>
      </c>
      <c r="I239" s="45" t="s">
        <v>723</v>
      </c>
      <c r="J239" s="110">
        <v>43756</v>
      </c>
      <c r="K239" s="110">
        <v>43801</v>
      </c>
      <c r="L239" s="93">
        <v>43839</v>
      </c>
      <c r="M239" s="146" t="s">
        <v>800</v>
      </c>
      <c r="N239" s="110" t="s">
        <v>585</v>
      </c>
      <c r="O239" s="108" t="s">
        <v>680</v>
      </c>
      <c r="P239" s="107">
        <v>18507.7</v>
      </c>
      <c r="Q239" s="107"/>
      <c r="R239" s="129"/>
      <c r="S239" s="130"/>
      <c r="T239" s="107">
        <v>18079</v>
      </c>
      <c r="U239" s="93">
        <v>43837</v>
      </c>
      <c r="V239" s="128"/>
      <c r="W239" s="172"/>
    </row>
    <row r="240" s="39" customFormat="1" ht="22" customHeight="1" spans="1:23">
      <c r="A240" s="142" t="s">
        <v>801</v>
      </c>
      <c r="B240" s="174" t="s">
        <v>30</v>
      </c>
      <c r="C240" s="175"/>
      <c r="D240" s="45" t="s">
        <v>31</v>
      </c>
      <c r="E240" s="73" t="s">
        <v>559</v>
      </c>
      <c r="F240" s="82">
        <f>IFERROR(VLOOKUP(E240,客户!B:C,2,FALSE),"/")</f>
        <v>0</v>
      </c>
      <c r="G240" s="85" t="s">
        <v>234</v>
      </c>
      <c r="H240" s="45" t="s">
        <v>123</v>
      </c>
      <c r="I240" s="45" t="s">
        <v>723</v>
      </c>
      <c r="J240" s="110">
        <v>43756</v>
      </c>
      <c r="K240" s="110">
        <v>43816</v>
      </c>
      <c r="L240" s="93">
        <v>43851</v>
      </c>
      <c r="M240" s="146" t="s">
        <v>802</v>
      </c>
      <c r="N240" s="110" t="s">
        <v>790</v>
      </c>
      <c r="O240" s="108" t="s">
        <v>680</v>
      </c>
      <c r="P240" s="107">
        <v>55831.05</v>
      </c>
      <c r="Q240" s="107"/>
      <c r="R240" s="129"/>
      <c r="S240" s="130"/>
      <c r="T240" s="107">
        <v>55580</v>
      </c>
      <c r="U240" s="93">
        <v>43866</v>
      </c>
      <c r="V240" s="128"/>
      <c r="W240" s="172"/>
    </row>
    <row r="241" s="39" customFormat="1" ht="22" customHeight="1" spans="1:23">
      <c r="A241" s="142" t="s">
        <v>803</v>
      </c>
      <c r="B241" s="174" t="s">
        <v>30</v>
      </c>
      <c r="C241" s="175"/>
      <c r="D241" s="45" t="s">
        <v>31</v>
      </c>
      <c r="E241" s="73" t="s">
        <v>559</v>
      </c>
      <c r="F241" s="82">
        <f>IFERROR(VLOOKUP(E241,客户!B:C,2,FALSE),"/")</f>
        <v>0</v>
      </c>
      <c r="G241" s="85" t="s">
        <v>73</v>
      </c>
      <c r="H241" s="45" t="s">
        <v>123</v>
      </c>
      <c r="I241" s="45" t="s">
        <v>723</v>
      </c>
      <c r="J241" s="110">
        <v>43756</v>
      </c>
      <c r="K241" s="110">
        <v>43822</v>
      </c>
      <c r="L241" s="93">
        <v>43858</v>
      </c>
      <c r="M241" s="146" t="s">
        <v>804</v>
      </c>
      <c r="N241" s="110" t="s">
        <v>790</v>
      </c>
      <c r="O241" s="108" t="s">
        <v>680</v>
      </c>
      <c r="P241" s="107">
        <v>35652.96</v>
      </c>
      <c r="Q241" s="107"/>
      <c r="R241" s="129"/>
      <c r="S241" s="130"/>
      <c r="T241" s="107">
        <v>35432.52</v>
      </c>
      <c r="U241" s="93">
        <v>43873</v>
      </c>
      <c r="V241" s="128"/>
      <c r="W241" s="172"/>
    </row>
    <row r="242" s="39" customFormat="1" ht="22" customHeight="1" spans="1:23">
      <c r="A242" s="142" t="s">
        <v>805</v>
      </c>
      <c r="B242" s="174" t="s">
        <v>30</v>
      </c>
      <c r="C242" s="175"/>
      <c r="D242" s="45" t="s">
        <v>31</v>
      </c>
      <c r="E242" s="73" t="s">
        <v>624</v>
      </c>
      <c r="F242" s="82">
        <f>IFERROR(VLOOKUP(E242,客户!B:C,2,FALSE),"/")</f>
        <v>0</v>
      </c>
      <c r="G242" s="85" t="s">
        <v>769</v>
      </c>
      <c r="H242" s="45" t="s">
        <v>123</v>
      </c>
      <c r="I242" s="45" t="s">
        <v>806</v>
      </c>
      <c r="J242" s="110">
        <v>43769</v>
      </c>
      <c r="K242" s="110">
        <v>43813</v>
      </c>
      <c r="L242" s="93">
        <v>43852</v>
      </c>
      <c r="M242" s="179" t="s">
        <v>807</v>
      </c>
      <c r="N242" s="110" t="s">
        <v>808</v>
      </c>
      <c r="O242" s="108" t="s">
        <v>523</v>
      </c>
      <c r="P242" s="107">
        <v>20541.78</v>
      </c>
      <c r="Q242" s="107">
        <v>5000</v>
      </c>
      <c r="R242" s="129"/>
      <c r="S242" s="130"/>
      <c r="T242" s="107">
        <v>15500</v>
      </c>
      <c r="U242" s="93">
        <v>43845</v>
      </c>
      <c r="V242" s="128"/>
      <c r="W242" s="172"/>
    </row>
    <row r="243" s="39" customFormat="1" ht="22" customHeight="1" spans="1:23">
      <c r="A243" s="142" t="s">
        <v>809</v>
      </c>
      <c r="B243" s="174" t="s">
        <v>30</v>
      </c>
      <c r="C243" s="175"/>
      <c r="D243" s="45" t="s">
        <v>31</v>
      </c>
      <c r="E243" s="73" t="s">
        <v>624</v>
      </c>
      <c r="F243" s="82">
        <f>IFERROR(VLOOKUP(E243,客户!B:C,2,FALSE),"/")</f>
        <v>0</v>
      </c>
      <c r="G243" s="85" t="s">
        <v>810</v>
      </c>
      <c r="H243" s="45" t="s">
        <v>123</v>
      </c>
      <c r="I243" s="45" t="s">
        <v>811</v>
      </c>
      <c r="J243" s="110">
        <v>43769</v>
      </c>
      <c r="K243" s="110">
        <v>43841</v>
      </c>
      <c r="L243" s="93">
        <v>43869</v>
      </c>
      <c r="M243" s="146" t="s">
        <v>812</v>
      </c>
      <c r="N243" s="110" t="s">
        <v>813</v>
      </c>
      <c r="O243" s="108" t="s">
        <v>680</v>
      </c>
      <c r="P243" s="107">
        <v>31652.54</v>
      </c>
      <c r="Q243" s="107">
        <v>5058</v>
      </c>
      <c r="R243" s="129"/>
      <c r="S243" s="130"/>
      <c r="T243" s="107">
        <f>3739+4392.4+18409.5</f>
        <v>26540.9</v>
      </c>
      <c r="U243" s="93">
        <v>43881</v>
      </c>
      <c r="V243" s="173" t="s">
        <v>814</v>
      </c>
      <c r="W243" s="218" t="s">
        <v>815</v>
      </c>
    </row>
    <row r="244" s="39" customFormat="1" ht="22" customHeight="1" spans="1:23">
      <c r="A244" s="142" t="s">
        <v>816</v>
      </c>
      <c r="B244" s="174" t="s">
        <v>30</v>
      </c>
      <c r="C244" s="175"/>
      <c r="D244" s="45" t="s">
        <v>31</v>
      </c>
      <c r="E244" s="83" t="s">
        <v>817</v>
      </c>
      <c r="F244" s="82">
        <f>IFERROR(VLOOKUP(E244,客户!B:C,2,FALSE),"/")</f>
        <v>0</v>
      </c>
      <c r="G244" s="85" t="s">
        <v>68</v>
      </c>
      <c r="H244" s="45" t="s">
        <v>123</v>
      </c>
      <c r="I244" s="45" t="s">
        <v>818</v>
      </c>
      <c r="J244" s="110">
        <v>43770</v>
      </c>
      <c r="K244" s="110">
        <v>43816</v>
      </c>
      <c r="L244" s="93">
        <v>43852</v>
      </c>
      <c r="M244" s="146" t="s">
        <v>819</v>
      </c>
      <c r="N244" s="202" t="s">
        <v>820</v>
      </c>
      <c r="O244" s="108" t="s">
        <v>523</v>
      </c>
      <c r="P244" s="107">
        <v>34478.5</v>
      </c>
      <c r="Q244" s="107">
        <v>10580</v>
      </c>
      <c r="R244" s="129"/>
      <c r="S244" s="130"/>
      <c r="T244" s="107" t="s">
        <v>821</v>
      </c>
      <c r="U244" s="93">
        <v>43833</v>
      </c>
      <c r="V244" s="128"/>
      <c r="W244" s="172"/>
    </row>
    <row r="245" s="39" customFormat="1" ht="22" customHeight="1" spans="1:23">
      <c r="A245" s="142" t="s">
        <v>822</v>
      </c>
      <c r="B245" s="174" t="s">
        <v>30</v>
      </c>
      <c r="C245" s="175"/>
      <c r="D245" s="45" t="s">
        <v>31</v>
      </c>
      <c r="E245" s="73" t="s">
        <v>823</v>
      </c>
      <c r="F245" s="82">
        <f>IFERROR(VLOOKUP(E245,客户!B:C,2,FALSE),"/")</f>
        <v>0</v>
      </c>
      <c r="G245" s="85" t="s">
        <v>93</v>
      </c>
      <c r="H245" s="45" t="s">
        <v>123</v>
      </c>
      <c r="I245" s="45" t="s">
        <v>824</v>
      </c>
      <c r="J245" s="110">
        <v>43773</v>
      </c>
      <c r="K245" s="110">
        <v>43819</v>
      </c>
      <c r="L245" s="93">
        <v>43857</v>
      </c>
      <c r="M245" s="146" t="s">
        <v>825</v>
      </c>
      <c r="N245" s="110" t="s">
        <v>826</v>
      </c>
      <c r="O245" s="108" t="s">
        <v>523</v>
      </c>
      <c r="P245" s="107">
        <v>20328.15</v>
      </c>
      <c r="Q245" s="107">
        <v>4153</v>
      </c>
      <c r="R245" s="129"/>
      <c r="S245" s="130"/>
      <c r="T245" s="107">
        <v>16144.5</v>
      </c>
      <c r="U245" s="93">
        <v>43846</v>
      </c>
      <c r="V245" s="128"/>
      <c r="W245" s="172"/>
    </row>
    <row r="246" s="39" customFormat="1" ht="22" customHeight="1" spans="1:23">
      <c r="A246" s="142" t="s">
        <v>827</v>
      </c>
      <c r="B246" s="174" t="s">
        <v>30</v>
      </c>
      <c r="C246" s="175"/>
      <c r="D246" s="45" t="s">
        <v>31</v>
      </c>
      <c r="E246" s="73" t="s">
        <v>60</v>
      </c>
      <c r="F246" s="82" t="str">
        <f>IFERROR(VLOOKUP(E246,客户!B:C,2,FALSE),"/")</f>
        <v>外送费用945人民币+装箱费用 加在发票里</v>
      </c>
      <c r="G246" s="85" t="s">
        <v>234</v>
      </c>
      <c r="H246" s="45" t="s">
        <v>147</v>
      </c>
      <c r="I246" s="45" t="s">
        <v>205</v>
      </c>
      <c r="J246" s="110">
        <v>43777</v>
      </c>
      <c r="K246" s="110">
        <v>43823</v>
      </c>
      <c r="L246" s="93">
        <v>43886</v>
      </c>
      <c r="M246" s="146" t="s">
        <v>828</v>
      </c>
      <c r="N246" s="110" t="s">
        <v>829</v>
      </c>
      <c r="O246" s="108" t="s">
        <v>680</v>
      </c>
      <c r="P246" s="107">
        <v>57543</v>
      </c>
      <c r="Q246" s="107"/>
      <c r="R246" s="129"/>
      <c r="S246" s="130"/>
      <c r="T246" s="107">
        <v>57215.22</v>
      </c>
      <c r="U246" s="93">
        <v>43896</v>
      </c>
      <c r="V246" s="128"/>
      <c r="W246" s="172"/>
    </row>
    <row r="247" s="39" customFormat="1" ht="22" customHeight="1" spans="1:23">
      <c r="A247" s="142" t="s">
        <v>830</v>
      </c>
      <c r="B247" s="174" t="s">
        <v>30</v>
      </c>
      <c r="C247" s="175"/>
      <c r="D247" s="193" t="s">
        <v>31</v>
      </c>
      <c r="E247" s="73" t="s">
        <v>60</v>
      </c>
      <c r="F247" s="82" t="str">
        <f>IFERROR(VLOOKUP(E247,客户!B:C,2,FALSE),"/")</f>
        <v>外送费用945人民币+装箱费用 加在发票里</v>
      </c>
      <c r="G247" s="85" t="s">
        <v>234</v>
      </c>
      <c r="H247" s="45" t="s">
        <v>147</v>
      </c>
      <c r="I247" s="45" t="s">
        <v>205</v>
      </c>
      <c r="J247" s="110">
        <v>43777</v>
      </c>
      <c r="K247" s="110">
        <v>43889</v>
      </c>
      <c r="L247" s="93">
        <v>43923</v>
      </c>
      <c r="M247" s="165" t="s">
        <v>831</v>
      </c>
      <c r="N247" s="110" t="s">
        <v>832</v>
      </c>
      <c r="O247" s="108" t="s">
        <v>680</v>
      </c>
      <c r="P247" s="107">
        <v>57543</v>
      </c>
      <c r="Q247" s="107"/>
      <c r="R247" s="213"/>
      <c r="S247" s="130"/>
      <c r="T247" s="107">
        <v>57296</v>
      </c>
      <c r="U247" s="93"/>
      <c r="V247" s="219" t="s">
        <v>833</v>
      </c>
      <c r="W247" s="172"/>
    </row>
    <row r="248" s="39" customFormat="1" ht="22" customHeight="1" spans="1:23">
      <c r="A248" s="142" t="s">
        <v>834</v>
      </c>
      <c r="B248" s="71" t="s">
        <v>30</v>
      </c>
      <c r="C248" s="72"/>
      <c r="D248" s="45" t="s">
        <v>31</v>
      </c>
      <c r="E248" s="73" t="s">
        <v>835</v>
      </c>
      <c r="F248" s="82" t="str">
        <f>IFERROR(VLOOKUP(E248,客户!B:C,2,FALSE),"/")</f>
        <v>/</v>
      </c>
      <c r="G248" s="73" t="s">
        <v>836</v>
      </c>
      <c r="H248" s="45" t="s">
        <v>123</v>
      </c>
      <c r="I248" s="45" t="s">
        <v>837</v>
      </c>
      <c r="J248" s="110">
        <v>43396</v>
      </c>
      <c r="K248" s="110">
        <v>43419</v>
      </c>
      <c r="L248" s="93">
        <v>43452</v>
      </c>
      <c r="M248" s="146" t="s">
        <v>838</v>
      </c>
      <c r="N248" s="162" t="s">
        <v>839</v>
      </c>
      <c r="O248" s="108"/>
      <c r="P248" s="107">
        <v>52792.69</v>
      </c>
      <c r="Q248" s="107">
        <v>0</v>
      </c>
      <c r="R248" s="129">
        <v>0</v>
      </c>
      <c r="S248" s="130"/>
      <c r="T248" s="107">
        <v>52792.69</v>
      </c>
      <c r="U248" s="93"/>
      <c r="V248" s="107"/>
      <c r="W248" s="172"/>
    </row>
    <row r="249" s="39" customFormat="1" ht="22" customHeight="1" spans="1:23">
      <c r="A249" s="142" t="s">
        <v>840</v>
      </c>
      <c r="B249" s="71" t="s">
        <v>30</v>
      </c>
      <c r="C249" s="72"/>
      <c r="D249" s="45" t="s">
        <v>31</v>
      </c>
      <c r="E249" s="73" t="s">
        <v>835</v>
      </c>
      <c r="F249" s="82" t="str">
        <f>IFERROR(VLOOKUP(E249,客户!B:C,2,FALSE),"/")</f>
        <v>/</v>
      </c>
      <c r="G249" s="73" t="s">
        <v>841</v>
      </c>
      <c r="H249" s="45" t="s">
        <v>123</v>
      </c>
      <c r="I249" s="45" t="s">
        <v>837</v>
      </c>
      <c r="J249" s="110">
        <v>43399</v>
      </c>
      <c r="K249" s="110">
        <v>43441</v>
      </c>
      <c r="L249" s="93">
        <v>43477</v>
      </c>
      <c r="M249" s="146" t="s">
        <v>842</v>
      </c>
      <c r="N249" s="162" t="s">
        <v>843</v>
      </c>
      <c r="O249" s="108"/>
      <c r="P249" s="107">
        <v>50669</v>
      </c>
      <c r="Q249" s="107">
        <v>0</v>
      </c>
      <c r="R249" s="129">
        <v>0</v>
      </c>
      <c r="S249" s="130"/>
      <c r="T249" s="107">
        <v>50537</v>
      </c>
      <c r="U249" s="93">
        <v>43467</v>
      </c>
      <c r="V249" s="128"/>
      <c r="W249" s="172"/>
    </row>
    <row r="250" s="39" customFormat="1" ht="22" customHeight="1" spans="1:23">
      <c r="A250" s="142" t="s">
        <v>844</v>
      </c>
      <c r="B250" s="71" t="s">
        <v>30</v>
      </c>
      <c r="C250" s="72"/>
      <c r="D250" s="45" t="s">
        <v>31</v>
      </c>
      <c r="E250" s="73" t="s">
        <v>835</v>
      </c>
      <c r="F250" s="82" t="str">
        <f>IFERROR(VLOOKUP(E250,客户!B:C,2,FALSE),"/")</f>
        <v>/</v>
      </c>
      <c r="G250" s="73" t="s">
        <v>845</v>
      </c>
      <c r="H250" s="45" t="s">
        <v>123</v>
      </c>
      <c r="I250" s="45" t="s">
        <v>837</v>
      </c>
      <c r="J250" s="110">
        <v>43399</v>
      </c>
      <c r="K250" s="110">
        <v>43463</v>
      </c>
      <c r="L250" s="93">
        <v>43499</v>
      </c>
      <c r="M250" s="146" t="s">
        <v>846</v>
      </c>
      <c r="N250" s="162" t="s">
        <v>847</v>
      </c>
      <c r="O250" s="108"/>
      <c r="P250" s="107">
        <v>59530.34</v>
      </c>
      <c r="Q250" s="107">
        <v>0</v>
      </c>
      <c r="R250" s="129">
        <v>0</v>
      </c>
      <c r="S250" s="130"/>
      <c r="T250" s="107">
        <v>59386</v>
      </c>
      <c r="U250" s="93">
        <v>43489</v>
      </c>
      <c r="V250" s="128"/>
      <c r="W250" s="172"/>
    </row>
    <row r="251" s="39" customFormat="1" ht="22" customHeight="1" spans="1:23">
      <c r="A251" s="142" t="s">
        <v>848</v>
      </c>
      <c r="B251" s="71" t="s">
        <v>30</v>
      </c>
      <c r="C251" s="72"/>
      <c r="D251" s="45" t="s">
        <v>31</v>
      </c>
      <c r="E251" s="73" t="s">
        <v>196</v>
      </c>
      <c r="F251" s="82" t="str">
        <f>IFERROR(VLOOKUP(E251,客户!B:C,2,FALSE),"/")</f>
        <v>/</v>
      </c>
      <c r="G251" s="73" t="s">
        <v>849</v>
      </c>
      <c r="H251" s="45" t="s">
        <v>123</v>
      </c>
      <c r="I251" s="45" t="s">
        <v>837</v>
      </c>
      <c r="J251" s="110">
        <v>43399</v>
      </c>
      <c r="K251" s="110">
        <v>43525</v>
      </c>
      <c r="L251" s="93">
        <v>43564</v>
      </c>
      <c r="M251" s="146" t="s">
        <v>850</v>
      </c>
      <c r="N251" s="110" t="s">
        <v>851</v>
      </c>
      <c r="O251" s="108"/>
      <c r="P251" s="107">
        <v>36004.26</v>
      </c>
      <c r="Q251" s="107">
        <v>0</v>
      </c>
      <c r="R251" s="129">
        <v>0</v>
      </c>
      <c r="S251" s="130"/>
      <c r="T251" s="107">
        <v>35884</v>
      </c>
      <c r="U251" s="93">
        <v>43563</v>
      </c>
      <c r="V251" s="128"/>
      <c r="W251" s="184"/>
    </row>
    <row r="252" s="39" customFormat="1" ht="22" customHeight="1" spans="1:23">
      <c r="A252" s="142" t="s">
        <v>852</v>
      </c>
      <c r="B252" s="71" t="s">
        <v>30</v>
      </c>
      <c r="C252" s="72"/>
      <c r="D252" s="45" t="s">
        <v>31</v>
      </c>
      <c r="E252" s="73" t="s">
        <v>196</v>
      </c>
      <c r="F252" s="82" t="str">
        <f>IFERROR(VLOOKUP(E252,客户!B:C,2,FALSE),"/")</f>
        <v>/</v>
      </c>
      <c r="G252" s="73" t="s">
        <v>853</v>
      </c>
      <c r="H252" s="45" t="s">
        <v>123</v>
      </c>
      <c r="I252" s="45" t="s">
        <v>837</v>
      </c>
      <c r="J252" s="110">
        <v>43399</v>
      </c>
      <c r="K252" s="110">
        <v>43552</v>
      </c>
      <c r="L252" s="93">
        <v>43598</v>
      </c>
      <c r="M252" s="165" t="s">
        <v>854</v>
      </c>
      <c r="N252" s="110" t="s">
        <v>855</v>
      </c>
      <c r="O252" s="108"/>
      <c r="P252" s="107">
        <v>25490.3</v>
      </c>
      <c r="Q252" s="107">
        <v>0</v>
      </c>
      <c r="R252" s="129">
        <v>0</v>
      </c>
      <c r="S252" s="130"/>
      <c r="T252" s="107">
        <v>25383</v>
      </c>
      <c r="U252" s="93">
        <v>43590</v>
      </c>
      <c r="V252" s="128"/>
      <c r="W252" s="184"/>
    </row>
    <row r="253" s="39" customFormat="1" ht="22" customHeight="1" spans="1:23">
      <c r="A253" s="142" t="s">
        <v>856</v>
      </c>
      <c r="B253" s="71" t="s">
        <v>30</v>
      </c>
      <c r="C253" s="72"/>
      <c r="D253" s="45" t="s">
        <v>31</v>
      </c>
      <c r="E253" s="73" t="s">
        <v>60</v>
      </c>
      <c r="F253" s="82" t="str">
        <f>IFERROR(VLOOKUP(E253,客户!B:C,2,FALSE),"/")</f>
        <v>外送费用945人民币+装箱费用 加在发票里</v>
      </c>
      <c r="G253" s="73" t="s">
        <v>857</v>
      </c>
      <c r="H253" s="45" t="s">
        <v>123</v>
      </c>
      <c r="I253" s="45" t="s">
        <v>205</v>
      </c>
      <c r="J253" s="110">
        <v>43514</v>
      </c>
      <c r="K253" s="110">
        <v>43610</v>
      </c>
      <c r="L253" s="93">
        <v>43659</v>
      </c>
      <c r="M253" s="163" t="s">
        <v>858</v>
      </c>
      <c r="N253" s="110" t="s">
        <v>620</v>
      </c>
      <c r="O253" s="108"/>
      <c r="P253" s="107">
        <v>22539.5</v>
      </c>
      <c r="Q253" s="107">
        <v>0</v>
      </c>
      <c r="R253" s="129">
        <v>0</v>
      </c>
      <c r="S253" s="130"/>
      <c r="T253" s="107">
        <v>22119</v>
      </c>
      <c r="U253" s="93">
        <v>43664</v>
      </c>
      <c r="V253" s="128"/>
      <c r="W253" s="172"/>
    </row>
    <row r="254" s="39" customFormat="1" ht="22" customHeight="1" spans="1:23">
      <c r="A254" s="142" t="s">
        <v>859</v>
      </c>
      <c r="B254" s="71" t="s">
        <v>30</v>
      </c>
      <c r="C254" s="72"/>
      <c r="D254" s="45" t="s">
        <v>31</v>
      </c>
      <c r="E254" s="73" t="s">
        <v>860</v>
      </c>
      <c r="F254" s="82" t="str">
        <f>IFERROR(VLOOKUP(E254,客户!B:C,2,FALSE),"/")</f>
        <v>/</v>
      </c>
      <c r="G254" s="73" t="s">
        <v>861</v>
      </c>
      <c r="H254" s="45" t="s">
        <v>123</v>
      </c>
      <c r="I254" s="45" t="s">
        <v>862</v>
      </c>
      <c r="J254" s="110">
        <v>43522</v>
      </c>
      <c r="K254" s="110">
        <v>43533</v>
      </c>
      <c r="L254" s="93">
        <v>43559</v>
      </c>
      <c r="M254" s="146" t="s">
        <v>863</v>
      </c>
      <c r="N254" s="110" t="s">
        <v>864</v>
      </c>
      <c r="O254" s="108"/>
      <c r="P254" s="209"/>
      <c r="Q254" s="107"/>
      <c r="R254" s="129"/>
      <c r="S254" s="130"/>
      <c r="T254" s="107"/>
      <c r="U254" s="93"/>
      <c r="V254" s="128"/>
      <c r="W254" s="172"/>
    </row>
    <row r="255" s="39" customFormat="1" ht="22" customHeight="1" spans="1:23">
      <c r="A255" s="142" t="s">
        <v>865</v>
      </c>
      <c r="B255" s="71" t="s">
        <v>30</v>
      </c>
      <c r="C255" s="72"/>
      <c r="D255" s="45" t="s">
        <v>31</v>
      </c>
      <c r="E255" s="73" t="s">
        <v>60</v>
      </c>
      <c r="F255" s="82" t="str">
        <f>IFERROR(VLOOKUP(E255,客户!B:C,2,FALSE),"/")</f>
        <v>外送费用945人民币+装箱费用 加在发票里</v>
      </c>
      <c r="G255" s="73" t="s">
        <v>866</v>
      </c>
      <c r="H255" s="45" t="s">
        <v>123</v>
      </c>
      <c r="I255" s="45" t="s">
        <v>837</v>
      </c>
      <c r="J255" s="110">
        <v>43529</v>
      </c>
      <c r="K255" s="110">
        <v>43591</v>
      </c>
      <c r="L255" s="93">
        <v>43633</v>
      </c>
      <c r="M255" s="146" t="s">
        <v>867</v>
      </c>
      <c r="N255" s="110" t="s">
        <v>868</v>
      </c>
      <c r="O255" s="108"/>
      <c r="P255" s="107">
        <v>53152.26</v>
      </c>
      <c r="Q255" s="107"/>
      <c r="R255" s="129">
        <v>0</v>
      </c>
      <c r="S255" s="130"/>
      <c r="T255" s="107">
        <v>53012</v>
      </c>
      <c r="U255" s="93">
        <v>43626</v>
      </c>
      <c r="V255" s="128"/>
      <c r="W255" s="172"/>
    </row>
    <row r="256" s="39" customFormat="1" ht="22" customHeight="1" spans="1:23">
      <c r="A256" s="142" t="s">
        <v>869</v>
      </c>
      <c r="B256" s="71" t="s">
        <v>30</v>
      </c>
      <c r="C256" s="72"/>
      <c r="D256" s="45" t="s">
        <v>31</v>
      </c>
      <c r="E256" s="73" t="s">
        <v>60</v>
      </c>
      <c r="F256" s="82" t="str">
        <f>IFERROR(VLOOKUP(E256,客户!B:C,2,FALSE),"/")</f>
        <v>外送费用945人民币+装箱费用 加在发票里</v>
      </c>
      <c r="G256" s="73" t="s">
        <v>870</v>
      </c>
      <c r="H256" s="45" t="s">
        <v>123</v>
      </c>
      <c r="I256" s="45" t="s">
        <v>837</v>
      </c>
      <c r="J256" s="110">
        <v>43529</v>
      </c>
      <c r="K256" s="110">
        <v>43605</v>
      </c>
      <c r="L256" s="93">
        <v>43647</v>
      </c>
      <c r="M256" s="163" t="s">
        <v>871</v>
      </c>
      <c r="N256" s="110" t="s">
        <v>872</v>
      </c>
      <c r="O256" s="108"/>
      <c r="P256" s="107">
        <v>34752.94</v>
      </c>
      <c r="Q256" s="107"/>
      <c r="R256" s="129">
        <v>0</v>
      </c>
      <c r="S256" s="130"/>
      <c r="T256" s="107">
        <v>34635</v>
      </c>
      <c r="U256" s="93">
        <v>43649</v>
      </c>
      <c r="V256" s="128"/>
      <c r="W256" s="172"/>
    </row>
    <row r="257" s="39" customFormat="1" ht="22" customHeight="1" spans="1:23">
      <c r="A257" s="142" t="s">
        <v>873</v>
      </c>
      <c r="B257" s="71" t="s">
        <v>30</v>
      </c>
      <c r="C257" s="72"/>
      <c r="D257" s="45" t="s">
        <v>31</v>
      </c>
      <c r="E257" s="73" t="s">
        <v>60</v>
      </c>
      <c r="F257" s="82" t="str">
        <f>IFERROR(VLOOKUP(E257,客户!B:C,2,FALSE),"/")</f>
        <v>外送费用945人民币+装箱费用 加在发票里</v>
      </c>
      <c r="G257" s="73" t="s">
        <v>373</v>
      </c>
      <c r="H257" s="45" t="s">
        <v>123</v>
      </c>
      <c r="I257" s="45" t="s">
        <v>837</v>
      </c>
      <c r="J257" s="110">
        <v>43529</v>
      </c>
      <c r="K257" s="110">
        <v>43625</v>
      </c>
      <c r="L257" s="93">
        <v>43654</v>
      </c>
      <c r="M257" s="163" t="s">
        <v>874</v>
      </c>
      <c r="N257" s="110" t="s">
        <v>875</v>
      </c>
      <c r="O257" s="108"/>
      <c r="P257" s="235">
        <v>61597.5</v>
      </c>
      <c r="Q257" s="107"/>
      <c r="R257" s="129">
        <v>0</v>
      </c>
      <c r="S257" s="130"/>
      <c r="T257" s="107">
        <v>61446</v>
      </c>
      <c r="U257" s="93">
        <v>43655</v>
      </c>
      <c r="V257" s="128"/>
      <c r="W257" s="172"/>
    </row>
    <row r="258" s="39" customFormat="1" ht="22" customHeight="1" spans="1:23">
      <c r="A258" s="142" t="s">
        <v>876</v>
      </c>
      <c r="B258" s="71" t="s">
        <v>30</v>
      </c>
      <c r="C258" s="72"/>
      <c r="D258" s="45" t="s">
        <v>31</v>
      </c>
      <c r="E258" s="73" t="s">
        <v>473</v>
      </c>
      <c r="F258" s="82">
        <f>IFERROR(VLOOKUP(E258,客户!B:C,2,FALSE),"/")</f>
        <v>0</v>
      </c>
      <c r="G258" s="73" t="s">
        <v>877</v>
      </c>
      <c r="H258" s="142" t="s">
        <v>127</v>
      </c>
      <c r="I258" s="45" t="s">
        <v>475</v>
      </c>
      <c r="J258" s="110">
        <v>43531</v>
      </c>
      <c r="K258" s="110">
        <v>43560</v>
      </c>
      <c r="L258" s="93">
        <v>43574</v>
      </c>
      <c r="M258" s="181" t="s">
        <v>878</v>
      </c>
      <c r="N258" s="110" t="s">
        <v>879</v>
      </c>
      <c r="O258" s="108"/>
      <c r="P258" s="107">
        <v>19334</v>
      </c>
      <c r="Q258" s="107">
        <v>3866.92</v>
      </c>
      <c r="R258" s="129">
        <v>0</v>
      </c>
      <c r="S258" s="130"/>
      <c r="T258" s="107" t="s">
        <v>880</v>
      </c>
      <c r="U258" s="93">
        <v>43572</v>
      </c>
      <c r="V258" s="128"/>
      <c r="W258" s="172"/>
    </row>
    <row r="259" s="39" customFormat="1" ht="22" customHeight="1" spans="1:23">
      <c r="A259" s="142" t="s">
        <v>881</v>
      </c>
      <c r="B259" s="71" t="s">
        <v>30</v>
      </c>
      <c r="C259" s="72"/>
      <c r="D259" s="45" t="s">
        <v>31</v>
      </c>
      <c r="E259" s="73" t="s">
        <v>464</v>
      </c>
      <c r="F259" s="82">
        <f>IFERROR(VLOOKUP(E259,客户!B:C,2,FALSE),"/")</f>
        <v>0</v>
      </c>
      <c r="G259" s="73" t="s">
        <v>882</v>
      </c>
      <c r="H259" s="45" t="s">
        <v>123</v>
      </c>
      <c r="I259" s="45" t="s">
        <v>883</v>
      </c>
      <c r="J259" s="110">
        <v>43534</v>
      </c>
      <c r="K259" s="110">
        <v>43549</v>
      </c>
      <c r="L259" s="93">
        <v>43580</v>
      </c>
      <c r="M259" s="146" t="s">
        <v>466</v>
      </c>
      <c r="N259" s="110"/>
      <c r="O259" s="108"/>
      <c r="P259" s="107">
        <v>12082.4</v>
      </c>
      <c r="Q259" s="107" t="s">
        <v>884</v>
      </c>
      <c r="R259" s="129">
        <v>0</v>
      </c>
      <c r="S259" s="130"/>
      <c r="T259" s="107" t="s">
        <v>885</v>
      </c>
      <c r="U259" s="93">
        <v>43573</v>
      </c>
      <c r="V259" s="128"/>
      <c r="W259" s="172"/>
    </row>
    <row r="260" s="39" customFormat="1" ht="22" customHeight="1" spans="1:23">
      <c r="A260" s="142" t="s">
        <v>886</v>
      </c>
      <c r="B260" s="71" t="s">
        <v>30</v>
      </c>
      <c r="C260" s="72"/>
      <c r="D260" s="45" t="s">
        <v>31</v>
      </c>
      <c r="E260" s="73" t="s">
        <v>860</v>
      </c>
      <c r="F260" s="82" t="str">
        <f>IFERROR(VLOOKUP(E260,客户!B:C,2,FALSE),"/")</f>
        <v>/</v>
      </c>
      <c r="G260" s="73" t="s">
        <v>887</v>
      </c>
      <c r="H260" s="45" t="s">
        <v>123</v>
      </c>
      <c r="I260" s="45" t="s">
        <v>862</v>
      </c>
      <c r="J260" s="110">
        <v>43522</v>
      </c>
      <c r="K260" s="110">
        <v>43607</v>
      </c>
      <c r="L260" s="93">
        <v>43631</v>
      </c>
      <c r="M260" s="146" t="s">
        <v>888</v>
      </c>
      <c r="N260" s="110" t="s">
        <v>889</v>
      </c>
      <c r="O260" s="108"/>
      <c r="P260" s="107"/>
      <c r="Q260" s="107"/>
      <c r="R260" s="129"/>
      <c r="S260" s="130"/>
      <c r="T260" s="107"/>
      <c r="U260" s="93"/>
      <c r="V260" s="128"/>
      <c r="W260" s="172"/>
    </row>
    <row r="261" s="39" customFormat="1" ht="22" customHeight="1" spans="1:23">
      <c r="A261" s="142" t="s">
        <v>890</v>
      </c>
      <c r="B261" s="71" t="s">
        <v>30</v>
      </c>
      <c r="C261" s="72"/>
      <c r="D261" s="45" t="s">
        <v>31</v>
      </c>
      <c r="E261" s="73" t="s">
        <v>60</v>
      </c>
      <c r="F261" s="82" t="str">
        <f>IFERROR(VLOOKUP(E261,客户!B:C,2,FALSE),"/")</f>
        <v>外送费用945人民币+装箱费用 加在发票里</v>
      </c>
      <c r="G261" s="73" t="s">
        <v>234</v>
      </c>
      <c r="H261" s="45" t="s">
        <v>147</v>
      </c>
      <c r="I261" s="45" t="s">
        <v>723</v>
      </c>
      <c r="J261" s="110">
        <v>43780</v>
      </c>
      <c r="K261" s="110">
        <v>43834</v>
      </c>
      <c r="L261" s="93">
        <v>43865</v>
      </c>
      <c r="M261" s="146" t="s">
        <v>891</v>
      </c>
      <c r="N261" s="110" t="s">
        <v>892</v>
      </c>
      <c r="O261" s="108" t="s">
        <v>680</v>
      </c>
      <c r="P261" s="107">
        <v>60474</v>
      </c>
      <c r="Q261" s="107"/>
      <c r="R261" s="129"/>
      <c r="S261" s="130"/>
      <c r="T261" s="107">
        <v>60276.41</v>
      </c>
      <c r="U261" s="93">
        <v>43866</v>
      </c>
      <c r="V261" s="128"/>
      <c r="W261" s="172"/>
    </row>
    <row r="262" s="39" customFormat="1" ht="22" customHeight="1" spans="1:23">
      <c r="A262" s="142" t="s">
        <v>893</v>
      </c>
      <c r="B262" s="71" t="s">
        <v>30</v>
      </c>
      <c r="C262" s="72"/>
      <c r="D262" s="45" t="s">
        <v>31</v>
      </c>
      <c r="E262" s="73" t="s">
        <v>456</v>
      </c>
      <c r="F262" s="82" t="str">
        <f>IFERROR(VLOOKUP(E262,客户!B:C,2,FALSE),"/")</f>
        <v>埃及红线客户配件 样品都要单独显示在箱单发票上</v>
      </c>
      <c r="G262" s="73" t="s">
        <v>894</v>
      </c>
      <c r="H262" s="45" t="s">
        <v>123</v>
      </c>
      <c r="I262" s="45" t="s">
        <v>895</v>
      </c>
      <c r="J262" s="110">
        <v>43781</v>
      </c>
      <c r="K262" s="110">
        <v>43841</v>
      </c>
      <c r="L262" s="93">
        <v>43877</v>
      </c>
      <c r="M262" s="110" t="s">
        <v>896</v>
      </c>
      <c r="N262" s="110" t="s">
        <v>897</v>
      </c>
      <c r="O262" s="108" t="s">
        <v>680</v>
      </c>
      <c r="P262" s="107">
        <v>16960</v>
      </c>
      <c r="Q262" s="107"/>
      <c r="R262" s="129"/>
      <c r="S262" s="130"/>
      <c r="T262" s="107">
        <v>16566.95</v>
      </c>
      <c r="U262" s="107">
        <v>346</v>
      </c>
      <c r="V262" s="219" t="s">
        <v>898</v>
      </c>
      <c r="W262" s="172"/>
    </row>
    <row r="263" s="39" customFormat="1" ht="22" customHeight="1" spans="1:23">
      <c r="A263" s="142" t="s">
        <v>899</v>
      </c>
      <c r="B263" s="174" t="s">
        <v>30</v>
      </c>
      <c r="C263" s="175"/>
      <c r="D263" s="45" t="s">
        <v>31</v>
      </c>
      <c r="E263" s="73" t="s">
        <v>554</v>
      </c>
      <c r="F263" s="82">
        <f>IFERROR(VLOOKUP(E263,客户!B:C,2,FALSE),"/")</f>
        <v>0</v>
      </c>
      <c r="G263" s="73" t="s">
        <v>43</v>
      </c>
      <c r="H263" s="45" t="s">
        <v>147</v>
      </c>
      <c r="I263" s="45" t="s">
        <v>900</v>
      </c>
      <c r="J263" s="110">
        <v>43782</v>
      </c>
      <c r="K263" s="110">
        <v>43816</v>
      </c>
      <c r="L263" s="93">
        <v>43831</v>
      </c>
      <c r="M263" s="146" t="s">
        <v>901</v>
      </c>
      <c r="N263" s="110" t="s">
        <v>902</v>
      </c>
      <c r="O263" s="108" t="s">
        <v>523</v>
      </c>
      <c r="P263" s="107">
        <v>19648.7</v>
      </c>
      <c r="Q263" s="107">
        <v>5894.61</v>
      </c>
      <c r="R263" s="129"/>
      <c r="S263" s="130"/>
      <c r="T263" s="107">
        <v>13714.09</v>
      </c>
      <c r="U263" s="107"/>
      <c r="V263" s="128"/>
      <c r="W263" s="172"/>
    </row>
    <row r="264" s="39" customFormat="1" ht="22" customHeight="1" spans="1:23">
      <c r="A264" s="142" t="s">
        <v>903</v>
      </c>
      <c r="B264" s="174" t="s">
        <v>30</v>
      </c>
      <c r="C264" s="175"/>
      <c r="D264" s="45" t="s">
        <v>31</v>
      </c>
      <c r="E264" s="73" t="s">
        <v>450</v>
      </c>
      <c r="F264" s="82">
        <f>IFERROR(VLOOKUP(E264,客户!B:C,2,FALSE),"/")</f>
        <v>0</v>
      </c>
      <c r="G264" s="73" t="s">
        <v>43</v>
      </c>
      <c r="H264" s="45" t="s">
        <v>123</v>
      </c>
      <c r="I264" s="45" t="s">
        <v>904</v>
      </c>
      <c r="J264" s="110">
        <v>43785</v>
      </c>
      <c r="K264" s="110">
        <v>43829</v>
      </c>
      <c r="L264" s="93">
        <v>43857</v>
      </c>
      <c r="M264" s="164" t="s">
        <v>905</v>
      </c>
      <c r="N264" s="110" t="s">
        <v>906</v>
      </c>
      <c r="O264" s="108" t="s">
        <v>523</v>
      </c>
      <c r="P264" s="107">
        <v>21449.65</v>
      </c>
      <c r="Q264" s="107"/>
      <c r="R264" s="129"/>
      <c r="S264" s="130"/>
      <c r="T264" s="107">
        <f>44550/6.88+14976.75</f>
        <v>21452.0406976744</v>
      </c>
      <c r="U264" s="107"/>
      <c r="V264" s="188" t="s">
        <v>907</v>
      </c>
      <c r="W264" s="172"/>
    </row>
    <row r="265" s="39" customFormat="1" ht="22" customHeight="1" spans="1:23">
      <c r="A265" s="142" t="s">
        <v>908</v>
      </c>
      <c r="B265" s="174" t="s">
        <v>30</v>
      </c>
      <c r="C265" s="175"/>
      <c r="D265" s="45" t="s">
        <v>31</v>
      </c>
      <c r="E265" s="73" t="s">
        <v>296</v>
      </c>
      <c r="F265" s="82">
        <f>IFERROR(VLOOKUP(E265,客户!B:C,2,FALSE),"/")</f>
        <v>0</v>
      </c>
      <c r="G265" s="73" t="s">
        <v>43</v>
      </c>
      <c r="H265" s="45" t="s">
        <v>123</v>
      </c>
      <c r="I265" s="45" t="s">
        <v>909</v>
      </c>
      <c r="J265" s="110">
        <v>43785</v>
      </c>
      <c r="K265" s="110">
        <v>43826</v>
      </c>
      <c r="L265" s="93">
        <v>43859</v>
      </c>
      <c r="M265" s="146" t="s">
        <v>910</v>
      </c>
      <c r="N265" s="202" t="s">
        <v>911</v>
      </c>
      <c r="O265" s="108" t="s">
        <v>523</v>
      </c>
      <c r="P265" s="107">
        <v>20704.33</v>
      </c>
      <c r="Q265" s="107">
        <v>6138.06</v>
      </c>
      <c r="R265" s="129"/>
      <c r="S265" s="130"/>
      <c r="T265" s="107">
        <v>14531.27</v>
      </c>
      <c r="U265" s="107"/>
      <c r="V265" s="128"/>
      <c r="W265" s="172"/>
    </row>
    <row r="266" s="39" customFormat="1" ht="22" customHeight="1" spans="1:23">
      <c r="A266" s="142" t="s">
        <v>912</v>
      </c>
      <c r="B266" s="174" t="s">
        <v>30</v>
      </c>
      <c r="C266" s="175"/>
      <c r="D266" s="45" t="s">
        <v>31</v>
      </c>
      <c r="E266" s="73" t="s">
        <v>624</v>
      </c>
      <c r="F266" s="82">
        <f>IFERROR(VLOOKUP(E266,客户!B:C,2,FALSE),"/")</f>
        <v>0</v>
      </c>
      <c r="G266" s="73" t="s">
        <v>913</v>
      </c>
      <c r="H266" s="45" t="s">
        <v>123</v>
      </c>
      <c r="I266" s="45" t="s">
        <v>806</v>
      </c>
      <c r="J266" s="110">
        <v>43786</v>
      </c>
      <c r="K266" s="110">
        <v>43847</v>
      </c>
      <c r="L266" s="93">
        <v>43887</v>
      </c>
      <c r="M266" s="146" t="s">
        <v>914</v>
      </c>
      <c r="N266" s="110" t="s">
        <v>915</v>
      </c>
      <c r="O266" s="108" t="s">
        <v>680</v>
      </c>
      <c r="P266" s="107">
        <v>20541.78</v>
      </c>
      <c r="Q266" s="107">
        <v>3960</v>
      </c>
      <c r="R266" s="129"/>
      <c r="S266" s="130"/>
      <c r="T266" s="107">
        <v>16644</v>
      </c>
      <c r="U266" s="107"/>
      <c r="V266" s="188" t="s">
        <v>916</v>
      </c>
      <c r="W266" s="172"/>
    </row>
    <row r="267" s="39" customFormat="1" ht="22" customHeight="1" spans="1:23">
      <c r="A267" s="142" t="s">
        <v>917</v>
      </c>
      <c r="B267" s="174" t="s">
        <v>30</v>
      </c>
      <c r="C267" s="175"/>
      <c r="D267" s="45" t="s">
        <v>31</v>
      </c>
      <c r="E267" s="73" t="s">
        <v>554</v>
      </c>
      <c r="F267" s="82">
        <f>IFERROR(VLOOKUP(E267,客户!B:C,2,FALSE),"/")</f>
        <v>0</v>
      </c>
      <c r="G267" s="73" t="s">
        <v>43</v>
      </c>
      <c r="H267" s="45" t="s">
        <v>147</v>
      </c>
      <c r="I267" s="45" t="s">
        <v>900</v>
      </c>
      <c r="J267" s="110">
        <v>43809</v>
      </c>
      <c r="K267" s="110">
        <v>43853</v>
      </c>
      <c r="L267" s="93">
        <v>43868</v>
      </c>
      <c r="M267" s="146" t="s">
        <v>918</v>
      </c>
      <c r="N267" s="110" t="s">
        <v>919</v>
      </c>
      <c r="O267" s="108" t="s">
        <v>523</v>
      </c>
      <c r="P267" s="107">
        <v>21758.6</v>
      </c>
      <c r="Q267" s="107">
        <v>6527</v>
      </c>
      <c r="R267" s="129"/>
      <c r="S267" s="130"/>
      <c r="T267" s="107">
        <v>15197.02</v>
      </c>
      <c r="U267" s="107"/>
      <c r="V267" s="128"/>
      <c r="W267" s="172"/>
    </row>
    <row r="268" s="39" customFormat="1" ht="22" customHeight="1" spans="1:23">
      <c r="A268" s="142" t="s">
        <v>920</v>
      </c>
      <c r="B268" s="174" t="s">
        <v>30</v>
      </c>
      <c r="C268" s="175"/>
      <c r="D268" s="45" t="s">
        <v>31</v>
      </c>
      <c r="E268" s="73" t="s">
        <v>450</v>
      </c>
      <c r="F268" s="82">
        <f>IFERROR(VLOOKUP(E268,客户!B:C,2,FALSE),"/")</f>
        <v>0</v>
      </c>
      <c r="G268" s="73" t="s">
        <v>43</v>
      </c>
      <c r="H268" s="45" t="s">
        <v>123</v>
      </c>
      <c r="I268" s="45" t="s">
        <v>904</v>
      </c>
      <c r="J268" s="110">
        <v>43811</v>
      </c>
      <c r="K268" s="110">
        <v>43842</v>
      </c>
      <c r="L268" s="93">
        <v>43871</v>
      </c>
      <c r="M268" s="165" t="s">
        <v>921</v>
      </c>
      <c r="N268" s="110" t="s">
        <v>922</v>
      </c>
      <c r="O268" s="108" t="s">
        <v>523</v>
      </c>
      <c r="P268" s="107">
        <v>21684.05</v>
      </c>
      <c r="Q268" s="107"/>
      <c r="R268" s="129">
        <v>0</v>
      </c>
      <c r="S268" s="130"/>
      <c r="T268" s="107">
        <f>14968.75+46514/7</f>
        <v>21613.6071428571</v>
      </c>
      <c r="U268" s="107"/>
      <c r="V268" s="188" t="s">
        <v>923</v>
      </c>
      <c r="W268" s="172"/>
    </row>
    <row r="269" s="39" customFormat="1" ht="22" customHeight="1" spans="1:23">
      <c r="A269" s="142" t="s">
        <v>924</v>
      </c>
      <c r="B269" s="174" t="s">
        <v>30</v>
      </c>
      <c r="C269" s="175"/>
      <c r="D269" s="45" t="s">
        <v>31</v>
      </c>
      <c r="E269" s="83" t="s">
        <v>692</v>
      </c>
      <c r="F269" s="82">
        <f>IFERROR(VLOOKUP(E269,客户!B:C,2,FALSE),"/")</f>
        <v>0</v>
      </c>
      <c r="G269" s="73" t="s">
        <v>43</v>
      </c>
      <c r="H269" s="45" t="s">
        <v>123</v>
      </c>
      <c r="I269" s="45" t="s">
        <v>925</v>
      </c>
      <c r="J269" s="110">
        <v>43811</v>
      </c>
      <c r="K269" s="110">
        <v>43841</v>
      </c>
      <c r="L269" s="93">
        <v>43877</v>
      </c>
      <c r="M269" s="146" t="s">
        <v>926</v>
      </c>
      <c r="N269" s="202" t="s">
        <v>927</v>
      </c>
      <c r="O269" s="108" t="s">
        <v>523</v>
      </c>
      <c r="P269" s="107">
        <v>17360.95</v>
      </c>
      <c r="Q269" s="107">
        <v>3595</v>
      </c>
      <c r="R269" s="241"/>
      <c r="S269" s="242"/>
      <c r="T269" s="107">
        <v>13726.88</v>
      </c>
      <c r="U269" s="107"/>
      <c r="V269" s="128" t="s">
        <v>928</v>
      </c>
      <c r="W269" s="172"/>
    </row>
    <row r="270" s="39" customFormat="1" ht="22" customHeight="1" spans="1:23">
      <c r="A270" s="142" t="s">
        <v>929</v>
      </c>
      <c r="B270" s="174" t="s">
        <v>30</v>
      </c>
      <c r="C270" s="175"/>
      <c r="D270" s="45" t="s">
        <v>31</v>
      </c>
      <c r="E270" s="83" t="s">
        <v>422</v>
      </c>
      <c r="F270" s="82" t="str">
        <f>IFERROR(VLOOKUP(E270,客户!B:C,2,FALSE),"/")</f>
        <v>埃及红线客户配件 样品都要单独显示在箱单发票上</v>
      </c>
      <c r="G270" s="73" t="s">
        <v>43</v>
      </c>
      <c r="H270" s="45" t="s">
        <v>123</v>
      </c>
      <c r="I270" s="45" t="s">
        <v>806</v>
      </c>
      <c r="J270" s="110">
        <v>43819</v>
      </c>
      <c r="K270" s="110">
        <v>43854</v>
      </c>
      <c r="L270" s="93">
        <v>43894</v>
      </c>
      <c r="M270" s="165" t="s">
        <v>930</v>
      </c>
      <c r="N270" s="202" t="s">
        <v>931</v>
      </c>
      <c r="O270" s="108" t="s">
        <v>523</v>
      </c>
      <c r="P270" s="107">
        <v>21564.5</v>
      </c>
      <c r="Q270" s="107"/>
      <c r="R270" s="129"/>
      <c r="S270" s="130"/>
      <c r="T270" s="107">
        <v>19578</v>
      </c>
      <c r="U270" s="107">
        <v>1986.5</v>
      </c>
      <c r="V270" s="219"/>
      <c r="W270" s="172"/>
    </row>
    <row r="271" s="39" customFormat="1" ht="22" customHeight="1" spans="1:23">
      <c r="A271" s="142" t="s">
        <v>932</v>
      </c>
      <c r="B271" s="174" t="s">
        <v>30</v>
      </c>
      <c r="C271" s="175"/>
      <c r="D271" s="45" t="s">
        <v>31</v>
      </c>
      <c r="E271" s="83" t="s">
        <v>933</v>
      </c>
      <c r="F271" s="82">
        <f>IFERROR(VLOOKUP(E271,客户!B:C,2,FALSE),"/")</f>
        <v>0</v>
      </c>
      <c r="G271" s="85" t="s">
        <v>934</v>
      </c>
      <c r="H271" s="45" t="s">
        <v>123</v>
      </c>
      <c r="I271" s="45" t="s">
        <v>935</v>
      </c>
      <c r="J271" s="110">
        <v>43819</v>
      </c>
      <c r="K271" s="146">
        <v>43974</v>
      </c>
      <c r="L271" s="93">
        <v>44008</v>
      </c>
      <c r="M271" s="165" t="s">
        <v>936</v>
      </c>
      <c r="N271" s="202" t="s">
        <v>937</v>
      </c>
      <c r="O271" s="108" t="s">
        <v>523</v>
      </c>
      <c r="P271" s="107">
        <v>23061.36</v>
      </c>
      <c r="Q271" s="107">
        <v>7240</v>
      </c>
      <c r="R271" s="129"/>
      <c r="S271" s="130"/>
      <c r="T271" s="107">
        <v>15821.36</v>
      </c>
      <c r="U271" s="107"/>
      <c r="V271" s="244" t="s">
        <v>938</v>
      </c>
      <c r="W271" s="172"/>
    </row>
    <row r="272" s="39" customFormat="1" ht="22" customHeight="1" spans="1:23">
      <c r="A272" s="142" t="s">
        <v>939</v>
      </c>
      <c r="B272" s="174" t="s">
        <v>30</v>
      </c>
      <c r="C272" s="175"/>
      <c r="D272" s="45" t="s">
        <v>31</v>
      </c>
      <c r="E272" s="83" t="s">
        <v>940</v>
      </c>
      <c r="F272" s="82">
        <f>IFERROR(VLOOKUP(E272,客户!B:C,2,FALSE),"/")</f>
        <v>0</v>
      </c>
      <c r="G272" s="85" t="s">
        <v>941</v>
      </c>
      <c r="H272" s="45" t="s">
        <v>123</v>
      </c>
      <c r="I272" s="45" t="s">
        <v>238</v>
      </c>
      <c r="J272" s="110">
        <v>43827</v>
      </c>
      <c r="K272" s="146">
        <v>43919</v>
      </c>
      <c r="L272" s="93">
        <v>43955</v>
      </c>
      <c r="M272" s="165" t="s">
        <v>942</v>
      </c>
      <c r="N272" s="202" t="s">
        <v>943</v>
      </c>
      <c r="O272" s="108" t="s">
        <v>523</v>
      </c>
      <c r="P272" s="107">
        <v>22894.28</v>
      </c>
      <c r="Q272" s="107">
        <v>4614.82</v>
      </c>
      <c r="R272" s="129"/>
      <c r="S272" s="130"/>
      <c r="T272" s="107">
        <v>18241.46</v>
      </c>
      <c r="U272" s="107"/>
      <c r="V272" s="219" t="s">
        <v>944</v>
      </c>
      <c r="W272" s="172"/>
    </row>
    <row r="273" s="39" customFormat="1" ht="22" customHeight="1" spans="1:23">
      <c r="A273" s="142" t="s">
        <v>945</v>
      </c>
      <c r="B273" s="174" t="s">
        <v>30</v>
      </c>
      <c r="C273" s="175"/>
      <c r="D273" s="45" t="s">
        <v>31</v>
      </c>
      <c r="E273" s="73" t="s">
        <v>428</v>
      </c>
      <c r="F273" s="82">
        <f>IFERROR(VLOOKUP(E273,客户!B:C,2,FALSE),"/")</f>
        <v>0</v>
      </c>
      <c r="G273" s="85" t="s">
        <v>946</v>
      </c>
      <c r="H273" s="45" t="s">
        <v>127</v>
      </c>
      <c r="I273" s="45" t="s">
        <v>947</v>
      </c>
      <c r="J273" s="110">
        <v>43832</v>
      </c>
      <c r="K273" s="110">
        <v>43967</v>
      </c>
      <c r="L273" s="93">
        <v>43983</v>
      </c>
      <c r="M273" s="165" t="s">
        <v>948</v>
      </c>
      <c r="N273" s="202" t="s">
        <v>949</v>
      </c>
      <c r="O273" s="108" t="s">
        <v>523</v>
      </c>
      <c r="P273" s="107">
        <v>60692</v>
      </c>
      <c r="Q273" s="107">
        <v>6000</v>
      </c>
      <c r="R273" s="129"/>
      <c r="S273" s="130"/>
      <c r="T273" s="107">
        <v>54660</v>
      </c>
      <c r="U273" s="107"/>
      <c r="V273" s="245" t="s">
        <v>950</v>
      </c>
      <c r="W273" s="172"/>
    </row>
    <row r="274" s="39" customFormat="1" ht="22" customHeight="1" spans="1:23">
      <c r="A274" s="142" t="s">
        <v>951</v>
      </c>
      <c r="B274" s="174" t="s">
        <v>30</v>
      </c>
      <c r="C274" s="175"/>
      <c r="D274" s="45" t="s">
        <v>31</v>
      </c>
      <c r="E274" s="83" t="s">
        <v>952</v>
      </c>
      <c r="F274" s="82">
        <f>IFERROR(VLOOKUP(E274,客户!B:C,2,FALSE),"/")</f>
        <v>0</v>
      </c>
      <c r="G274" s="85" t="s">
        <v>953</v>
      </c>
      <c r="H274" s="45" t="s">
        <v>127</v>
      </c>
      <c r="I274" s="45" t="s">
        <v>947</v>
      </c>
      <c r="J274" s="110">
        <v>43832</v>
      </c>
      <c r="K274" s="146">
        <v>43918</v>
      </c>
      <c r="L274" s="93">
        <v>43934</v>
      </c>
      <c r="M274" s="165" t="s">
        <v>954</v>
      </c>
      <c r="N274" s="202" t="s">
        <v>955</v>
      </c>
      <c r="O274" s="108" t="s">
        <v>523</v>
      </c>
      <c r="P274" s="107">
        <v>38720</v>
      </c>
      <c r="Q274" s="107">
        <v>15000</v>
      </c>
      <c r="R274" s="241"/>
      <c r="S274" s="242"/>
      <c r="T274" s="107">
        <v>23688</v>
      </c>
      <c r="U274" s="107"/>
      <c r="V274" s="246" t="s">
        <v>956</v>
      </c>
      <c r="W274" s="172"/>
    </row>
    <row r="275" s="39" customFormat="1" ht="22" customHeight="1" spans="1:23">
      <c r="A275" s="142" t="s">
        <v>957</v>
      </c>
      <c r="B275" s="174" t="s">
        <v>30</v>
      </c>
      <c r="C275" s="175"/>
      <c r="D275" s="45" t="s">
        <v>31</v>
      </c>
      <c r="E275" s="83" t="s">
        <v>952</v>
      </c>
      <c r="F275" s="82"/>
      <c r="G275" s="85" t="s">
        <v>953</v>
      </c>
      <c r="H275" s="45" t="s">
        <v>127</v>
      </c>
      <c r="I275" s="45" t="s">
        <v>947</v>
      </c>
      <c r="J275" s="110">
        <v>43832</v>
      </c>
      <c r="K275" s="146">
        <v>43939</v>
      </c>
      <c r="L275" s="93">
        <v>43955</v>
      </c>
      <c r="M275" s="165" t="s">
        <v>958</v>
      </c>
      <c r="N275" s="202" t="s">
        <v>959</v>
      </c>
      <c r="O275" s="108" t="s">
        <v>523</v>
      </c>
      <c r="P275" s="107">
        <v>39571.2</v>
      </c>
      <c r="Q275" s="107">
        <v>4500</v>
      </c>
      <c r="R275" s="241"/>
      <c r="S275" s="242"/>
      <c r="T275" s="107">
        <v>35040</v>
      </c>
      <c r="U275" s="107"/>
      <c r="V275" s="246" t="s">
        <v>960</v>
      </c>
      <c r="W275" s="172"/>
    </row>
    <row r="276" s="39" customFormat="1" ht="22" customHeight="1" spans="1:23">
      <c r="A276" s="142" t="s">
        <v>961</v>
      </c>
      <c r="B276" s="174" t="s">
        <v>30</v>
      </c>
      <c r="C276" s="175"/>
      <c r="D276" s="45" t="s">
        <v>31</v>
      </c>
      <c r="E276" s="83" t="s">
        <v>744</v>
      </c>
      <c r="F276" s="82">
        <f>IFERROR(VLOOKUP(E276,客户!B:C,2,FALSE),"/")</f>
        <v>0</v>
      </c>
      <c r="G276" s="85" t="s">
        <v>941</v>
      </c>
      <c r="H276" s="45" t="s">
        <v>123</v>
      </c>
      <c r="I276" s="45" t="s">
        <v>962</v>
      </c>
      <c r="J276" s="110">
        <v>43838</v>
      </c>
      <c r="K276" s="110">
        <v>43937</v>
      </c>
      <c r="L276" s="93">
        <v>43966</v>
      </c>
      <c r="M276" s="165" t="s">
        <v>963</v>
      </c>
      <c r="N276" s="202" t="s">
        <v>964</v>
      </c>
      <c r="O276" s="108" t="s">
        <v>523</v>
      </c>
      <c r="P276" s="107">
        <v>16630.7</v>
      </c>
      <c r="Q276" s="107">
        <v>4918.95</v>
      </c>
      <c r="R276" s="241"/>
      <c r="S276" s="242"/>
      <c r="T276" s="107">
        <v>11666.75</v>
      </c>
      <c r="U276" s="107"/>
      <c r="V276" s="244" t="s">
        <v>965</v>
      </c>
      <c r="W276" s="172"/>
    </row>
    <row r="277" s="39" customFormat="1" ht="22" customHeight="1" spans="1:23">
      <c r="A277" s="220" t="s">
        <v>966</v>
      </c>
      <c r="B277" s="174" t="s">
        <v>30</v>
      </c>
      <c r="C277" s="175"/>
      <c r="D277" s="45" t="s">
        <v>31</v>
      </c>
      <c r="E277" s="83" t="s">
        <v>967</v>
      </c>
      <c r="F277" s="82">
        <f>IFERROR(VLOOKUP(E277,客户!B:C,2,FALSE),"/")</f>
        <v>0</v>
      </c>
      <c r="G277" s="85" t="s">
        <v>941</v>
      </c>
      <c r="H277" s="45" t="s">
        <v>123</v>
      </c>
      <c r="I277" s="230" t="s">
        <v>968</v>
      </c>
      <c r="J277" s="110">
        <v>43846</v>
      </c>
      <c r="K277" s="110">
        <v>44117</v>
      </c>
      <c r="L277" s="93"/>
      <c r="M277" s="165" t="s">
        <v>969</v>
      </c>
      <c r="N277" s="110"/>
      <c r="O277" s="108" t="s">
        <v>970</v>
      </c>
      <c r="P277" s="107">
        <v>7635</v>
      </c>
      <c r="Q277" s="107"/>
      <c r="R277" s="241"/>
      <c r="S277" s="242"/>
      <c r="T277" s="107">
        <v>7635</v>
      </c>
      <c r="U277" s="107"/>
      <c r="V277" s="128"/>
      <c r="W277" s="172"/>
    </row>
    <row r="278" s="39" customFormat="1" ht="22" customHeight="1" spans="1:23">
      <c r="A278" s="142" t="s">
        <v>971</v>
      </c>
      <c r="B278" s="174" t="s">
        <v>30</v>
      </c>
      <c r="C278" s="175"/>
      <c r="D278" s="45" t="s">
        <v>31</v>
      </c>
      <c r="E278" s="83" t="s">
        <v>972</v>
      </c>
      <c r="F278" s="82" t="str">
        <f>IFERROR(VLOOKUP(E278,客户!B:C,2,FALSE),"/")</f>
        <v>$53.50 TUV Austria administration cost 革力减掉150代理费</v>
      </c>
      <c r="G278" s="85" t="s">
        <v>973</v>
      </c>
      <c r="H278" s="45" t="s">
        <v>123</v>
      </c>
      <c r="I278" s="45" t="s">
        <v>340</v>
      </c>
      <c r="J278" s="110">
        <v>43847</v>
      </c>
      <c r="K278" s="146">
        <v>43983</v>
      </c>
      <c r="L278" s="93">
        <v>44018</v>
      </c>
      <c r="M278" s="165" t="s">
        <v>974</v>
      </c>
      <c r="N278" s="202" t="s">
        <v>975</v>
      </c>
      <c r="O278" s="108" t="s">
        <v>523</v>
      </c>
      <c r="P278" s="107">
        <v>18247.93</v>
      </c>
      <c r="Q278" s="107">
        <v>5632</v>
      </c>
      <c r="R278" s="241"/>
      <c r="S278" s="242"/>
      <c r="T278" s="107">
        <v>12566.97</v>
      </c>
      <c r="U278" s="107"/>
      <c r="V278" s="247" t="s">
        <v>976</v>
      </c>
      <c r="W278" s="172"/>
    </row>
    <row r="279" s="39" customFormat="1" ht="22" customHeight="1" spans="1:23">
      <c r="A279" s="142" t="s">
        <v>977</v>
      </c>
      <c r="B279" s="174" t="s">
        <v>30</v>
      </c>
      <c r="C279" s="175"/>
      <c r="D279" s="45" t="s">
        <v>31</v>
      </c>
      <c r="E279" s="83" t="s">
        <v>978</v>
      </c>
      <c r="F279" s="82" t="str">
        <f>IFERROR(VLOOKUP(E279,客户!B:C,2,FALSE),"/")</f>
        <v>收货人可能变 每次和客户确认下收货人 必须受到客户明确回复</v>
      </c>
      <c r="G279" s="85" t="s">
        <v>979</v>
      </c>
      <c r="H279" s="45" t="s">
        <v>123</v>
      </c>
      <c r="I279" s="45" t="s">
        <v>980</v>
      </c>
      <c r="J279" s="110">
        <v>43865</v>
      </c>
      <c r="K279" s="110">
        <v>43935</v>
      </c>
      <c r="L279" s="93">
        <v>43960</v>
      </c>
      <c r="M279" s="165" t="s">
        <v>981</v>
      </c>
      <c r="N279" s="202" t="s">
        <v>982</v>
      </c>
      <c r="O279" s="108" t="s">
        <v>523</v>
      </c>
      <c r="P279" s="107">
        <v>41435.95</v>
      </c>
      <c r="Q279" s="107">
        <v>12000</v>
      </c>
      <c r="R279" s="241"/>
      <c r="S279" s="242"/>
      <c r="T279" s="107">
        <v>7000</v>
      </c>
      <c r="U279" s="107">
        <v>26000</v>
      </c>
      <c r="V279" s="219" t="s">
        <v>983</v>
      </c>
      <c r="W279" s="172"/>
    </row>
    <row r="280" s="39" customFormat="1" ht="22" customHeight="1" spans="1:23">
      <c r="A280" s="142" t="s">
        <v>984</v>
      </c>
      <c r="B280" s="174" t="s">
        <v>30</v>
      </c>
      <c r="C280" s="175"/>
      <c r="D280" s="45" t="s">
        <v>31</v>
      </c>
      <c r="E280" s="83" t="s">
        <v>768</v>
      </c>
      <c r="F280" s="82">
        <f>IFERROR(VLOOKUP(E280,客户!B:C,2,FALSE),"/")</f>
        <v>0</v>
      </c>
      <c r="G280" s="85" t="s">
        <v>985</v>
      </c>
      <c r="H280" s="45" t="s">
        <v>123</v>
      </c>
      <c r="I280" s="45" t="s">
        <v>986</v>
      </c>
      <c r="J280" s="110">
        <v>43867</v>
      </c>
      <c r="K280" s="110">
        <v>43997</v>
      </c>
      <c r="L280" s="93">
        <v>44023</v>
      </c>
      <c r="M280" s="165" t="s">
        <v>987</v>
      </c>
      <c r="N280" s="202" t="s">
        <v>988</v>
      </c>
      <c r="O280" s="108" t="s">
        <v>523</v>
      </c>
      <c r="P280" s="107">
        <v>20523.5</v>
      </c>
      <c r="Q280" s="107">
        <v>6157</v>
      </c>
      <c r="R280" s="241"/>
      <c r="S280" s="242"/>
      <c r="T280" s="107">
        <v>14346.5</v>
      </c>
      <c r="U280" s="107"/>
      <c r="V280" s="247" t="s">
        <v>989</v>
      </c>
      <c r="W280" s="172"/>
    </row>
    <row r="281" s="39" customFormat="1" ht="22" customHeight="1" spans="1:23">
      <c r="A281" s="142" t="s">
        <v>990</v>
      </c>
      <c r="B281" s="174" t="s">
        <v>30</v>
      </c>
      <c r="C281" s="175"/>
      <c r="D281" s="45" t="s">
        <v>31</v>
      </c>
      <c r="E281" s="83" t="s">
        <v>991</v>
      </c>
      <c r="F281" s="82" t="str">
        <f>IFERROR(VLOOKUP(E281,客户!B:C,2,FALSE),"/")</f>
        <v>外送费用945人民币+装箱费用 加在发票里</v>
      </c>
      <c r="G281" s="85" t="s">
        <v>234</v>
      </c>
      <c r="H281" s="45" t="s">
        <v>147</v>
      </c>
      <c r="I281" s="45" t="s">
        <v>992</v>
      </c>
      <c r="J281" s="110">
        <v>43867</v>
      </c>
      <c r="K281" s="110">
        <v>43947</v>
      </c>
      <c r="L281" s="231">
        <v>43987</v>
      </c>
      <c r="M281" s="165" t="s">
        <v>993</v>
      </c>
      <c r="N281" s="202" t="s">
        <v>994</v>
      </c>
      <c r="O281" s="108" t="s">
        <v>680</v>
      </c>
      <c r="P281" s="107">
        <v>56038</v>
      </c>
      <c r="Q281" s="107"/>
      <c r="R281" s="241"/>
      <c r="S281" s="242"/>
      <c r="T281" s="107">
        <v>55715.39</v>
      </c>
      <c r="U281" s="107"/>
      <c r="V281" s="128"/>
      <c r="W281" s="172"/>
    </row>
    <row r="282" s="39" customFormat="1" ht="22" customHeight="1" spans="1:23">
      <c r="A282" s="142" t="s">
        <v>995</v>
      </c>
      <c r="B282" s="174" t="s">
        <v>30</v>
      </c>
      <c r="C282" s="175"/>
      <c r="D282" s="45" t="s">
        <v>31</v>
      </c>
      <c r="E282" s="83" t="s">
        <v>991</v>
      </c>
      <c r="F282" s="82" t="str">
        <f>IFERROR(VLOOKUP(E282,客户!B:C,2,FALSE),"/")</f>
        <v>外送费用945人民币+装箱费用 加在发票里</v>
      </c>
      <c r="G282" s="85" t="s">
        <v>996</v>
      </c>
      <c r="H282" s="45" t="s">
        <v>147</v>
      </c>
      <c r="I282" s="45" t="s">
        <v>997</v>
      </c>
      <c r="J282" s="110">
        <v>43867</v>
      </c>
      <c r="K282" s="110">
        <v>44010</v>
      </c>
      <c r="L282" s="231">
        <v>44045</v>
      </c>
      <c r="M282" s="165" t="s">
        <v>998</v>
      </c>
      <c r="N282" s="202" t="s">
        <v>999</v>
      </c>
      <c r="O282" s="108" t="s">
        <v>680</v>
      </c>
      <c r="P282" s="107">
        <v>59970</v>
      </c>
      <c r="Q282" s="107"/>
      <c r="R282" s="241"/>
      <c r="S282" s="242"/>
      <c r="T282" s="107">
        <v>59970</v>
      </c>
      <c r="U282" s="107"/>
      <c r="V282" s="128"/>
      <c r="W282" s="172"/>
    </row>
    <row r="283" s="39" customFormat="1" ht="22" customHeight="1" spans="1:23">
      <c r="A283" s="142" t="s">
        <v>1000</v>
      </c>
      <c r="B283" s="174" t="s">
        <v>30</v>
      </c>
      <c r="C283" s="175"/>
      <c r="D283" s="45" t="s">
        <v>31</v>
      </c>
      <c r="E283" s="83" t="s">
        <v>991</v>
      </c>
      <c r="F283" s="82" t="str">
        <f>IFERROR(VLOOKUP(E283,客户!B:C,2,FALSE),"/")</f>
        <v>外送费用945人民币+装箱费用 加在发票里</v>
      </c>
      <c r="G283" s="85" t="s">
        <v>234</v>
      </c>
      <c r="H283" s="45" t="s">
        <v>147</v>
      </c>
      <c r="I283" s="45" t="s">
        <v>1001</v>
      </c>
      <c r="J283" s="110">
        <v>43873</v>
      </c>
      <c r="K283" s="146">
        <v>43988</v>
      </c>
      <c r="L283" s="93">
        <v>44027</v>
      </c>
      <c r="M283" s="202" t="s">
        <v>1002</v>
      </c>
      <c r="N283" s="202" t="s">
        <v>1003</v>
      </c>
      <c r="O283" s="108" t="s">
        <v>680</v>
      </c>
      <c r="P283" s="107">
        <v>59242</v>
      </c>
      <c r="Q283" s="107"/>
      <c r="R283" s="241"/>
      <c r="S283" s="242"/>
      <c r="T283" s="107">
        <v>59074.84</v>
      </c>
      <c r="U283" s="107"/>
      <c r="V283" s="128"/>
      <c r="W283" s="172"/>
    </row>
    <row r="284" s="39" customFormat="1" ht="22" customHeight="1" spans="1:23">
      <c r="A284" s="142" t="s">
        <v>1004</v>
      </c>
      <c r="B284" s="174" t="s">
        <v>30</v>
      </c>
      <c r="C284" s="175"/>
      <c r="D284" s="45" t="s">
        <v>31</v>
      </c>
      <c r="E284" s="73" t="s">
        <v>60</v>
      </c>
      <c r="F284" s="82" t="str">
        <f>IFERROR(VLOOKUP(E284,客户!B:C,2,FALSE),"/")</f>
        <v>外送费用945人民币+装箱费用 加在发票里</v>
      </c>
      <c r="G284" s="85" t="s">
        <v>1005</v>
      </c>
      <c r="H284" s="45" t="s">
        <v>147</v>
      </c>
      <c r="I284" s="45" t="s">
        <v>1001</v>
      </c>
      <c r="J284" s="110">
        <v>43873</v>
      </c>
      <c r="K284" s="110">
        <v>44018</v>
      </c>
      <c r="L284" s="93">
        <v>44063</v>
      </c>
      <c r="M284" s="165" t="s">
        <v>1006</v>
      </c>
      <c r="N284" s="202" t="s">
        <v>1007</v>
      </c>
      <c r="O284" s="108" t="s">
        <v>680</v>
      </c>
      <c r="P284" s="107">
        <v>40649</v>
      </c>
      <c r="Q284" s="107"/>
      <c r="R284" s="241"/>
      <c r="S284" s="242"/>
      <c r="T284" s="107">
        <v>40649</v>
      </c>
      <c r="U284" s="107"/>
      <c r="V284" s="128"/>
      <c r="W284" s="172"/>
    </row>
    <row r="285" s="39" customFormat="1" ht="22" customHeight="1" spans="1:23">
      <c r="A285" s="142" t="s">
        <v>1008</v>
      </c>
      <c r="B285" s="174" t="s">
        <v>30</v>
      </c>
      <c r="C285" s="175"/>
      <c r="D285" s="45" t="s">
        <v>31</v>
      </c>
      <c r="E285" s="83" t="s">
        <v>817</v>
      </c>
      <c r="F285" s="82">
        <f>IFERROR(VLOOKUP(E285,客户!B:C,2,FALSE),"/")</f>
        <v>0</v>
      </c>
      <c r="G285" s="85" t="s">
        <v>43</v>
      </c>
      <c r="H285" s="45" t="s">
        <v>123</v>
      </c>
      <c r="I285" s="45" t="s">
        <v>1009</v>
      </c>
      <c r="J285" s="110">
        <v>43878</v>
      </c>
      <c r="K285" s="146">
        <v>44184</v>
      </c>
      <c r="L285" s="93">
        <v>44244</v>
      </c>
      <c r="M285" s="165" t="s">
        <v>1010</v>
      </c>
      <c r="N285" s="202" t="s">
        <v>1011</v>
      </c>
      <c r="O285" s="108" t="s">
        <v>523</v>
      </c>
      <c r="P285" s="107">
        <v>20517.11</v>
      </c>
      <c r="Q285" s="107">
        <v>5000</v>
      </c>
      <c r="R285" s="241"/>
      <c r="S285" s="242"/>
      <c r="T285" s="107">
        <v>10893.73</v>
      </c>
      <c r="U285" s="107">
        <f>29800/6.447</f>
        <v>4622.30494803785</v>
      </c>
      <c r="V285" s="128"/>
      <c r="W285" s="172"/>
    </row>
    <row r="286" s="39" customFormat="1" ht="22" customHeight="1" spans="1:23">
      <c r="A286" s="142" t="s">
        <v>1012</v>
      </c>
      <c r="B286" s="174" t="s">
        <v>30</v>
      </c>
      <c r="C286" s="175"/>
      <c r="D286" s="45" t="s">
        <v>31</v>
      </c>
      <c r="E286" s="83" t="s">
        <v>817</v>
      </c>
      <c r="F286" s="82">
        <f>IFERROR(VLOOKUP(E286,客户!B:C,2,FALSE),"/")</f>
        <v>0</v>
      </c>
      <c r="G286" s="85" t="s">
        <v>43</v>
      </c>
      <c r="H286" s="45" t="s">
        <v>123</v>
      </c>
      <c r="I286" s="45" t="s">
        <v>1013</v>
      </c>
      <c r="J286" s="110">
        <v>43878</v>
      </c>
      <c r="K286" s="110">
        <v>44017</v>
      </c>
      <c r="L286" s="93">
        <v>44052</v>
      </c>
      <c r="M286" s="165" t="s">
        <v>1014</v>
      </c>
      <c r="N286" s="202" t="s">
        <v>1015</v>
      </c>
      <c r="O286" s="108" t="s">
        <v>523</v>
      </c>
      <c r="P286" s="107">
        <v>17260</v>
      </c>
      <c r="Q286" s="107">
        <v>5000</v>
      </c>
      <c r="R286" s="241"/>
      <c r="S286" s="242"/>
      <c r="T286" s="107">
        <v>10764.75</v>
      </c>
      <c r="U286" s="107">
        <f>9779/6.54</f>
        <v>1495.25993883792</v>
      </c>
      <c r="V286" s="219" t="s">
        <v>1016</v>
      </c>
      <c r="W286" s="172"/>
    </row>
    <row r="287" s="39" customFormat="1" ht="22" customHeight="1" spans="1:23">
      <c r="A287" s="142" t="s">
        <v>1017</v>
      </c>
      <c r="B287" s="174" t="s">
        <v>30</v>
      </c>
      <c r="C287" s="175"/>
      <c r="D287" s="45" t="s">
        <v>31</v>
      </c>
      <c r="E287" s="83" t="s">
        <v>991</v>
      </c>
      <c r="F287" s="82" t="str">
        <f>IFERROR(VLOOKUP(E287,客户!B:C,2,FALSE),"/")</f>
        <v>外送费用945人民币+装箱费用 加在发票里</v>
      </c>
      <c r="G287" s="85" t="s">
        <v>1018</v>
      </c>
      <c r="H287" s="45" t="s">
        <v>147</v>
      </c>
      <c r="I287" s="45" t="s">
        <v>997</v>
      </c>
      <c r="J287" s="110">
        <v>43886</v>
      </c>
      <c r="K287" s="110">
        <v>44058</v>
      </c>
      <c r="L287" s="93">
        <v>44099</v>
      </c>
      <c r="M287" s="165" t="s">
        <v>1019</v>
      </c>
      <c r="N287" s="202" t="s">
        <v>1020</v>
      </c>
      <c r="O287" s="108" t="s">
        <v>680</v>
      </c>
      <c r="P287" s="107">
        <v>62229.2</v>
      </c>
      <c r="Q287" s="107"/>
      <c r="R287" s="241"/>
      <c r="S287" s="242"/>
      <c r="T287" s="107">
        <v>62229.2</v>
      </c>
      <c r="U287" s="107"/>
      <c r="V287" s="128"/>
      <c r="W287" s="172"/>
    </row>
    <row r="288" s="44" customFormat="1" ht="22"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2">
        <v>43886</v>
      </c>
      <c r="K288" s="232">
        <v>44110</v>
      </c>
      <c r="L288" s="233">
        <v>44147</v>
      </c>
      <c r="M288" s="236" t="s">
        <v>1023</v>
      </c>
      <c r="N288" s="237" t="s">
        <v>1024</v>
      </c>
      <c r="O288" s="238" t="s">
        <v>680</v>
      </c>
      <c r="P288" s="239">
        <v>81829.2</v>
      </c>
      <c r="Q288" s="239"/>
      <c r="R288" s="241"/>
      <c r="S288" s="243"/>
      <c r="T288" s="239">
        <v>81829.2</v>
      </c>
      <c r="U288" s="239"/>
      <c r="V288" s="248"/>
      <c r="W288" s="249"/>
    </row>
    <row r="289" s="44" customFormat="1" ht="22"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2">
        <v>43888</v>
      </c>
      <c r="K289" s="234">
        <v>44133</v>
      </c>
      <c r="L289" s="233">
        <v>44170</v>
      </c>
      <c r="M289" s="236" t="s">
        <v>1027</v>
      </c>
      <c r="N289" s="237" t="s">
        <v>1028</v>
      </c>
      <c r="O289" s="238" t="s">
        <v>680</v>
      </c>
      <c r="P289" s="239">
        <v>42314</v>
      </c>
      <c r="Q289" s="239"/>
      <c r="R289" s="241"/>
      <c r="S289" s="243"/>
      <c r="T289" s="239">
        <v>42314</v>
      </c>
      <c r="U289" s="239"/>
      <c r="V289" s="248"/>
      <c r="W289" s="249"/>
    </row>
    <row r="290" s="39" customFormat="1" ht="22" customHeight="1" spans="1:23">
      <c r="A290" s="142" t="s">
        <v>1029</v>
      </c>
      <c r="B290" s="174" t="s">
        <v>30</v>
      </c>
      <c r="C290" s="175"/>
      <c r="D290" s="45" t="s">
        <v>31</v>
      </c>
      <c r="E290" s="73" t="s">
        <v>60</v>
      </c>
      <c r="F290" s="82" t="str">
        <f>IFERROR(VLOOKUP(E290,客户!B:C,2,FALSE),"/")</f>
        <v>外送费用945人民币+装箱费用 加在发票里</v>
      </c>
      <c r="G290" s="85" t="s">
        <v>1026</v>
      </c>
      <c r="H290" s="45" t="s">
        <v>396</v>
      </c>
      <c r="I290" s="45" t="s">
        <v>1030</v>
      </c>
      <c r="J290" s="110">
        <v>43888</v>
      </c>
      <c r="K290" s="110">
        <v>44029</v>
      </c>
      <c r="L290" s="93">
        <v>44070</v>
      </c>
      <c r="M290" s="165" t="s">
        <v>1031</v>
      </c>
      <c r="N290" s="202" t="s">
        <v>1032</v>
      </c>
      <c r="O290" s="108" t="s">
        <v>680</v>
      </c>
      <c r="P290" s="107">
        <v>42400</v>
      </c>
      <c r="Q290" s="107"/>
      <c r="R290" s="241"/>
      <c r="S290" s="242"/>
      <c r="T290" s="107">
        <v>42400</v>
      </c>
      <c r="U290" s="107"/>
      <c r="V290" s="128"/>
      <c r="W290" s="172"/>
    </row>
    <row r="291" s="39" customFormat="1" ht="22" customHeight="1" spans="1:23">
      <c r="A291" s="142" t="s">
        <v>1033</v>
      </c>
      <c r="B291" s="174" t="s">
        <v>30</v>
      </c>
      <c r="C291" s="175"/>
      <c r="D291" s="45" t="s">
        <v>31</v>
      </c>
      <c r="E291" s="73" t="s">
        <v>1034</v>
      </c>
      <c r="F291" s="82" t="str">
        <f>IFERROR(VLOOKUP(E291,客户!B:C,2,FALSE),"/")</f>
        <v>邮寄地址地区用2222</v>
      </c>
      <c r="G291" s="85" t="s">
        <v>93</v>
      </c>
      <c r="H291" s="45" t="s">
        <v>123</v>
      </c>
      <c r="I291" s="45" t="s">
        <v>1035</v>
      </c>
      <c r="J291" s="110">
        <v>43893</v>
      </c>
      <c r="K291" s="110">
        <v>43915</v>
      </c>
      <c r="L291" s="93">
        <v>43927</v>
      </c>
      <c r="M291" s="146" t="s">
        <v>1036</v>
      </c>
      <c r="N291" s="202" t="s">
        <v>1037</v>
      </c>
      <c r="O291" s="108" t="s">
        <v>523</v>
      </c>
      <c r="P291" s="107">
        <v>19364.18</v>
      </c>
      <c r="Q291" s="107">
        <v>5795</v>
      </c>
      <c r="R291" s="241">
        <v>0</v>
      </c>
      <c r="S291" s="242"/>
      <c r="T291" s="107">
        <v>13176.97</v>
      </c>
      <c r="U291" s="107">
        <f>2761.2/7.08</f>
        <v>390</v>
      </c>
      <c r="V291" s="173" t="s">
        <v>1038</v>
      </c>
      <c r="W291" s="172"/>
    </row>
    <row r="292" s="39" customFormat="1" ht="22" customHeight="1" spans="1:23">
      <c r="A292" s="142" t="s">
        <v>1039</v>
      </c>
      <c r="B292" s="174" t="s">
        <v>30</v>
      </c>
      <c r="C292" s="175"/>
      <c r="D292" s="45" t="s">
        <v>31</v>
      </c>
      <c r="E292" s="83" t="s">
        <v>1040</v>
      </c>
      <c r="F292" s="82">
        <f>IFERROR(VLOOKUP(E292,客户!B:C,2,FALSE),"/")</f>
        <v>0</v>
      </c>
      <c r="G292" s="85" t="s">
        <v>941</v>
      </c>
      <c r="H292" s="45" t="s">
        <v>123</v>
      </c>
      <c r="I292" s="45" t="s">
        <v>904</v>
      </c>
      <c r="J292" s="110">
        <v>43895</v>
      </c>
      <c r="K292" s="146">
        <v>43997</v>
      </c>
      <c r="L292" s="93">
        <v>44030</v>
      </c>
      <c r="M292" s="165" t="s">
        <v>1041</v>
      </c>
      <c r="N292" s="202" t="s">
        <v>1042</v>
      </c>
      <c r="O292" s="108" t="s">
        <v>523</v>
      </c>
      <c r="P292" s="107">
        <v>19593.46</v>
      </c>
      <c r="Q292" s="107"/>
      <c r="R292" s="241"/>
      <c r="S292" s="242"/>
      <c r="T292" s="107">
        <v>15322.5</v>
      </c>
      <c r="U292" s="107">
        <f>29490/6.97</f>
        <v>4230.98995695839</v>
      </c>
      <c r="V292" s="173"/>
      <c r="W292" s="172"/>
    </row>
    <row r="293" s="39" customFormat="1" ht="22" customHeight="1" spans="1:23">
      <c r="A293" s="142" t="s">
        <v>1043</v>
      </c>
      <c r="B293" s="174" t="s">
        <v>30</v>
      </c>
      <c r="C293" s="175"/>
      <c r="D293" s="45" t="s">
        <v>31</v>
      </c>
      <c r="E293" s="83" t="s">
        <v>1040</v>
      </c>
      <c r="F293" s="82">
        <f>IFERROR(VLOOKUP(E293,客户!B:C,2,FALSE),"/")</f>
        <v>0</v>
      </c>
      <c r="G293" s="85" t="s">
        <v>941</v>
      </c>
      <c r="H293" s="45" t="s">
        <v>123</v>
      </c>
      <c r="I293" s="45" t="s">
        <v>904</v>
      </c>
      <c r="J293" s="110">
        <v>43895</v>
      </c>
      <c r="K293" s="146">
        <v>44045</v>
      </c>
      <c r="L293" s="93">
        <v>44076</v>
      </c>
      <c r="M293" s="165" t="s">
        <v>1044</v>
      </c>
      <c r="N293" s="202" t="s">
        <v>1045</v>
      </c>
      <c r="O293" s="108" t="s">
        <v>523</v>
      </c>
      <c r="P293" s="107">
        <v>20989.63</v>
      </c>
      <c r="Q293" s="107"/>
      <c r="R293" s="241"/>
      <c r="S293" s="242"/>
      <c r="T293" s="107">
        <v>15849.38</v>
      </c>
      <c r="U293" s="107">
        <f>34950/6.81</f>
        <v>5132.15859030837</v>
      </c>
      <c r="V293" s="173" t="s">
        <v>1046</v>
      </c>
      <c r="W293" s="172"/>
    </row>
    <row r="294" s="39" customFormat="1" ht="22" customHeight="1" spans="1:23">
      <c r="A294" s="142" t="s">
        <v>1047</v>
      </c>
      <c r="B294" s="174" t="s">
        <v>30</v>
      </c>
      <c r="C294" s="175"/>
      <c r="D294" s="45" t="s">
        <v>31</v>
      </c>
      <c r="E294" s="83" t="s">
        <v>692</v>
      </c>
      <c r="F294" s="82">
        <f>IFERROR(VLOOKUP(E294,客户!B:C,2,FALSE),"/")</f>
        <v>0</v>
      </c>
      <c r="G294" s="85" t="s">
        <v>1048</v>
      </c>
      <c r="H294" s="45" t="s">
        <v>123</v>
      </c>
      <c r="I294" s="45" t="s">
        <v>925</v>
      </c>
      <c r="J294" s="110">
        <v>43895</v>
      </c>
      <c r="K294" s="110">
        <v>44031</v>
      </c>
      <c r="L294" s="93">
        <v>44066</v>
      </c>
      <c r="M294" s="165" t="s">
        <v>1049</v>
      </c>
      <c r="N294" s="202" t="s">
        <v>1050</v>
      </c>
      <c r="O294" s="108" t="s">
        <v>523</v>
      </c>
      <c r="P294" s="107">
        <v>16692.71</v>
      </c>
      <c r="Q294" s="107">
        <v>2505</v>
      </c>
      <c r="R294" s="241"/>
      <c r="S294" s="242"/>
      <c r="T294" s="107">
        <v>8347</v>
      </c>
      <c r="U294" s="107">
        <v>5840.63</v>
      </c>
      <c r="V294" s="219" t="s">
        <v>1051</v>
      </c>
      <c r="W294" s="172"/>
    </row>
    <row r="295" s="39" customFormat="1" ht="22" customHeight="1" spans="1:23">
      <c r="A295" s="142" t="s">
        <v>1052</v>
      </c>
      <c r="B295" s="174" t="s">
        <v>30</v>
      </c>
      <c r="C295" s="175"/>
      <c r="D295" s="45" t="s">
        <v>31</v>
      </c>
      <c r="E295" s="73" t="s">
        <v>706</v>
      </c>
      <c r="F295" s="82">
        <f>IFERROR(VLOOKUP(E295,客户!B:C,2,FALSE),"/")</f>
        <v>0</v>
      </c>
      <c r="G295" s="85" t="s">
        <v>1053</v>
      </c>
      <c r="H295" s="45" t="s">
        <v>186</v>
      </c>
      <c r="I295" s="45"/>
      <c r="J295" s="110">
        <v>43895</v>
      </c>
      <c r="K295" s="110">
        <v>44084</v>
      </c>
      <c r="L295" s="93"/>
      <c r="M295" s="165" t="s">
        <v>1054</v>
      </c>
      <c r="N295" s="110"/>
      <c r="O295" s="108" t="s">
        <v>970</v>
      </c>
      <c r="P295" s="240">
        <v>115080</v>
      </c>
      <c r="Q295" s="240">
        <v>25000</v>
      </c>
      <c r="R295" s="241"/>
      <c r="S295" s="242"/>
      <c r="T295" s="240">
        <v>92330</v>
      </c>
      <c r="U295" s="240">
        <v>11664</v>
      </c>
      <c r="V295" s="219" t="s">
        <v>1055</v>
      </c>
      <c r="W295" s="172"/>
    </row>
    <row r="296" s="39" customFormat="1" ht="22" customHeight="1" spans="1:23">
      <c r="A296" s="142" t="s">
        <v>1056</v>
      </c>
      <c r="B296" s="174" t="s">
        <v>30</v>
      </c>
      <c r="C296" s="175"/>
      <c r="D296" s="45" t="s">
        <v>31</v>
      </c>
      <c r="E296" s="73" t="s">
        <v>706</v>
      </c>
      <c r="F296" s="82">
        <f>IFERROR(VLOOKUP(E296,客户!B:C,2,FALSE),"/")</f>
        <v>0</v>
      </c>
      <c r="G296" s="85" t="s">
        <v>1053</v>
      </c>
      <c r="H296" s="45" t="s">
        <v>186</v>
      </c>
      <c r="I296" s="45"/>
      <c r="J296" s="110">
        <v>43895</v>
      </c>
      <c r="K296" s="110">
        <v>43974</v>
      </c>
      <c r="L296" s="93"/>
      <c r="M296" s="165" t="s">
        <v>1057</v>
      </c>
      <c r="N296" s="202" t="s">
        <v>717</v>
      </c>
      <c r="O296" s="108" t="s">
        <v>970</v>
      </c>
      <c r="P296" s="107" t="s">
        <v>1058</v>
      </c>
      <c r="Q296" s="107" t="s">
        <v>1059</v>
      </c>
      <c r="R296" s="241"/>
      <c r="S296" s="242"/>
      <c r="T296" s="107" t="s">
        <v>1060</v>
      </c>
      <c r="U296" s="93"/>
      <c r="V296" s="219" t="s">
        <v>1061</v>
      </c>
      <c r="W296" s="172"/>
    </row>
    <row r="297" s="39" customFormat="1" ht="22" customHeight="1" spans="1:23">
      <c r="A297" s="142" t="s">
        <v>1062</v>
      </c>
      <c r="B297" s="174" t="s">
        <v>30</v>
      </c>
      <c r="C297" s="175"/>
      <c r="D297" s="45" t="s">
        <v>31</v>
      </c>
      <c r="E297" s="73" t="s">
        <v>706</v>
      </c>
      <c r="F297" s="82">
        <f>IFERROR(VLOOKUP(E297,客户!B:C,2,FALSE),"/")</f>
        <v>0</v>
      </c>
      <c r="G297" s="73" t="s">
        <v>1053</v>
      </c>
      <c r="H297" s="45" t="s">
        <v>186</v>
      </c>
      <c r="I297" s="45"/>
      <c r="J297" s="110">
        <v>43895</v>
      </c>
      <c r="K297" s="110">
        <v>43998</v>
      </c>
      <c r="L297" s="93"/>
      <c r="M297" s="165" t="s">
        <v>1063</v>
      </c>
      <c r="N297" s="110"/>
      <c r="O297" s="108" t="s">
        <v>970</v>
      </c>
      <c r="P297" s="107" t="s">
        <v>1064</v>
      </c>
      <c r="Q297" s="107" t="s">
        <v>1059</v>
      </c>
      <c r="R297" s="241"/>
      <c r="S297" s="242"/>
      <c r="T297" s="107" t="s">
        <v>1065</v>
      </c>
      <c r="U297" s="93"/>
      <c r="V297" s="128"/>
      <c r="W297" s="172"/>
    </row>
    <row r="298" s="39" customFormat="1" ht="22" customHeight="1" spans="1:23">
      <c r="A298" s="142" t="s">
        <v>1066</v>
      </c>
      <c r="B298" s="174" t="s">
        <v>30</v>
      </c>
      <c r="C298" s="175"/>
      <c r="D298" s="45" t="s">
        <v>31</v>
      </c>
      <c r="E298" s="83" t="s">
        <v>1067</v>
      </c>
      <c r="F298" s="82">
        <f>IFERROR(VLOOKUP(E298,客户!B:C,2,FALSE),"/")</f>
        <v>0</v>
      </c>
      <c r="G298" s="73" t="s">
        <v>1053</v>
      </c>
      <c r="H298" s="45" t="s">
        <v>186</v>
      </c>
      <c r="I298" s="45"/>
      <c r="J298" s="110">
        <v>43899</v>
      </c>
      <c r="K298" s="110">
        <v>43998</v>
      </c>
      <c r="L298" s="93"/>
      <c r="M298" s="165" t="s">
        <v>1068</v>
      </c>
      <c r="N298" s="110"/>
      <c r="O298" s="108" t="s">
        <v>970</v>
      </c>
      <c r="P298" s="107" t="s">
        <v>1064</v>
      </c>
      <c r="Q298" s="107" t="s">
        <v>1059</v>
      </c>
      <c r="R298" s="241"/>
      <c r="S298" s="242"/>
      <c r="T298" s="107" t="s">
        <v>1065</v>
      </c>
      <c r="U298" s="93"/>
      <c r="V298" s="128"/>
      <c r="W298" s="172"/>
    </row>
    <row r="299" s="39" customFormat="1" ht="22" customHeight="1" spans="1:23">
      <c r="A299" s="220" t="s">
        <v>1069</v>
      </c>
      <c r="B299" s="174" t="s">
        <v>30</v>
      </c>
      <c r="C299" s="175"/>
      <c r="D299" s="45" t="s">
        <v>31</v>
      </c>
      <c r="E299" s="83" t="s">
        <v>1070</v>
      </c>
      <c r="F299" s="82">
        <f>IFERROR(VLOOKUP(E299,客户!B:C,2,FALSE),"/")</f>
        <v>0</v>
      </c>
      <c r="G299" s="73" t="s">
        <v>200</v>
      </c>
      <c r="H299" s="45" t="s">
        <v>123</v>
      </c>
      <c r="I299" s="45" t="s">
        <v>210</v>
      </c>
      <c r="J299" s="110">
        <v>43901</v>
      </c>
      <c r="K299" s="110">
        <v>44025</v>
      </c>
      <c r="L299" s="93">
        <v>44062</v>
      </c>
      <c r="M299" s="165" t="s">
        <v>1071</v>
      </c>
      <c r="N299" s="202" t="s">
        <v>1072</v>
      </c>
      <c r="O299" s="108" t="s">
        <v>680</v>
      </c>
      <c r="P299" s="107">
        <v>57011.01</v>
      </c>
      <c r="Q299" s="107"/>
      <c r="R299" s="241"/>
      <c r="S299" s="242"/>
      <c r="T299" s="107">
        <v>57011.01</v>
      </c>
      <c r="U299" s="93"/>
      <c r="V299" s="128"/>
      <c r="W299" s="172"/>
    </row>
    <row r="300" s="39" customFormat="1" ht="22" customHeight="1" spans="1:23">
      <c r="A300" s="220" t="s">
        <v>1073</v>
      </c>
      <c r="B300" s="174" t="s">
        <v>30</v>
      </c>
      <c r="C300" s="175"/>
      <c r="D300" s="45" t="s">
        <v>31</v>
      </c>
      <c r="E300" s="83" t="s">
        <v>1070</v>
      </c>
      <c r="F300" s="82">
        <f>IFERROR(VLOOKUP(E300,客户!B:C,2,FALSE),"/")</f>
        <v>0</v>
      </c>
      <c r="G300" s="73" t="s">
        <v>200</v>
      </c>
      <c r="H300" s="45" t="s">
        <v>123</v>
      </c>
      <c r="I300" s="45" t="s">
        <v>210</v>
      </c>
      <c r="J300" s="110">
        <v>43901</v>
      </c>
      <c r="K300" s="110">
        <v>44036</v>
      </c>
      <c r="L300" s="93">
        <v>44068</v>
      </c>
      <c r="M300" s="165" t="s">
        <v>1074</v>
      </c>
      <c r="N300" s="202" t="s">
        <v>721</v>
      </c>
      <c r="O300" s="108" t="s">
        <v>680</v>
      </c>
      <c r="P300" s="107">
        <v>57059.59</v>
      </c>
      <c r="Q300" s="107"/>
      <c r="R300" s="241"/>
      <c r="S300" s="242"/>
      <c r="T300" s="107">
        <v>57059.59</v>
      </c>
      <c r="U300" s="93"/>
      <c r="V300" s="128"/>
      <c r="W300" s="172"/>
    </row>
    <row r="301" s="39" customFormat="1" ht="22" customHeight="1" spans="1:23">
      <c r="A301" s="142" t="s">
        <v>1075</v>
      </c>
      <c r="B301" s="174" t="s">
        <v>30</v>
      </c>
      <c r="C301" s="175"/>
      <c r="D301" s="45" t="s">
        <v>31</v>
      </c>
      <c r="E301" s="83" t="s">
        <v>1076</v>
      </c>
      <c r="F301" s="82">
        <f>IFERROR(VLOOKUP(E301,客户!B:C,2,FALSE),"/")</f>
        <v>0</v>
      </c>
      <c r="G301" s="73" t="s">
        <v>1077</v>
      </c>
      <c r="H301" s="45" t="s">
        <v>127</v>
      </c>
      <c r="I301" s="45" t="s">
        <v>1078</v>
      </c>
      <c r="J301" s="110">
        <v>43906</v>
      </c>
      <c r="K301" s="110">
        <v>44006</v>
      </c>
      <c r="L301" s="93">
        <v>44019</v>
      </c>
      <c r="M301" s="165" t="s">
        <v>1079</v>
      </c>
      <c r="N301" s="202" t="s">
        <v>1080</v>
      </c>
      <c r="O301" s="108" t="s">
        <v>523</v>
      </c>
      <c r="P301" s="107">
        <v>50634.6</v>
      </c>
      <c r="Q301" s="107">
        <v>15189</v>
      </c>
      <c r="R301" s="241"/>
      <c r="S301" s="242"/>
      <c r="T301" s="107">
        <v>4220.66</v>
      </c>
      <c r="U301" s="107">
        <v>31139.14</v>
      </c>
      <c r="V301" s="244" t="s">
        <v>1081</v>
      </c>
      <c r="W301" s="172"/>
    </row>
    <row r="302" s="39" customFormat="1" ht="22" customHeight="1" spans="1:23">
      <c r="A302" s="142" t="s">
        <v>1082</v>
      </c>
      <c r="B302" s="174" t="s">
        <v>30</v>
      </c>
      <c r="C302" s="175"/>
      <c r="D302" s="45" t="s">
        <v>31</v>
      </c>
      <c r="E302" s="83" t="s">
        <v>1083</v>
      </c>
      <c r="F302" s="82">
        <f>IFERROR(VLOOKUP(E302,客户!B:C,2,FALSE),"/")</f>
        <v>0</v>
      </c>
      <c r="G302" s="73" t="s">
        <v>1048</v>
      </c>
      <c r="H302" s="45" t="s">
        <v>147</v>
      </c>
      <c r="I302" s="45" t="s">
        <v>1084</v>
      </c>
      <c r="J302" s="110">
        <v>43908</v>
      </c>
      <c r="K302" s="93">
        <v>43945</v>
      </c>
      <c r="L302" s="93">
        <v>43958</v>
      </c>
      <c r="M302" s="165" t="s">
        <v>1085</v>
      </c>
      <c r="N302" s="202" t="s">
        <v>1086</v>
      </c>
      <c r="O302" s="108" t="s">
        <v>523</v>
      </c>
      <c r="P302" s="107">
        <v>21341.63</v>
      </c>
      <c r="Q302" s="107">
        <v>6405</v>
      </c>
      <c r="R302" s="241"/>
      <c r="S302" s="242"/>
      <c r="T302" s="107">
        <v>14899.05</v>
      </c>
      <c r="U302" s="93"/>
      <c r="V302" s="219" t="s">
        <v>1087</v>
      </c>
      <c r="W302" s="172"/>
    </row>
    <row r="303" s="39" customFormat="1" ht="22" customHeight="1" spans="1:23">
      <c r="A303" s="142" t="s">
        <v>1088</v>
      </c>
      <c r="B303" s="174" t="s">
        <v>30</v>
      </c>
      <c r="C303" s="175"/>
      <c r="D303" s="45" t="s">
        <v>31</v>
      </c>
      <c r="E303" s="83" t="s">
        <v>1083</v>
      </c>
      <c r="F303" s="82">
        <f>IFERROR(VLOOKUP(E303,客户!B:C,2,FALSE),"/")</f>
        <v>0</v>
      </c>
      <c r="G303" s="73" t="s">
        <v>1048</v>
      </c>
      <c r="H303" s="45" t="s">
        <v>147</v>
      </c>
      <c r="I303" s="45" t="s">
        <v>1084</v>
      </c>
      <c r="J303" s="110">
        <v>43921</v>
      </c>
      <c r="K303" s="110">
        <v>43984</v>
      </c>
      <c r="L303" s="93">
        <v>43996</v>
      </c>
      <c r="M303" s="165" t="s">
        <v>1089</v>
      </c>
      <c r="N303" s="202" t="s">
        <v>1090</v>
      </c>
      <c r="O303" s="108" t="s">
        <v>523</v>
      </c>
      <c r="P303" s="107">
        <v>22124.38</v>
      </c>
      <c r="Q303" s="107">
        <v>6637.31</v>
      </c>
      <c r="R303" s="241"/>
      <c r="S303" s="242"/>
      <c r="T303" s="107">
        <v>15453.07</v>
      </c>
      <c r="U303" s="93"/>
      <c r="V303" s="247" t="s">
        <v>1091</v>
      </c>
      <c r="W303" s="172"/>
    </row>
    <row r="304" s="39" customFormat="1" ht="22" customHeight="1" spans="1:23">
      <c r="A304" s="142" t="s">
        <v>1092</v>
      </c>
      <c r="B304" s="174" t="s">
        <v>30</v>
      </c>
      <c r="C304" s="175"/>
      <c r="D304" s="45" t="s">
        <v>31</v>
      </c>
      <c r="E304" s="83" t="s">
        <v>1093</v>
      </c>
      <c r="F304" s="82">
        <f>IFERROR(VLOOKUP(E304,客户!B:C,2,FALSE),"/")</f>
        <v>0</v>
      </c>
      <c r="G304" s="73" t="s">
        <v>1094</v>
      </c>
      <c r="H304" s="45" t="s">
        <v>123</v>
      </c>
      <c r="I304" s="45" t="s">
        <v>1095</v>
      </c>
      <c r="J304" s="110">
        <v>43926</v>
      </c>
      <c r="K304" s="110">
        <v>43983</v>
      </c>
      <c r="L304" s="93">
        <v>44024</v>
      </c>
      <c r="M304" s="165" t="s">
        <v>1096</v>
      </c>
      <c r="N304" s="202" t="s">
        <v>1097</v>
      </c>
      <c r="O304" s="108" t="s">
        <v>523</v>
      </c>
      <c r="P304" s="107">
        <v>19353</v>
      </c>
      <c r="Q304" s="107">
        <v>5000</v>
      </c>
      <c r="R304" s="241"/>
      <c r="S304" s="242"/>
      <c r="T304" s="107">
        <v>14315</v>
      </c>
      <c r="U304" s="93"/>
      <c r="V304" s="244" t="s">
        <v>1098</v>
      </c>
      <c r="W304" s="172"/>
    </row>
    <row r="305" s="39" customFormat="1" ht="22" customHeight="1" spans="1:23">
      <c r="A305" s="142" t="s">
        <v>1099</v>
      </c>
      <c r="B305" s="174" t="s">
        <v>30</v>
      </c>
      <c r="C305" s="175"/>
      <c r="D305" s="45" t="s">
        <v>31</v>
      </c>
      <c r="E305" s="83" t="s">
        <v>1100</v>
      </c>
      <c r="F305" s="82">
        <f>IFERROR(VLOOKUP(E305,客户!B:C,2,FALSE),"/")</f>
        <v>0</v>
      </c>
      <c r="G305" s="73" t="s">
        <v>1101</v>
      </c>
      <c r="H305" s="45" t="s">
        <v>123</v>
      </c>
      <c r="I305" s="45" t="s">
        <v>1102</v>
      </c>
      <c r="J305" s="110">
        <v>43931</v>
      </c>
      <c r="K305" s="110">
        <v>43981</v>
      </c>
      <c r="L305" s="93">
        <v>44029</v>
      </c>
      <c r="M305" s="165" t="s">
        <v>1103</v>
      </c>
      <c r="N305" s="110" t="s">
        <v>1104</v>
      </c>
      <c r="O305" s="108" t="s">
        <v>523</v>
      </c>
      <c r="P305" s="107">
        <f>69683.66+1126.59</f>
        <v>70810.25</v>
      </c>
      <c r="Q305" s="107">
        <v>8783</v>
      </c>
      <c r="R305" s="241"/>
      <c r="S305" s="242"/>
      <c r="T305" s="107">
        <f>46405+13000</f>
        <v>59405</v>
      </c>
      <c r="U305" s="107">
        <v>1518</v>
      </c>
      <c r="V305" s="128" t="s">
        <v>1105</v>
      </c>
      <c r="W305" s="172"/>
    </row>
    <row r="306" s="39" customFormat="1" ht="22" customHeight="1" spans="1:23">
      <c r="A306" s="142" t="s">
        <v>1106</v>
      </c>
      <c r="B306" s="174" t="s">
        <v>30</v>
      </c>
      <c r="C306" s="175"/>
      <c r="D306" s="45" t="s">
        <v>31</v>
      </c>
      <c r="E306" s="83" t="s">
        <v>1100</v>
      </c>
      <c r="F306" s="82">
        <f>IFERROR(VLOOKUP(E306,客户!B:C,2,FALSE),"/")</f>
        <v>0</v>
      </c>
      <c r="G306" s="73" t="s">
        <v>1107</v>
      </c>
      <c r="H306" s="45" t="s">
        <v>123</v>
      </c>
      <c r="I306" s="45" t="s">
        <v>1108</v>
      </c>
      <c r="J306" s="110">
        <v>43931</v>
      </c>
      <c r="K306" s="110">
        <v>43994</v>
      </c>
      <c r="L306" s="93">
        <v>44034</v>
      </c>
      <c r="M306" s="165" t="s">
        <v>1109</v>
      </c>
      <c r="N306" s="202" t="s">
        <v>1110</v>
      </c>
      <c r="O306" s="108" t="s">
        <v>523</v>
      </c>
      <c r="P306" s="107">
        <v>24576.24</v>
      </c>
      <c r="Q306" s="107">
        <v>3001</v>
      </c>
      <c r="R306" s="241"/>
      <c r="S306" s="242"/>
      <c r="T306" s="107">
        <v>22756</v>
      </c>
      <c r="U306" s="107"/>
      <c r="V306" s="219" t="s">
        <v>1111</v>
      </c>
      <c r="W306" s="172"/>
    </row>
    <row r="307" s="39" customFormat="1" ht="22" customHeight="1" spans="1:23">
      <c r="A307" s="142" t="s">
        <v>1112</v>
      </c>
      <c r="B307" s="174" t="s">
        <v>30</v>
      </c>
      <c r="C307" s="175"/>
      <c r="D307" s="45" t="s">
        <v>31</v>
      </c>
      <c r="E307" s="83" t="s">
        <v>1113</v>
      </c>
      <c r="F307" s="82" t="str">
        <f>IFERROR(VLOOKUP(E307,客户!B:C,2,FALSE),"/")</f>
        <v>收货人可能变 每次和客户确认下收货人 必须受到客户明确回复</v>
      </c>
      <c r="G307" s="73" t="s">
        <v>979</v>
      </c>
      <c r="H307" s="45" t="s">
        <v>123</v>
      </c>
      <c r="I307" s="45" t="s">
        <v>980</v>
      </c>
      <c r="J307" s="110">
        <v>43938</v>
      </c>
      <c r="K307" s="110">
        <v>44064</v>
      </c>
      <c r="L307" s="93">
        <v>44099</v>
      </c>
      <c r="M307" s="165" t="s">
        <v>1114</v>
      </c>
      <c r="N307" s="110" t="s">
        <v>1115</v>
      </c>
      <c r="O307" s="108" t="s">
        <v>523</v>
      </c>
      <c r="P307" s="107">
        <v>38762.1</v>
      </c>
      <c r="Q307" s="107">
        <f>8000+3568</f>
        <v>11568</v>
      </c>
      <c r="R307" s="241"/>
      <c r="S307" s="242"/>
      <c r="T307" s="107">
        <v>27194</v>
      </c>
      <c r="U307" s="93"/>
      <c r="V307" s="128"/>
      <c r="W307" s="172"/>
    </row>
    <row r="308" s="39" customFormat="1" ht="22" customHeight="1" spans="1:23">
      <c r="A308" s="142" t="s">
        <v>1116</v>
      </c>
      <c r="B308" s="174" t="s">
        <v>30</v>
      </c>
      <c r="C308" s="175"/>
      <c r="D308" s="45" t="s">
        <v>31</v>
      </c>
      <c r="E308" s="83" t="s">
        <v>1117</v>
      </c>
      <c r="F308" s="82">
        <f>IFERROR(VLOOKUP(E308,客户!B:C,2,FALSE),"/")</f>
        <v>0</v>
      </c>
      <c r="G308" s="73" t="s">
        <v>1118</v>
      </c>
      <c r="H308" s="229" t="s">
        <v>186</v>
      </c>
      <c r="I308" s="45"/>
      <c r="J308" s="110">
        <v>43960</v>
      </c>
      <c r="K308" s="110">
        <v>43983</v>
      </c>
      <c r="L308" s="93"/>
      <c r="M308" s="165" t="s">
        <v>1119</v>
      </c>
      <c r="N308" s="110"/>
      <c r="O308" s="108" t="s">
        <v>970</v>
      </c>
      <c r="P308" s="240">
        <v>900</v>
      </c>
      <c r="Q308" s="107"/>
      <c r="R308" s="241"/>
      <c r="S308" s="242"/>
      <c r="T308" s="240">
        <v>900</v>
      </c>
      <c r="U308" s="93"/>
      <c r="V308" s="128"/>
      <c r="W308" s="172"/>
    </row>
    <row r="309" s="39" customFormat="1" ht="22" customHeight="1" spans="1:23">
      <c r="A309" s="142" t="s">
        <v>1120</v>
      </c>
      <c r="B309" s="174" t="s">
        <v>30</v>
      </c>
      <c r="C309" s="175"/>
      <c r="D309" s="45" t="s">
        <v>31</v>
      </c>
      <c r="E309" s="83" t="s">
        <v>1121</v>
      </c>
      <c r="F309" s="82">
        <f>IFERROR(VLOOKUP(E309,客户!B:C,2,FALSE),"/")</f>
        <v>0</v>
      </c>
      <c r="G309" s="73" t="s">
        <v>1122</v>
      </c>
      <c r="H309" s="229" t="s">
        <v>127</v>
      </c>
      <c r="I309" s="45" t="s">
        <v>1123</v>
      </c>
      <c r="J309" s="110">
        <v>43970</v>
      </c>
      <c r="K309" s="110">
        <v>44009</v>
      </c>
      <c r="L309" s="93">
        <v>44025</v>
      </c>
      <c r="M309" s="165" t="s">
        <v>1124</v>
      </c>
      <c r="N309" s="202" t="s">
        <v>1125</v>
      </c>
      <c r="O309" s="108" t="s">
        <v>523</v>
      </c>
      <c r="P309" s="107">
        <v>59709.8</v>
      </c>
      <c r="Q309" s="107">
        <f>6000+10000</f>
        <v>16000</v>
      </c>
      <c r="R309" s="241"/>
      <c r="S309" s="242"/>
      <c r="T309" s="107">
        <v>43666.6</v>
      </c>
      <c r="U309" s="93"/>
      <c r="V309" s="244" t="s">
        <v>1126</v>
      </c>
      <c r="W309" s="172"/>
    </row>
    <row r="310" s="39" customFormat="1" ht="22" customHeight="1" spans="1:23">
      <c r="A310" s="142" t="s">
        <v>1127</v>
      </c>
      <c r="B310" s="174" t="s">
        <v>30</v>
      </c>
      <c r="C310" s="175"/>
      <c r="D310" s="45" t="s">
        <v>31</v>
      </c>
      <c r="E310" s="83" t="s">
        <v>1128</v>
      </c>
      <c r="F310" s="82">
        <f>IFERROR(VLOOKUP(E310,客户!B:C,2,FALSE),"/")</f>
        <v>0</v>
      </c>
      <c r="G310" s="73" t="s">
        <v>68</v>
      </c>
      <c r="H310" s="45" t="s">
        <v>123</v>
      </c>
      <c r="I310" s="45" t="s">
        <v>1129</v>
      </c>
      <c r="J310" s="110">
        <v>43984</v>
      </c>
      <c r="K310" s="146">
        <v>44044</v>
      </c>
      <c r="L310" s="93">
        <v>44072</v>
      </c>
      <c r="M310" s="165" t="s">
        <v>1130</v>
      </c>
      <c r="N310" s="202" t="s">
        <v>1131</v>
      </c>
      <c r="O310" s="108" t="s">
        <v>523</v>
      </c>
      <c r="P310" s="107">
        <v>35471.25</v>
      </c>
      <c r="Q310" s="107">
        <v>7100</v>
      </c>
      <c r="R310" s="241"/>
      <c r="S310" s="242"/>
      <c r="T310" s="107">
        <v>28371.07</v>
      </c>
      <c r="U310" s="93"/>
      <c r="V310" s="128"/>
      <c r="W310" s="172"/>
    </row>
    <row r="311" s="39" customFormat="1" ht="22" customHeight="1" spans="1:23">
      <c r="A311" s="142" t="s">
        <v>1132</v>
      </c>
      <c r="B311" s="174" t="s">
        <v>30</v>
      </c>
      <c r="C311" s="175"/>
      <c r="D311" s="45" t="s">
        <v>31</v>
      </c>
      <c r="E311" s="83" t="s">
        <v>1133</v>
      </c>
      <c r="F311" s="82">
        <f>IFERROR(VLOOKUP(E311,客户!B:C,2,FALSE),"/")</f>
        <v>0</v>
      </c>
      <c r="G311" s="73" t="s">
        <v>985</v>
      </c>
      <c r="H311" s="45" t="s">
        <v>147</v>
      </c>
      <c r="I311" s="45" t="s">
        <v>1134</v>
      </c>
      <c r="J311" s="110">
        <v>43985</v>
      </c>
      <c r="K311" s="110">
        <v>44013</v>
      </c>
      <c r="L311" s="93">
        <v>44022</v>
      </c>
      <c r="M311" s="165" t="s">
        <v>1135</v>
      </c>
      <c r="N311" s="202" t="s">
        <v>1136</v>
      </c>
      <c r="O311" s="108" t="s">
        <v>523</v>
      </c>
      <c r="P311" s="107">
        <v>20302.95</v>
      </c>
      <c r="Q311" s="107">
        <v>6090</v>
      </c>
      <c r="R311" s="241"/>
      <c r="S311" s="242"/>
      <c r="T311" s="107">
        <v>14178.06</v>
      </c>
      <c r="U311" s="93"/>
      <c r="V311" s="244" t="s">
        <v>1137</v>
      </c>
      <c r="W311" s="172"/>
    </row>
    <row r="312" s="39" customFormat="1" ht="22" customHeight="1" spans="1:23">
      <c r="A312" s="142" t="s">
        <v>1138</v>
      </c>
      <c r="B312" s="174" t="s">
        <v>30</v>
      </c>
      <c r="C312" s="175"/>
      <c r="D312" s="45" t="s">
        <v>31</v>
      </c>
      <c r="E312" s="83" t="s">
        <v>933</v>
      </c>
      <c r="F312" s="82">
        <f>IFERROR(VLOOKUP(E312,客户!B:C,2,FALSE),"/")</f>
        <v>0</v>
      </c>
      <c r="G312" s="73" t="s">
        <v>1139</v>
      </c>
      <c r="H312" s="45" t="s">
        <v>123</v>
      </c>
      <c r="I312" s="45" t="s">
        <v>1140</v>
      </c>
      <c r="J312" s="110">
        <v>43993</v>
      </c>
      <c r="K312" s="110">
        <v>44037</v>
      </c>
      <c r="L312" s="93">
        <v>44062</v>
      </c>
      <c r="M312" s="165" t="s">
        <v>1141</v>
      </c>
      <c r="N312" s="202" t="s">
        <v>1142</v>
      </c>
      <c r="O312" s="108" t="s">
        <v>523</v>
      </c>
      <c r="P312" s="107">
        <v>22439.91</v>
      </c>
      <c r="Q312" s="107">
        <v>6770.4</v>
      </c>
      <c r="R312" s="241"/>
      <c r="S312" s="242"/>
      <c r="T312" s="107">
        <f>935.84+14733.67</f>
        <v>15669.51</v>
      </c>
      <c r="U312" s="93"/>
      <c r="V312" s="128"/>
      <c r="W312" s="172"/>
    </row>
    <row r="313" s="39" customFormat="1" ht="22" customHeight="1" spans="1:23">
      <c r="A313" s="142" t="s">
        <v>1143</v>
      </c>
      <c r="B313" s="174" t="s">
        <v>30</v>
      </c>
      <c r="C313" s="175"/>
      <c r="D313" s="45" t="s">
        <v>31</v>
      </c>
      <c r="E313" s="83" t="s">
        <v>952</v>
      </c>
      <c r="F313" s="82">
        <f>IFERROR(VLOOKUP(E313,客户!B:C,2,FALSE),"/")</f>
        <v>0</v>
      </c>
      <c r="G313" s="73" t="s">
        <v>1144</v>
      </c>
      <c r="H313" s="45" t="s">
        <v>127</v>
      </c>
      <c r="I313" s="45" t="s">
        <v>1123</v>
      </c>
      <c r="J313" s="110">
        <v>43993</v>
      </c>
      <c r="K313" s="110">
        <v>44037</v>
      </c>
      <c r="L313" s="93">
        <v>44053</v>
      </c>
      <c r="M313" s="165" t="s">
        <v>1145</v>
      </c>
      <c r="N313" s="202" t="s">
        <v>1146</v>
      </c>
      <c r="O313" s="108" t="s">
        <v>523</v>
      </c>
      <c r="P313" s="107">
        <v>80532.7</v>
      </c>
      <c r="Q313" s="107">
        <f>10000+10000</f>
        <v>20000</v>
      </c>
      <c r="R313" s="241"/>
      <c r="S313" s="242"/>
      <c r="T313" s="107">
        <v>60533</v>
      </c>
      <c r="U313" s="93"/>
      <c r="V313" s="128"/>
      <c r="W313" s="172"/>
    </row>
    <row r="314" s="39" customFormat="1" ht="22" customHeight="1" spans="1:23">
      <c r="A314" s="142" t="s">
        <v>1147</v>
      </c>
      <c r="B314" s="174" t="s">
        <v>30</v>
      </c>
      <c r="C314" s="175"/>
      <c r="D314" s="45" t="s">
        <v>31</v>
      </c>
      <c r="E314" s="83" t="s">
        <v>940</v>
      </c>
      <c r="F314" s="82">
        <f>IFERROR(VLOOKUP(E314,客户!B:C,2,FALSE),"/")</f>
        <v>0</v>
      </c>
      <c r="G314" s="73" t="s">
        <v>1148</v>
      </c>
      <c r="H314" s="45" t="s">
        <v>123</v>
      </c>
      <c r="I314" s="45" t="s">
        <v>1149</v>
      </c>
      <c r="J314" s="110">
        <v>44000</v>
      </c>
      <c r="K314" s="110">
        <v>44038</v>
      </c>
      <c r="L314" s="93">
        <v>44077</v>
      </c>
      <c r="M314" s="202" t="s">
        <v>1150</v>
      </c>
      <c r="N314" s="202" t="s">
        <v>1151</v>
      </c>
      <c r="O314" s="108" t="s">
        <v>523</v>
      </c>
      <c r="P314" s="107">
        <v>20390.75</v>
      </c>
      <c r="Q314" s="107">
        <v>4015</v>
      </c>
      <c r="R314" s="241"/>
      <c r="S314" s="242"/>
      <c r="T314" s="107">
        <v>16375.75</v>
      </c>
      <c r="U314" s="93"/>
      <c r="V314" s="128"/>
      <c r="W314" s="172"/>
    </row>
    <row r="315" s="39" customFormat="1" ht="22" customHeight="1" spans="1:23">
      <c r="A315" s="142" t="s">
        <v>1152</v>
      </c>
      <c r="B315" s="174" t="s">
        <v>30</v>
      </c>
      <c r="C315" s="175"/>
      <c r="D315" s="45" t="s">
        <v>31</v>
      </c>
      <c r="E315" s="83" t="s">
        <v>1153</v>
      </c>
      <c r="F315" s="82">
        <f>IFERROR(VLOOKUP(E315,客户!B:C,2,FALSE),"/")</f>
        <v>0</v>
      </c>
      <c r="G315" s="73" t="s">
        <v>1154</v>
      </c>
      <c r="H315" s="45" t="s">
        <v>123</v>
      </c>
      <c r="I315" s="45" t="s">
        <v>909</v>
      </c>
      <c r="J315" s="110">
        <v>44003</v>
      </c>
      <c r="K315" s="146">
        <v>44041</v>
      </c>
      <c r="L315" s="93">
        <v>44087</v>
      </c>
      <c r="M315" s="165" t="s">
        <v>1155</v>
      </c>
      <c r="N315" s="202" t="s">
        <v>1156</v>
      </c>
      <c r="O315" s="108" t="s">
        <v>523</v>
      </c>
      <c r="P315" s="107">
        <v>21296.35</v>
      </c>
      <c r="Q315" s="107">
        <v>6265.27</v>
      </c>
      <c r="R315" s="241"/>
      <c r="S315" s="242"/>
      <c r="T315" s="107">
        <v>15031.08</v>
      </c>
      <c r="U315" s="93"/>
      <c r="V315" s="128"/>
      <c r="W315" s="172"/>
    </row>
    <row r="316" s="39" customFormat="1" ht="22" customHeight="1" spans="1:23">
      <c r="A316" s="142" t="s">
        <v>1157</v>
      </c>
      <c r="B316" s="174" t="s">
        <v>30</v>
      </c>
      <c r="C316" s="175"/>
      <c r="D316" s="45" t="s">
        <v>31</v>
      </c>
      <c r="E316" s="83" t="s">
        <v>1070</v>
      </c>
      <c r="F316" s="82">
        <f>IFERROR(VLOOKUP(E316,客户!B:C,2,FALSE),"/")</f>
        <v>0</v>
      </c>
      <c r="G316" s="73" t="s">
        <v>566</v>
      </c>
      <c r="H316" s="45" t="s">
        <v>123</v>
      </c>
      <c r="I316" s="45" t="s">
        <v>1158</v>
      </c>
      <c r="J316" s="110">
        <v>44005</v>
      </c>
      <c r="K316" s="146">
        <v>44060</v>
      </c>
      <c r="L316" s="93">
        <v>44097</v>
      </c>
      <c r="M316" s="165" t="s">
        <v>1159</v>
      </c>
      <c r="N316" s="202" t="s">
        <v>1160</v>
      </c>
      <c r="O316" s="108" t="s">
        <v>680</v>
      </c>
      <c r="P316" s="107">
        <v>38379.36</v>
      </c>
      <c r="Q316" s="107"/>
      <c r="R316" s="241"/>
      <c r="S316" s="242"/>
      <c r="T316" s="107">
        <v>38379.36</v>
      </c>
      <c r="U316" s="93"/>
      <c r="V316" s="128"/>
      <c r="W316" s="172"/>
    </row>
    <row r="317" s="39" customFormat="1" ht="22" customHeight="1" spans="1:23">
      <c r="A317" s="142" t="s">
        <v>1161</v>
      </c>
      <c r="B317" s="174" t="s">
        <v>30</v>
      </c>
      <c r="C317" s="175"/>
      <c r="D317" s="45" t="s">
        <v>31</v>
      </c>
      <c r="E317" s="83" t="s">
        <v>1070</v>
      </c>
      <c r="F317" s="82">
        <f>IFERROR(VLOOKUP(E317,客户!B:C,2,FALSE),"/")</f>
        <v>0</v>
      </c>
      <c r="G317" s="73" t="s">
        <v>86</v>
      </c>
      <c r="H317" s="45" t="s">
        <v>123</v>
      </c>
      <c r="I317" s="45" t="s">
        <v>1158</v>
      </c>
      <c r="J317" s="110">
        <v>44005</v>
      </c>
      <c r="K317" s="110">
        <v>44087</v>
      </c>
      <c r="L317" s="93">
        <v>44125</v>
      </c>
      <c r="M317" s="165" t="s">
        <v>1162</v>
      </c>
      <c r="N317" s="202" t="s">
        <v>1160</v>
      </c>
      <c r="O317" s="108" t="s">
        <v>523</v>
      </c>
      <c r="P317" s="107">
        <v>57569.04</v>
      </c>
      <c r="Q317" s="107"/>
      <c r="R317" s="241"/>
      <c r="S317" s="242"/>
      <c r="T317" s="107">
        <v>57569.04</v>
      </c>
      <c r="U317" s="93"/>
      <c r="V317" s="128"/>
      <c r="W317" s="172"/>
    </row>
    <row r="318" s="39" customFormat="1" ht="22" customHeight="1" spans="1:23">
      <c r="A318" s="142" t="s">
        <v>1163</v>
      </c>
      <c r="B318" s="174" t="s">
        <v>30</v>
      </c>
      <c r="C318" s="175"/>
      <c r="D318" s="45" t="s">
        <v>31</v>
      </c>
      <c r="E318" s="83" t="s">
        <v>1070</v>
      </c>
      <c r="F318" s="82">
        <f>IFERROR(VLOOKUP(E318,客户!B:C,2,FALSE),"/")</f>
        <v>0</v>
      </c>
      <c r="G318" s="73" t="s">
        <v>566</v>
      </c>
      <c r="H318" s="45" t="s">
        <v>123</v>
      </c>
      <c r="I318" s="45" t="s">
        <v>1164</v>
      </c>
      <c r="J318" s="110">
        <v>44005</v>
      </c>
      <c r="K318" s="146">
        <v>44045</v>
      </c>
      <c r="L318" s="93">
        <v>44083</v>
      </c>
      <c r="M318" s="165" t="s">
        <v>1165</v>
      </c>
      <c r="N318" s="202" t="s">
        <v>1160</v>
      </c>
      <c r="O318" s="108" t="s">
        <v>680</v>
      </c>
      <c r="P318" s="107">
        <v>38737</v>
      </c>
      <c r="Q318" s="107"/>
      <c r="R318" s="241"/>
      <c r="S318" s="242"/>
      <c r="T318" s="107">
        <v>38737</v>
      </c>
      <c r="U318" s="93"/>
      <c r="V318" s="128"/>
      <c r="W318" s="172"/>
    </row>
    <row r="319" s="39" customFormat="1" ht="25" customHeight="1" spans="1:23">
      <c r="A319" s="142" t="s">
        <v>1166</v>
      </c>
      <c r="B319" s="174" t="s">
        <v>30</v>
      </c>
      <c r="C319" s="175"/>
      <c r="D319" s="45" t="s">
        <v>31</v>
      </c>
      <c r="E319" s="83" t="s">
        <v>1167</v>
      </c>
      <c r="F319" s="82">
        <f>IFERROR(VLOOKUP(E319,客户!B:C,2,FALSE),"/")</f>
        <v>0</v>
      </c>
      <c r="G319" s="73" t="s">
        <v>1139</v>
      </c>
      <c r="H319" s="45" t="s">
        <v>123</v>
      </c>
      <c r="I319" s="45" t="s">
        <v>1168</v>
      </c>
      <c r="J319" s="110">
        <v>44019</v>
      </c>
      <c r="K319" s="146">
        <v>44056</v>
      </c>
      <c r="L319" s="93">
        <v>44080</v>
      </c>
      <c r="M319" s="165" t="s">
        <v>1169</v>
      </c>
      <c r="N319" s="202" t="s">
        <v>1142</v>
      </c>
      <c r="O319" s="108" t="s">
        <v>523</v>
      </c>
      <c r="P319" s="107">
        <v>22841.99</v>
      </c>
      <c r="Q319" s="107">
        <v>7122</v>
      </c>
      <c r="R319" s="241"/>
      <c r="S319" s="242"/>
      <c r="T319" s="107">
        <v>15719.99</v>
      </c>
      <c r="U319" s="93"/>
      <c r="V319" s="128"/>
      <c r="W319" s="172"/>
    </row>
    <row r="320" s="39" customFormat="1" ht="25" customHeight="1" spans="1:23">
      <c r="A320" s="142" t="s">
        <v>1170</v>
      </c>
      <c r="B320" s="174" t="s">
        <v>30</v>
      </c>
      <c r="C320" s="175"/>
      <c r="D320" s="45" t="s">
        <v>31</v>
      </c>
      <c r="E320" s="83" t="s">
        <v>1167</v>
      </c>
      <c r="F320" s="82">
        <f>IFERROR(VLOOKUP(E320,客户!B:C,2,FALSE),"/")</f>
        <v>0</v>
      </c>
      <c r="G320" s="73" t="s">
        <v>1171</v>
      </c>
      <c r="H320" s="45" t="s">
        <v>123</v>
      </c>
      <c r="I320" s="45" t="s">
        <v>1168</v>
      </c>
      <c r="J320" s="110">
        <v>44028</v>
      </c>
      <c r="K320" s="110">
        <v>44073</v>
      </c>
      <c r="L320" s="93">
        <v>44097</v>
      </c>
      <c r="M320" s="165" t="s">
        <v>1172</v>
      </c>
      <c r="N320" s="202" t="s">
        <v>1142</v>
      </c>
      <c r="O320" s="108" t="s">
        <v>523</v>
      </c>
      <c r="P320" s="107">
        <v>21528.44</v>
      </c>
      <c r="Q320" s="107">
        <v>7300</v>
      </c>
      <c r="R320" s="241"/>
      <c r="S320" s="242"/>
      <c r="T320" s="107">
        <f>10000+4228.44</f>
        <v>14228.44</v>
      </c>
      <c r="U320" s="93"/>
      <c r="V320" s="128"/>
      <c r="W320" s="172"/>
    </row>
    <row r="321" s="39" customFormat="1" ht="25" customHeight="1" spans="1:23">
      <c r="A321" s="142" t="s">
        <v>1173</v>
      </c>
      <c r="B321" s="174" t="s">
        <v>30</v>
      </c>
      <c r="C321" s="175"/>
      <c r="D321" s="45" t="s">
        <v>31</v>
      </c>
      <c r="E321" s="83" t="s">
        <v>1174</v>
      </c>
      <c r="F321" s="82" t="str">
        <f>IFERROR(VLOOKUP(E321,客户!B:C,2,FALSE),"/")</f>
        <v>$53.50 TUV Austria administration cost 革力减掉150代理费</v>
      </c>
      <c r="G321" s="73" t="s">
        <v>1175</v>
      </c>
      <c r="H321" s="45" t="s">
        <v>123</v>
      </c>
      <c r="I321" s="45" t="s">
        <v>1176</v>
      </c>
      <c r="J321" s="110">
        <v>44036</v>
      </c>
      <c r="K321" s="110">
        <v>44060</v>
      </c>
      <c r="L321" s="93">
        <v>44100</v>
      </c>
      <c r="M321" s="164" t="s">
        <v>1177</v>
      </c>
      <c r="N321" s="202" t="s">
        <v>1178</v>
      </c>
      <c r="O321" s="108" t="s">
        <v>523</v>
      </c>
      <c r="P321" s="107">
        <v>19640</v>
      </c>
      <c r="Q321" s="107">
        <v>5892</v>
      </c>
      <c r="R321" s="241"/>
      <c r="S321" s="242"/>
      <c r="T321" s="107">
        <v>13748</v>
      </c>
      <c r="U321" s="93"/>
      <c r="V321" s="128" t="s">
        <v>1179</v>
      </c>
      <c r="W321" s="172"/>
    </row>
    <row r="322" s="39" customFormat="1" ht="25" customHeight="1" spans="1:23">
      <c r="A322" s="143" t="s">
        <v>1180</v>
      </c>
      <c r="B322" s="174" t="s">
        <v>30</v>
      </c>
      <c r="C322" s="175"/>
      <c r="D322" s="45" t="s">
        <v>31</v>
      </c>
      <c r="E322" s="83" t="s">
        <v>1083</v>
      </c>
      <c r="F322" s="82">
        <f>IFERROR(VLOOKUP(E322,客户!B:C,2,FALSE),"/")</f>
        <v>0</v>
      </c>
      <c r="G322" s="73" t="s">
        <v>1181</v>
      </c>
      <c r="H322" s="45" t="s">
        <v>147</v>
      </c>
      <c r="I322" s="45" t="s">
        <v>1182</v>
      </c>
      <c r="J322" s="110">
        <v>44041</v>
      </c>
      <c r="K322" s="146">
        <v>44082</v>
      </c>
      <c r="L322" s="93">
        <v>44092</v>
      </c>
      <c r="M322" s="165" t="s">
        <v>1183</v>
      </c>
      <c r="N322" s="202" t="s">
        <v>1184</v>
      </c>
      <c r="O322" s="108" t="s">
        <v>523</v>
      </c>
      <c r="P322" s="107">
        <v>21822.75</v>
      </c>
      <c r="Q322" s="107">
        <v>6546.83</v>
      </c>
      <c r="R322" s="241"/>
      <c r="S322" s="242"/>
      <c r="T322" s="107">
        <v>15275.92</v>
      </c>
      <c r="U322" s="93"/>
      <c r="V322" s="128"/>
      <c r="W322" s="172"/>
    </row>
    <row r="323" s="39" customFormat="1" ht="25" customHeight="1" spans="1:23">
      <c r="A323" s="142" t="s">
        <v>1185</v>
      </c>
      <c r="B323" s="174" t="s">
        <v>30</v>
      </c>
      <c r="C323" s="175"/>
      <c r="D323" s="45" t="s">
        <v>31</v>
      </c>
      <c r="E323" s="83" t="s">
        <v>1121</v>
      </c>
      <c r="F323" s="82">
        <f>IFERROR(VLOOKUP(E323,客户!B:C,2,FALSE),"/")</f>
        <v>0</v>
      </c>
      <c r="G323" s="73" t="s">
        <v>1186</v>
      </c>
      <c r="H323" s="45" t="s">
        <v>127</v>
      </c>
      <c r="I323" s="45" t="s">
        <v>580</v>
      </c>
      <c r="J323" s="110">
        <v>44047</v>
      </c>
      <c r="K323" s="146">
        <v>44079</v>
      </c>
      <c r="L323" s="93">
        <v>44095</v>
      </c>
      <c r="M323" s="165" t="s">
        <v>1187</v>
      </c>
      <c r="N323" s="202" t="s">
        <v>1188</v>
      </c>
      <c r="O323" s="108" t="s">
        <v>523</v>
      </c>
      <c r="P323" s="107">
        <v>60903.61</v>
      </c>
      <c r="Q323" s="107">
        <v>18000</v>
      </c>
      <c r="R323" s="241"/>
      <c r="S323" s="242"/>
      <c r="T323" s="107">
        <v>42904</v>
      </c>
      <c r="U323" s="93"/>
      <c r="V323" s="128"/>
      <c r="W323" s="172"/>
    </row>
    <row r="324" s="39" customFormat="1" ht="25" customHeight="1" spans="1:23">
      <c r="A324" s="142" t="s">
        <v>1189</v>
      </c>
      <c r="B324" s="174" t="s">
        <v>30</v>
      </c>
      <c r="C324" s="175"/>
      <c r="D324" s="45" t="s">
        <v>31</v>
      </c>
      <c r="E324" s="83" t="s">
        <v>1190</v>
      </c>
      <c r="F324" s="82">
        <f>IFERROR(VLOOKUP(E324,客户!B:C,2,FALSE),"/")</f>
        <v>0</v>
      </c>
      <c r="G324" s="73" t="s">
        <v>1191</v>
      </c>
      <c r="H324" s="45" t="s">
        <v>123</v>
      </c>
      <c r="I324" s="45" t="s">
        <v>997</v>
      </c>
      <c r="J324" s="110">
        <v>44049</v>
      </c>
      <c r="K324" s="146">
        <v>44080</v>
      </c>
      <c r="L324" s="93">
        <v>44111</v>
      </c>
      <c r="M324" s="165" t="s">
        <v>1192</v>
      </c>
      <c r="N324" s="202" t="s">
        <v>1160</v>
      </c>
      <c r="O324" s="108" t="s">
        <v>680</v>
      </c>
      <c r="P324" s="107">
        <v>39516</v>
      </c>
      <c r="Q324" s="107"/>
      <c r="R324" s="241"/>
      <c r="S324" s="242"/>
      <c r="T324" s="107">
        <v>39516</v>
      </c>
      <c r="U324" s="93"/>
      <c r="V324" s="128"/>
      <c r="W324" s="172"/>
    </row>
    <row r="325" s="39" customFormat="1" ht="22" customHeight="1" spans="1:23">
      <c r="A325" s="142" t="s">
        <v>1193</v>
      </c>
      <c r="B325" s="174" t="s">
        <v>30</v>
      </c>
      <c r="C325" s="175"/>
      <c r="D325" s="45" t="s">
        <v>31</v>
      </c>
      <c r="E325" s="83" t="s">
        <v>1040</v>
      </c>
      <c r="F325" s="82">
        <f>IFERROR(VLOOKUP(E325,客户!B:C,2,FALSE),"/")</f>
        <v>0</v>
      </c>
      <c r="G325" s="73" t="s">
        <v>985</v>
      </c>
      <c r="H325" s="45" t="s">
        <v>123</v>
      </c>
      <c r="I325" s="45" t="s">
        <v>1194</v>
      </c>
      <c r="J325" s="110">
        <v>44049</v>
      </c>
      <c r="K325" s="146">
        <v>44081</v>
      </c>
      <c r="L325" s="93">
        <v>44113</v>
      </c>
      <c r="M325" s="165" t="s">
        <v>1195</v>
      </c>
      <c r="N325" s="202" t="s">
        <v>1196</v>
      </c>
      <c r="O325" s="108" t="s">
        <v>523</v>
      </c>
      <c r="P325" s="107">
        <v>21568.39</v>
      </c>
      <c r="Q325" s="107"/>
      <c r="R325" s="241"/>
      <c r="S325" s="242"/>
      <c r="T325" s="107">
        <v>15878.38</v>
      </c>
      <c r="U325" s="107">
        <v>5690.01</v>
      </c>
      <c r="V325" s="128"/>
      <c r="W325" s="172"/>
    </row>
    <row r="326" s="39" customFormat="1" ht="22" customHeight="1" spans="1:23">
      <c r="A326" s="142" t="s">
        <v>1197</v>
      </c>
      <c r="B326" s="174" t="s">
        <v>30</v>
      </c>
      <c r="C326" s="175"/>
      <c r="D326" s="45" t="s">
        <v>31</v>
      </c>
      <c r="E326" s="83" t="s">
        <v>698</v>
      </c>
      <c r="F326" s="82">
        <f>IFERROR(VLOOKUP(E326,客户!B:C,2,FALSE),"/")</f>
        <v>0</v>
      </c>
      <c r="G326" s="73" t="s">
        <v>1198</v>
      </c>
      <c r="H326" s="45" t="s">
        <v>123</v>
      </c>
      <c r="I326" s="45" t="s">
        <v>1095</v>
      </c>
      <c r="J326" s="110">
        <v>44054</v>
      </c>
      <c r="K326" s="110">
        <v>44089</v>
      </c>
      <c r="L326" s="93">
        <v>44135</v>
      </c>
      <c r="M326" s="165" t="s">
        <v>1199</v>
      </c>
      <c r="N326" s="202" t="s">
        <v>1200</v>
      </c>
      <c r="O326" s="108" t="s">
        <v>523</v>
      </c>
      <c r="P326" s="107">
        <v>21029.5</v>
      </c>
      <c r="Q326" s="107">
        <v>6000</v>
      </c>
      <c r="R326" s="241"/>
      <c r="S326" s="242"/>
      <c r="T326" s="107">
        <v>15029.5</v>
      </c>
      <c r="U326" s="93"/>
      <c r="V326" s="128"/>
      <c r="W326" s="172"/>
    </row>
    <row r="327" s="39" customFormat="1" ht="22" customHeight="1" spans="1:23">
      <c r="A327" s="142" t="s">
        <v>1201</v>
      </c>
      <c r="B327" s="174" t="s">
        <v>30</v>
      </c>
      <c r="C327" s="175"/>
      <c r="D327" s="45" t="s">
        <v>31</v>
      </c>
      <c r="E327" s="83" t="s">
        <v>641</v>
      </c>
      <c r="F327" s="82">
        <f>IFERROR(VLOOKUP(E327,客户!B:C,2,FALSE),"/")</f>
        <v>0</v>
      </c>
      <c r="G327" s="73" t="s">
        <v>1202</v>
      </c>
      <c r="H327" s="45" t="s">
        <v>123</v>
      </c>
      <c r="I327" s="45" t="s">
        <v>1203</v>
      </c>
      <c r="J327" s="110">
        <v>44054</v>
      </c>
      <c r="K327" s="146">
        <v>44083</v>
      </c>
      <c r="L327" s="93">
        <v>44113</v>
      </c>
      <c r="M327" s="250" t="s">
        <v>1204</v>
      </c>
      <c r="N327" s="202" t="s">
        <v>1205</v>
      </c>
      <c r="O327" s="108" t="s">
        <v>523</v>
      </c>
      <c r="P327" s="107">
        <v>22499.25</v>
      </c>
      <c r="Q327" s="107">
        <v>7000</v>
      </c>
      <c r="R327" s="241"/>
      <c r="S327" s="242"/>
      <c r="T327" s="107">
        <v>15499.25</v>
      </c>
      <c r="U327" s="93"/>
      <c r="V327" s="128"/>
      <c r="W327" s="172"/>
    </row>
    <row r="328" s="39" customFormat="1" ht="22" customHeight="1" spans="1:23">
      <c r="A328" s="142" t="s">
        <v>1206</v>
      </c>
      <c r="B328" s="174" t="s">
        <v>30</v>
      </c>
      <c r="C328" s="175"/>
      <c r="D328" s="45" t="s">
        <v>31</v>
      </c>
      <c r="E328" s="83" t="s">
        <v>933</v>
      </c>
      <c r="F328" s="82">
        <f>IFERROR(VLOOKUP(E328,客户!B:C,2,FALSE),"/")</f>
        <v>0</v>
      </c>
      <c r="G328" s="73" t="s">
        <v>1207</v>
      </c>
      <c r="H328" s="45" t="s">
        <v>123</v>
      </c>
      <c r="I328" s="45" t="s">
        <v>550</v>
      </c>
      <c r="J328" s="110">
        <v>44060</v>
      </c>
      <c r="K328" s="110">
        <v>44090</v>
      </c>
      <c r="L328" s="93">
        <v>44123</v>
      </c>
      <c r="M328" s="165" t="s">
        <v>1208</v>
      </c>
      <c r="N328" s="202" t="s">
        <v>1142</v>
      </c>
      <c r="O328" s="108" t="s">
        <v>523</v>
      </c>
      <c r="P328" s="107">
        <v>26809.82</v>
      </c>
      <c r="Q328" s="107">
        <v>7700</v>
      </c>
      <c r="R328" s="241"/>
      <c r="S328" s="242"/>
      <c r="T328" s="107">
        <v>19109.82</v>
      </c>
      <c r="U328" s="93"/>
      <c r="V328" s="128"/>
      <c r="W328" s="172"/>
    </row>
    <row r="329" s="39" customFormat="1" ht="22" customHeight="1" spans="1:23">
      <c r="A329" s="142" t="s">
        <v>1209</v>
      </c>
      <c r="B329" s="174" t="s">
        <v>30</v>
      </c>
      <c r="C329" s="175"/>
      <c r="D329" s="45" t="s">
        <v>31</v>
      </c>
      <c r="E329" s="83" t="s">
        <v>1210</v>
      </c>
      <c r="F329" s="82">
        <f>IFERROR(VLOOKUP(E329,客户!B:C,2,FALSE),"/")</f>
        <v>0</v>
      </c>
      <c r="G329" s="73" t="s">
        <v>43</v>
      </c>
      <c r="H329" s="45" t="s">
        <v>123</v>
      </c>
      <c r="I329" s="45" t="s">
        <v>1211</v>
      </c>
      <c r="J329" s="110">
        <v>44069</v>
      </c>
      <c r="K329" s="146">
        <v>44092</v>
      </c>
      <c r="L329" s="93">
        <v>44123</v>
      </c>
      <c r="M329" s="165" t="s">
        <v>1212</v>
      </c>
      <c r="N329" s="202" t="s">
        <v>1213</v>
      </c>
      <c r="O329" s="108" t="s">
        <v>523</v>
      </c>
      <c r="P329" s="107">
        <v>22469.8</v>
      </c>
      <c r="Q329" s="107">
        <f>2500+2500</f>
        <v>5000</v>
      </c>
      <c r="R329" s="241"/>
      <c r="S329" s="242"/>
      <c r="T329" s="107">
        <v>5000</v>
      </c>
      <c r="U329" s="107">
        <f>5000+2469+5000</f>
        <v>12469</v>
      </c>
      <c r="V329" s="128"/>
      <c r="W329" s="172"/>
    </row>
    <row r="330" s="39" customFormat="1" ht="22" customHeight="1" spans="1:23">
      <c r="A330" s="142" t="s">
        <v>1214</v>
      </c>
      <c r="B330" s="174" t="s">
        <v>30</v>
      </c>
      <c r="C330" s="175"/>
      <c r="D330" s="45" t="s">
        <v>31</v>
      </c>
      <c r="E330" s="83" t="s">
        <v>1215</v>
      </c>
      <c r="F330" s="82" t="str">
        <f>IFERROR(VLOOKUP(E330,客户!B:C,2,FALSE),"/")</f>
        <v>埃及红线客户配件 样品都要单独显示在箱单发票上</v>
      </c>
      <c r="G330" s="73" t="s">
        <v>1216</v>
      </c>
      <c r="H330" s="45" t="s">
        <v>123</v>
      </c>
      <c r="I330" s="45" t="s">
        <v>1217</v>
      </c>
      <c r="J330" s="110">
        <v>44072</v>
      </c>
      <c r="K330" s="110">
        <v>44106</v>
      </c>
      <c r="L330" s="196">
        <v>44177</v>
      </c>
      <c r="M330" s="165" t="s">
        <v>1218</v>
      </c>
      <c r="N330" s="202" t="s">
        <v>1219</v>
      </c>
      <c r="O330" s="108" t="s">
        <v>523</v>
      </c>
      <c r="P330" s="107">
        <v>20293.6</v>
      </c>
      <c r="Q330" s="107"/>
      <c r="R330" s="241"/>
      <c r="S330" s="242"/>
      <c r="T330" s="107">
        <v>18578</v>
      </c>
      <c r="U330" s="107">
        <v>1715.6</v>
      </c>
      <c r="V330" s="219" t="s">
        <v>1220</v>
      </c>
      <c r="W330" s="172"/>
    </row>
    <row r="331" s="39" customFormat="1" ht="22" customHeight="1" spans="1:23">
      <c r="A331" s="142" t="s">
        <v>1221</v>
      </c>
      <c r="B331" s="174" t="s">
        <v>30</v>
      </c>
      <c r="C331" s="175"/>
      <c r="D331" s="45" t="s">
        <v>31</v>
      </c>
      <c r="E331" s="83" t="s">
        <v>1121</v>
      </c>
      <c r="F331" s="82">
        <f>IFERROR(VLOOKUP(E331,客户!B:C,2,FALSE),"/")</f>
        <v>0</v>
      </c>
      <c r="G331" s="73" t="s">
        <v>1222</v>
      </c>
      <c r="H331" s="45" t="s">
        <v>127</v>
      </c>
      <c r="I331" s="45" t="s">
        <v>1223</v>
      </c>
      <c r="J331" s="110">
        <v>44079</v>
      </c>
      <c r="K331" s="110">
        <v>44121</v>
      </c>
      <c r="L331" s="93">
        <v>44137</v>
      </c>
      <c r="M331" s="165" t="s">
        <v>1224</v>
      </c>
      <c r="N331" s="202" t="s">
        <v>1225</v>
      </c>
      <c r="O331" s="108" t="s">
        <v>523</v>
      </c>
      <c r="P331" s="107">
        <v>87801.39</v>
      </c>
      <c r="Q331" s="107">
        <f>10000+10000+10000</f>
        <v>30000</v>
      </c>
      <c r="R331" s="241"/>
      <c r="S331" s="242"/>
      <c r="T331" s="107">
        <v>57801.39</v>
      </c>
      <c r="U331" s="93"/>
      <c r="V331" s="128"/>
      <c r="W331" s="172"/>
    </row>
    <row r="332" s="39" customFormat="1" ht="22" customHeight="1" spans="1:23">
      <c r="A332" s="142" t="s">
        <v>1226</v>
      </c>
      <c r="B332" s="174" t="s">
        <v>30</v>
      </c>
      <c r="C332" s="175"/>
      <c r="D332" s="45" t="s">
        <v>31</v>
      </c>
      <c r="E332" s="83" t="s">
        <v>1190</v>
      </c>
      <c r="F332" s="82">
        <f>IFERROR(VLOOKUP(E332,客户!B:C,2,FALSE),"/")</f>
        <v>0</v>
      </c>
      <c r="G332" s="73" t="s">
        <v>234</v>
      </c>
      <c r="H332" s="45" t="s">
        <v>123</v>
      </c>
      <c r="I332" s="45" t="s">
        <v>1227</v>
      </c>
      <c r="J332" s="110">
        <v>44089</v>
      </c>
      <c r="K332" s="146">
        <v>44138</v>
      </c>
      <c r="L332" s="93">
        <v>44167</v>
      </c>
      <c r="M332" s="165" t="s">
        <v>1228</v>
      </c>
      <c r="N332" s="202" t="s">
        <v>1160</v>
      </c>
      <c r="O332" s="108" t="s">
        <v>680</v>
      </c>
      <c r="P332" s="107">
        <v>60404.7</v>
      </c>
      <c r="Q332" s="107"/>
      <c r="R332" s="241"/>
      <c r="S332" s="242"/>
      <c r="T332" s="107">
        <v>60404.7</v>
      </c>
      <c r="U332" s="93"/>
      <c r="V332" s="128"/>
      <c r="W332" s="172"/>
    </row>
    <row r="333" s="39" customFormat="1" ht="22" customHeight="1" spans="1:23">
      <c r="A333" s="142" t="s">
        <v>1229</v>
      </c>
      <c r="B333" s="174" t="s">
        <v>30</v>
      </c>
      <c r="C333" s="175"/>
      <c r="D333" s="45" t="s">
        <v>31</v>
      </c>
      <c r="E333" s="83" t="s">
        <v>1190</v>
      </c>
      <c r="F333" s="82">
        <f>IFERROR(VLOOKUP(E333,客户!B:C,2,FALSE),"/")</f>
        <v>0</v>
      </c>
      <c r="G333" s="73" t="s">
        <v>566</v>
      </c>
      <c r="H333" s="45" t="s">
        <v>123</v>
      </c>
      <c r="I333" s="45" t="s">
        <v>1230</v>
      </c>
      <c r="J333" s="110">
        <v>44089</v>
      </c>
      <c r="K333" s="146">
        <v>44130</v>
      </c>
      <c r="L333" s="93">
        <v>44174</v>
      </c>
      <c r="M333" s="165" t="s">
        <v>1231</v>
      </c>
      <c r="N333" s="202" t="s">
        <v>1232</v>
      </c>
      <c r="O333" s="108" t="s">
        <v>680</v>
      </c>
      <c r="P333" s="107">
        <v>40200.5</v>
      </c>
      <c r="Q333" s="107"/>
      <c r="R333" s="241"/>
      <c r="S333" s="242"/>
      <c r="T333" s="107">
        <v>40200.5</v>
      </c>
      <c r="U333" s="93"/>
      <c r="V333" s="128"/>
      <c r="W333" s="172"/>
    </row>
    <row r="334" s="39" customFormat="1" ht="22" customHeight="1" spans="1:23">
      <c r="A334" s="142" t="s">
        <v>1233</v>
      </c>
      <c r="B334" s="174" t="s">
        <v>30</v>
      </c>
      <c r="C334" s="175"/>
      <c r="D334" s="45" t="s">
        <v>31</v>
      </c>
      <c r="E334" s="83" t="s">
        <v>1167</v>
      </c>
      <c r="F334" s="82">
        <f>IFERROR(VLOOKUP(E334,客户!B:C,2,FALSE),"/")</f>
        <v>0</v>
      </c>
      <c r="G334" s="73" t="s">
        <v>1234</v>
      </c>
      <c r="H334" s="45" t="s">
        <v>123</v>
      </c>
      <c r="I334" s="45" t="s">
        <v>550</v>
      </c>
      <c r="J334" s="110">
        <v>44090</v>
      </c>
      <c r="K334" s="146">
        <v>44136</v>
      </c>
      <c r="L334" s="93">
        <v>44166</v>
      </c>
      <c r="M334" s="165" t="s">
        <v>1235</v>
      </c>
      <c r="N334" s="202" t="s">
        <v>1236</v>
      </c>
      <c r="O334" s="108" t="s">
        <v>523</v>
      </c>
      <c r="P334" s="107">
        <v>28641.87</v>
      </c>
      <c r="Q334" s="107">
        <v>8400</v>
      </c>
      <c r="R334" s="241"/>
      <c r="S334" s="242"/>
      <c r="T334" s="107">
        <v>20241.87</v>
      </c>
      <c r="U334" s="93"/>
      <c r="V334" s="128"/>
      <c r="W334" s="172"/>
    </row>
    <row r="335" s="39" customFormat="1" ht="22" customHeight="1" spans="1:23">
      <c r="A335" s="142" t="s">
        <v>1237</v>
      </c>
      <c r="B335" s="174" t="s">
        <v>30</v>
      </c>
      <c r="C335" s="175"/>
      <c r="D335" s="45" t="s">
        <v>31</v>
      </c>
      <c r="E335" s="83" t="s">
        <v>1238</v>
      </c>
      <c r="F335" s="82"/>
      <c r="G335" s="73" t="s">
        <v>985</v>
      </c>
      <c r="H335" s="45" t="s">
        <v>123</v>
      </c>
      <c r="I335" s="45" t="s">
        <v>1194</v>
      </c>
      <c r="J335" s="110">
        <v>44091</v>
      </c>
      <c r="K335" s="146">
        <v>44130</v>
      </c>
      <c r="L335" s="93">
        <v>44165</v>
      </c>
      <c r="M335" s="165" t="s">
        <v>1239</v>
      </c>
      <c r="N335" s="202" t="s">
        <v>1240</v>
      </c>
      <c r="O335" s="108" t="s">
        <v>523</v>
      </c>
      <c r="P335" s="107">
        <v>21709.71</v>
      </c>
      <c r="Q335" s="107"/>
      <c r="R335" s="241"/>
      <c r="S335" s="242"/>
      <c r="T335" s="107">
        <f>4129.44+2433.27</f>
        <v>6562.71</v>
      </c>
      <c r="U335" s="107">
        <v>15147</v>
      </c>
      <c r="V335" s="128"/>
      <c r="W335" s="172"/>
    </row>
    <row r="336" s="39" customFormat="1" ht="22" customHeight="1" spans="1:23">
      <c r="A336" s="142" t="s">
        <v>1241</v>
      </c>
      <c r="B336" s="174" t="s">
        <v>30</v>
      </c>
      <c r="C336" s="175"/>
      <c r="D336" s="45" t="s">
        <v>31</v>
      </c>
      <c r="E336" s="83" t="s">
        <v>1100</v>
      </c>
      <c r="F336" s="82">
        <f>IFERROR(VLOOKUP(E336,客户!B:C,2,FALSE),"/")</f>
        <v>0</v>
      </c>
      <c r="G336" s="73" t="s">
        <v>985</v>
      </c>
      <c r="H336" s="45" t="s">
        <v>123</v>
      </c>
      <c r="I336" s="45" t="s">
        <v>806</v>
      </c>
      <c r="J336" s="110">
        <v>44092</v>
      </c>
      <c r="K336" s="146">
        <v>44143</v>
      </c>
      <c r="L336" s="93">
        <v>44193</v>
      </c>
      <c r="M336" s="165" t="s">
        <v>1242</v>
      </c>
      <c r="N336" s="202" t="s">
        <v>1243</v>
      </c>
      <c r="O336" s="108" t="s">
        <v>523</v>
      </c>
      <c r="P336" s="107">
        <v>20908.08</v>
      </c>
      <c r="Q336" s="107">
        <v>3500</v>
      </c>
      <c r="R336" s="241"/>
      <c r="S336" s="242"/>
      <c r="T336" s="107">
        <v>17402.49</v>
      </c>
      <c r="U336" s="93"/>
      <c r="V336" s="128"/>
      <c r="W336" s="172"/>
    </row>
    <row r="337" s="39" customFormat="1" ht="22" customHeight="1" spans="1:23">
      <c r="A337" s="142" t="s">
        <v>1244</v>
      </c>
      <c r="B337" s="174" t="s">
        <v>30</v>
      </c>
      <c r="C337" s="175"/>
      <c r="D337" s="45" t="s">
        <v>31</v>
      </c>
      <c r="E337" s="83" t="s">
        <v>1245</v>
      </c>
      <c r="F337" s="82">
        <f>IFERROR(VLOOKUP(E337,客户!B:C,2,FALSE),"/")</f>
        <v>0</v>
      </c>
      <c r="G337" s="73" t="s">
        <v>1246</v>
      </c>
      <c r="H337" s="45" t="s">
        <v>186</v>
      </c>
      <c r="I337" s="45"/>
      <c r="J337" s="110">
        <v>44096</v>
      </c>
      <c r="K337" s="110">
        <v>44113</v>
      </c>
      <c r="L337" s="93"/>
      <c r="M337" s="165" t="s">
        <v>1247</v>
      </c>
      <c r="N337" s="202"/>
      <c r="O337" s="108" t="s">
        <v>970</v>
      </c>
      <c r="P337" s="240">
        <v>23000</v>
      </c>
      <c r="Q337" s="240">
        <v>6000</v>
      </c>
      <c r="R337" s="241"/>
      <c r="S337" s="242"/>
      <c r="T337" s="240">
        <v>17000</v>
      </c>
      <c r="U337" s="93"/>
      <c r="V337" s="128"/>
      <c r="W337" s="172"/>
    </row>
    <row r="338" s="39" customFormat="1" ht="22" customHeight="1" spans="1:23">
      <c r="A338" s="142" t="s">
        <v>1248</v>
      </c>
      <c r="B338" s="174" t="s">
        <v>30</v>
      </c>
      <c r="C338" s="175"/>
      <c r="D338" s="45" t="s">
        <v>31</v>
      </c>
      <c r="E338" s="83" t="s">
        <v>1249</v>
      </c>
      <c r="F338" s="82">
        <f>IFERROR(VLOOKUP(E338,客户!B:C,2,FALSE),"/")</f>
        <v>0</v>
      </c>
      <c r="G338" s="73" t="s">
        <v>43</v>
      </c>
      <c r="H338" s="45" t="s">
        <v>123</v>
      </c>
      <c r="I338" s="45" t="s">
        <v>1250</v>
      </c>
      <c r="J338" s="110">
        <v>44101</v>
      </c>
      <c r="K338" s="146">
        <v>44167</v>
      </c>
      <c r="L338" s="93">
        <v>44201</v>
      </c>
      <c r="M338" s="165" t="s">
        <v>1251</v>
      </c>
      <c r="N338" s="202" t="s">
        <v>1252</v>
      </c>
      <c r="O338" s="108" t="s">
        <v>523</v>
      </c>
      <c r="P338" s="107">
        <v>20744.3</v>
      </c>
      <c r="Q338" s="107">
        <v>6147.9</v>
      </c>
      <c r="R338" s="241"/>
      <c r="S338" s="242"/>
      <c r="T338" s="107">
        <v>14596.4</v>
      </c>
      <c r="U338" s="93"/>
      <c r="V338" s="128"/>
      <c r="W338" s="172"/>
    </row>
    <row r="339" s="39" customFormat="1" ht="22" customHeight="1" spans="1:23">
      <c r="A339" s="142" t="s">
        <v>1253</v>
      </c>
      <c r="B339" s="174" t="s">
        <v>30</v>
      </c>
      <c r="C339" s="175"/>
      <c r="D339" s="45" t="s">
        <v>31</v>
      </c>
      <c r="E339" s="83" t="s">
        <v>1083</v>
      </c>
      <c r="F339" s="82">
        <f>IFERROR(VLOOKUP(E339,客户!B:C,2,FALSE),"/")</f>
        <v>0</v>
      </c>
      <c r="G339" s="73" t="s">
        <v>43</v>
      </c>
      <c r="H339" s="45" t="s">
        <v>147</v>
      </c>
      <c r="I339" s="45" t="s">
        <v>232</v>
      </c>
      <c r="J339" s="110">
        <v>44103</v>
      </c>
      <c r="K339" s="146">
        <v>44142</v>
      </c>
      <c r="L339" s="93">
        <v>44159</v>
      </c>
      <c r="M339" s="165" t="s">
        <v>1254</v>
      </c>
      <c r="N339" s="202" t="s">
        <v>1255</v>
      </c>
      <c r="O339" s="108" t="s">
        <v>523</v>
      </c>
      <c r="P339" s="107">
        <v>21831.93</v>
      </c>
      <c r="Q339" s="107">
        <v>6640.82</v>
      </c>
      <c r="R339" s="241"/>
      <c r="S339" s="242"/>
      <c r="T339" s="107">
        <v>15191</v>
      </c>
      <c r="U339" s="93"/>
      <c r="V339" s="128"/>
      <c r="W339" s="172"/>
    </row>
    <row r="340" s="39" customFormat="1" ht="22" customHeight="1" spans="1:23">
      <c r="A340" s="142" t="s">
        <v>1256</v>
      </c>
      <c r="B340" s="174" t="s">
        <v>30</v>
      </c>
      <c r="C340" s="175"/>
      <c r="D340" s="45" t="s">
        <v>31</v>
      </c>
      <c r="E340" s="83" t="s">
        <v>1257</v>
      </c>
      <c r="F340" s="82">
        <f>IFERROR(VLOOKUP(E340,客户!B:C,2,FALSE),"/")</f>
        <v>0</v>
      </c>
      <c r="G340" s="73" t="s">
        <v>43</v>
      </c>
      <c r="H340" s="45" t="s">
        <v>123</v>
      </c>
      <c r="I340" s="45" t="s">
        <v>1149</v>
      </c>
      <c r="J340" s="110">
        <v>44109</v>
      </c>
      <c r="K340" s="146">
        <v>44184</v>
      </c>
      <c r="L340" s="93">
        <v>44210</v>
      </c>
      <c r="M340" s="165" t="s">
        <v>1258</v>
      </c>
      <c r="N340" s="202" t="s">
        <v>1259</v>
      </c>
      <c r="O340" s="108" t="s">
        <v>523</v>
      </c>
      <c r="P340" s="107">
        <v>23627.9</v>
      </c>
      <c r="Q340" s="107">
        <v>4815.05</v>
      </c>
      <c r="R340" s="241"/>
      <c r="S340" s="242"/>
      <c r="T340" s="107">
        <v>18812.85</v>
      </c>
      <c r="U340" s="93"/>
      <c r="V340" s="128"/>
      <c r="W340" s="172"/>
    </row>
    <row r="341" s="39" customFormat="1" ht="22" customHeight="1" spans="1:23">
      <c r="A341" s="142" t="s">
        <v>1260</v>
      </c>
      <c r="B341" s="174" t="s">
        <v>30</v>
      </c>
      <c r="C341" s="175"/>
      <c r="D341" s="45" t="s">
        <v>31</v>
      </c>
      <c r="E341" s="83" t="s">
        <v>1167</v>
      </c>
      <c r="F341" s="82">
        <f>IFERROR(VLOOKUP(E341,客户!B:C,2,FALSE),"/")</f>
        <v>0</v>
      </c>
      <c r="G341" s="73" t="s">
        <v>1261</v>
      </c>
      <c r="H341" s="45" t="s">
        <v>123</v>
      </c>
      <c r="I341" s="45" t="s">
        <v>550</v>
      </c>
      <c r="J341" s="110">
        <v>44109</v>
      </c>
      <c r="K341" s="146">
        <v>44163</v>
      </c>
      <c r="L341" s="93">
        <v>44191</v>
      </c>
      <c r="M341" s="165" t="s">
        <v>1262</v>
      </c>
      <c r="N341" s="202" t="s">
        <v>1263</v>
      </c>
      <c r="O341" s="108" t="s">
        <v>523</v>
      </c>
      <c r="P341" s="107">
        <v>26775.05</v>
      </c>
      <c r="Q341" s="107">
        <v>8100</v>
      </c>
      <c r="R341" s="241"/>
      <c r="S341" s="242"/>
      <c r="T341" s="107">
        <v>18675.05</v>
      </c>
      <c r="U341" s="93"/>
      <c r="V341" s="128"/>
      <c r="W341" s="172"/>
    </row>
    <row r="342" s="39" customFormat="1" ht="22" customHeight="1" spans="1:23">
      <c r="A342" s="142" t="s">
        <v>1264</v>
      </c>
      <c r="B342" s="174" t="s">
        <v>30</v>
      </c>
      <c r="C342" s="175"/>
      <c r="D342" s="45" t="s">
        <v>31</v>
      </c>
      <c r="E342" s="83" t="s">
        <v>1265</v>
      </c>
      <c r="F342" s="82" t="str">
        <f>IFERROR(VLOOKUP(E342,客户!B:C,2,FALSE),"/")</f>
        <v>外送费用945人民币+装箱费用 加在发票里</v>
      </c>
      <c r="G342" s="73" t="s">
        <v>1266</v>
      </c>
      <c r="H342" s="45" t="s">
        <v>147</v>
      </c>
      <c r="I342" s="45" t="s">
        <v>997</v>
      </c>
      <c r="J342" s="110">
        <v>44117</v>
      </c>
      <c r="K342" s="146">
        <v>44158</v>
      </c>
      <c r="L342" s="93">
        <v>44200</v>
      </c>
      <c r="M342" s="165" t="s">
        <v>1267</v>
      </c>
      <c r="N342" s="202" t="s">
        <v>1268</v>
      </c>
      <c r="O342" s="108" t="s">
        <v>680</v>
      </c>
      <c r="P342" s="107">
        <v>65744.7</v>
      </c>
      <c r="Q342" s="107"/>
      <c r="R342" s="241"/>
      <c r="S342" s="242"/>
      <c r="T342" s="107">
        <v>65744.7</v>
      </c>
      <c r="U342" s="93"/>
      <c r="V342" s="128"/>
      <c r="W342" s="172"/>
    </row>
    <row r="343" s="39" customFormat="1" ht="22" customHeight="1" spans="1:23">
      <c r="A343" s="142" t="s">
        <v>1269</v>
      </c>
      <c r="B343" s="174" t="s">
        <v>30</v>
      </c>
      <c r="C343" s="175"/>
      <c r="D343" s="45" t="s">
        <v>31</v>
      </c>
      <c r="E343" s="83" t="s">
        <v>1265</v>
      </c>
      <c r="F343" s="82" t="str">
        <f>IFERROR(VLOOKUP(E343,客户!B:C,2,FALSE),"/")</f>
        <v>外送费用945人民币+装箱费用 加在发票里</v>
      </c>
      <c r="G343" s="73" t="s">
        <v>1270</v>
      </c>
      <c r="H343" s="45" t="s">
        <v>147</v>
      </c>
      <c r="I343" s="45" t="s">
        <v>997</v>
      </c>
      <c r="J343" s="110">
        <v>44117</v>
      </c>
      <c r="K343" s="146">
        <v>44235</v>
      </c>
      <c r="L343" s="93">
        <v>44277</v>
      </c>
      <c r="M343" s="165" t="s">
        <v>1271</v>
      </c>
      <c r="N343" s="202" t="s">
        <v>1272</v>
      </c>
      <c r="O343" s="108" t="s">
        <v>680</v>
      </c>
      <c r="P343" s="107">
        <v>90311.4</v>
      </c>
      <c r="Q343" s="240"/>
      <c r="R343" s="241"/>
      <c r="S343" s="242"/>
      <c r="T343" s="107">
        <v>90311.4</v>
      </c>
      <c r="U343" s="93"/>
      <c r="V343" s="128"/>
      <c r="W343" s="172"/>
    </row>
    <row r="344" s="39" customFormat="1" ht="22" customHeight="1" spans="1:23">
      <c r="A344" s="142" t="s">
        <v>1273</v>
      </c>
      <c r="B344" s="174" t="s">
        <v>30</v>
      </c>
      <c r="C344" s="175"/>
      <c r="D344" s="45" t="s">
        <v>31</v>
      </c>
      <c r="E344" s="83" t="s">
        <v>1274</v>
      </c>
      <c r="F344" s="82">
        <f>IFERROR(VLOOKUP(E344,客户!B:C,2,FALSE),"/")</f>
        <v>0</v>
      </c>
      <c r="G344" s="73" t="s">
        <v>1275</v>
      </c>
      <c r="H344" s="45" t="s">
        <v>123</v>
      </c>
      <c r="I344" s="45" t="s">
        <v>925</v>
      </c>
      <c r="J344" s="110">
        <v>44120</v>
      </c>
      <c r="K344" s="146">
        <v>44191</v>
      </c>
      <c r="L344" s="93">
        <v>44245</v>
      </c>
      <c r="M344" s="165" t="s">
        <v>1276</v>
      </c>
      <c r="N344" s="202" t="s">
        <v>1277</v>
      </c>
      <c r="O344" s="108" t="s">
        <v>523</v>
      </c>
      <c r="P344" s="107">
        <v>38129.69</v>
      </c>
      <c r="Q344" s="107">
        <v>9524.1</v>
      </c>
      <c r="R344" s="241"/>
      <c r="S344" s="242"/>
      <c r="T344" s="107">
        <v>28605.59</v>
      </c>
      <c r="U344" s="93"/>
      <c r="V344" s="128"/>
      <c r="W344" s="172"/>
    </row>
    <row r="345" s="39" customFormat="1" ht="22" customHeight="1" spans="1:23">
      <c r="A345" s="142" t="s">
        <v>1278</v>
      </c>
      <c r="B345" s="174" t="s">
        <v>30</v>
      </c>
      <c r="C345" s="175"/>
      <c r="D345" s="45" t="s">
        <v>31</v>
      </c>
      <c r="E345" s="83" t="s">
        <v>1190</v>
      </c>
      <c r="F345" s="82">
        <f>IFERROR(VLOOKUP(E345,客户!B:C,2,FALSE),"/")</f>
        <v>0</v>
      </c>
      <c r="G345" s="73" t="s">
        <v>1279</v>
      </c>
      <c r="H345" s="45" t="s">
        <v>123</v>
      </c>
      <c r="I345" s="45" t="s">
        <v>1280</v>
      </c>
      <c r="J345" s="110">
        <v>44125</v>
      </c>
      <c r="K345" s="110">
        <v>44172</v>
      </c>
      <c r="L345" s="93">
        <v>44196</v>
      </c>
      <c r="M345" s="165" t="s">
        <v>1281</v>
      </c>
      <c r="N345" s="202" t="s">
        <v>1282</v>
      </c>
      <c r="O345" s="108" t="s">
        <v>1283</v>
      </c>
      <c r="P345" s="107">
        <v>61200</v>
      </c>
      <c r="Q345" s="107"/>
      <c r="R345" s="241"/>
      <c r="S345" s="242"/>
      <c r="T345" s="107">
        <v>61200</v>
      </c>
      <c r="U345" s="93"/>
      <c r="V345" s="219" t="s">
        <v>1284</v>
      </c>
      <c r="W345" s="172"/>
    </row>
    <row r="346" s="39" customFormat="1" ht="22" customHeight="1" spans="1:23">
      <c r="A346" s="142" t="s">
        <v>1285</v>
      </c>
      <c r="B346" s="174" t="s">
        <v>30</v>
      </c>
      <c r="C346" s="175"/>
      <c r="D346" s="45" t="s">
        <v>31</v>
      </c>
      <c r="E346" s="83" t="s">
        <v>1190</v>
      </c>
      <c r="F346" s="82">
        <f>IFERROR(VLOOKUP(E346,客户!B:C,2,FALSE),"/")</f>
        <v>0</v>
      </c>
      <c r="G346" s="73" t="s">
        <v>1286</v>
      </c>
      <c r="H346" s="45" t="s">
        <v>123</v>
      </c>
      <c r="I346" s="45" t="s">
        <v>1280</v>
      </c>
      <c r="J346" s="110">
        <v>44125</v>
      </c>
      <c r="K346" s="146">
        <v>44188</v>
      </c>
      <c r="L346" s="93">
        <v>44225</v>
      </c>
      <c r="M346" s="178" t="s">
        <v>1287</v>
      </c>
      <c r="N346" s="202" t="s">
        <v>1288</v>
      </c>
      <c r="O346" s="108" t="s">
        <v>1283</v>
      </c>
      <c r="P346" s="107">
        <v>62544</v>
      </c>
      <c r="Q346" s="107"/>
      <c r="R346" s="241"/>
      <c r="S346" s="242"/>
      <c r="T346" s="107">
        <v>62544</v>
      </c>
      <c r="U346" s="93"/>
      <c r="V346" s="128"/>
      <c r="W346" s="172"/>
    </row>
    <row r="347" s="39" customFormat="1" ht="22" customHeight="1" spans="1:23">
      <c r="A347" s="142" t="s">
        <v>1289</v>
      </c>
      <c r="B347" s="174" t="s">
        <v>30</v>
      </c>
      <c r="C347" s="175"/>
      <c r="D347" s="45" t="s">
        <v>31</v>
      </c>
      <c r="E347" s="83" t="s">
        <v>1190</v>
      </c>
      <c r="F347" s="82">
        <f>IFERROR(VLOOKUP(E347,客户!B:C,2,FALSE),"/")</f>
        <v>0</v>
      </c>
      <c r="G347" s="73" t="s">
        <v>1290</v>
      </c>
      <c r="H347" s="45" t="s">
        <v>123</v>
      </c>
      <c r="I347" s="45" t="s">
        <v>1280</v>
      </c>
      <c r="J347" s="110">
        <v>44125</v>
      </c>
      <c r="K347" s="146">
        <v>44191</v>
      </c>
      <c r="L347" s="196">
        <v>44227</v>
      </c>
      <c r="M347" s="165" t="s">
        <v>1291</v>
      </c>
      <c r="N347" s="202" t="s">
        <v>1292</v>
      </c>
      <c r="O347" s="108" t="s">
        <v>1283</v>
      </c>
      <c r="P347" s="107">
        <v>41882</v>
      </c>
      <c r="Q347" s="107"/>
      <c r="R347" s="241"/>
      <c r="S347" s="242"/>
      <c r="T347" s="107">
        <v>41882</v>
      </c>
      <c r="U347" s="93"/>
      <c r="V347" s="128"/>
      <c r="W347" s="172"/>
    </row>
    <row r="348" s="39" customFormat="1" ht="22" customHeight="1" spans="1:23">
      <c r="A348" s="142" t="s">
        <v>1293</v>
      </c>
      <c r="B348" s="174" t="s">
        <v>30</v>
      </c>
      <c r="C348" s="175"/>
      <c r="D348" s="45" t="s">
        <v>31</v>
      </c>
      <c r="E348" s="83" t="s">
        <v>1190</v>
      </c>
      <c r="F348" s="82">
        <f>IFERROR(VLOOKUP(E348,客户!B:C,2,FALSE),"/")</f>
        <v>0</v>
      </c>
      <c r="G348" s="73" t="s">
        <v>1286</v>
      </c>
      <c r="H348" s="45" t="s">
        <v>123</v>
      </c>
      <c r="I348" s="45" t="s">
        <v>723</v>
      </c>
      <c r="J348" s="110">
        <v>44125</v>
      </c>
      <c r="K348" s="146">
        <v>44173</v>
      </c>
      <c r="L348" s="93">
        <v>44214</v>
      </c>
      <c r="M348" s="251" t="s">
        <v>1294</v>
      </c>
      <c r="N348" s="202" t="s">
        <v>1295</v>
      </c>
      <c r="O348" s="108" t="s">
        <v>1283</v>
      </c>
      <c r="P348" s="107">
        <v>62162.15</v>
      </c>
      <c r="Q348" s="107"/>
      <c r="R348" s="241"/>
      <c r="S348" s="242"/>
      <c r="T348" s="107">
        <v>62162.15</v>
      </c>
      <c r="U348" s="93"/>
      <c r="V348" s="219" t="s">
        <v>1296</v>
      </c>
      <c r="W348" s="172"/>
    </row>
    <row r="349" s="39" customFormat="1" ht="22" customHeight="1" spans="1:23">
      <c r="A349" s="142" t="s">
        <v>1297</v>
      </c>
      <c r="B349" s="174" t="s">
        <v>30</v>
      </c>
      <c r="C349" s="175"/>
      <c r="D349" s="45" t="s">
        <v>31</v>
      </c>
      <c r="E349" s="83" t="s">
        <v>1190</v>
      </c>
      <c r="F349" s="82">
        <f>IFERROR(VLOOKUP(E349,客户!B:C,2,FALSE),"/")</f>
        <v>0</v>
      </c>
      <c r="G349" s="73" t="s">
        <v>1298</v>
      </c>
      <c r="H349" s="45" t="s">
        <v>123</v>
      </c>
      <c r="I349" s="45" t="s">
        <v>723</v>
      </c>
      <c r="J349" s="110">
        <v>44125</v>
      </c>
      <c r="K349" s="146">
        <v>44156</v>
      </c>
      <c r="L349" s="93">
        <v>44194</v>
      </c>
      <c r="M349" s="165" t="s">
        <v>1299</v>
      </c>
      <c r="N349" s="202" t="s">
        <v>1292</v>
      </c>
      <c r="O349" s="108" t="s">
        <v>1283</v>
      </c>
      <c r="P349" s="107">
        <v>122706.9</v>
      </c>
      <c r="Q349" s="107"/>
      <c r="R349" s="241"/>
      <c r="S349" s="242"/>
      <c r="T349" s="107">
        <v>122706.9</v>
      </c>
      <c r="U349" s="93"/>
      <c r="V349" s="219" t="s">
        <v>1300</v>
      </c>
      <c r="W349" s="172"/>
    </row>
    <row r="350" s="39" customFormat="1" ht="22" customHeight="1" spans="1:23">
      <c r="A350" s="142" t="s">
        <v>1301</v>
      </c>
      <c r="B350" s="174" t="s">
        <v>30</v>
      </c>
      <c r="C350" s="175"/>
      <c r="D350" s="45" t="s">
        <v>31</v>
      </c>
      <c r="E350" s="83" t="s">
        <v>1190</v>
      </c>
      <c r="F350" s="82">
        <f>IFERROR(VLOOKUP(E350,客户!B:C,2,FALSE),"/")</f>
        <v>0</v>
      </c>
      <c r="G350" s="73" t="s">
        <v>1290</v>
      </c>
      <c r="H350" s="45" t="s">
        <v>123</v>
      </c>
      <c r="I350" s="45" t="s">
        <v>1230</v>
      </c>
      <c r="J350" s="110">
        <v>44125</v>
      </c>
      <c r="K350" s="146">
        <v>44191</v>
      </c>
      <c r="L350" s="196">
        <v>44231</v>
      </c>
      <c r="M350" s="202" t="s">
        <v>1302</v>
      </c>
      <c r="N350" s="202" t="s">
        <v>1292</v>
      </c>
      <c r="O350" s="108" t="s">
        <v>1283</v>
      </c>
      <c r="P350" s="107">
        <v>41539.75</v>
      </c>
      <c r="Q350" s="107"/>
      <c r="R350" s="241"/>
      <c r="S350" s="242"/>
      <c r="T350" s="107">
        <v>41539.75</v>
      </c>
      <c r="U350" s="93"/>
      <c r="V350" s="128"/>
      <c r="W350" s="172"/>
    </row>
    <row r="351" s="39" customFormat="1" ht="22" customHeight="1" spans="1:23">
      <c r="A351" s="142" t="s">
        <v>1303</v>
      </c>
      <c r="B351" s="174" t="s">
        <v>30</v>
      </c>
      <c r="C351" s="175"/>
      <c r="D351" s="45" t="s">
        <v>31</v>
      </c>
      <c r="E351" s="83" t="s">
        <v>1190</v>
      </c>
      <c r="F351" s="82">
        <f>IFERROR(VLOOKUP(E351,客户!B:C,2,FALSE),"/")</f>
        <v>0</v>
      </c>
      <c r="G351" s="73" t="s">
        <v>1290</v>
      </c>
      <c r="H351" s="45" t="s">
        <v>123</v>
      </c>
      <c r="I351" s="45" t="s">
        <v>1230</v>
      </c>
      <c r="J351" s="110">
        <v>44125</v>
      </c>
      <c r="K351" s="110">
        <v>44196</v>
      </c>
      <c r="L351" s="93">
        <v>44239</v>
      </c>
      <c r="M351" s="202" t="s">
        <v>1304</v>
      </c>
      <c r="N351" s="202" t="s">
        <v>1305</v>
      </c>
      <c r="O351" s="108" t="s">
        <v>1283</v>
      </c>
      <c r="P351" s="107">
        <v>41745</v>
      </c>
      <c r="Q351" s="107"/>
      <c r="R351" s="241"/>
      <c r="S351" s="242"/>
      <c r="T351" s="107">
        <v>41745</v>
      </c>
      <c r="U351" s="93"/>
      <c r="V351" s="128"/>
      <c r="W351" s="172"/>
    </row>
    <row r="352" s="39" customFormat="1" ht="22" customHeight="1" spans="1:23">
      <c r="A352" s="142" t="s">
        <v>1306</v>
      </c>
      <c r="B352" s="174" t="s">
        <v>30</v>
      </c>
      <c r="C352" s="175"/>
      <c r="D352" s="45" t="s">
        <v>31</v>
      </c>
      <c r="E352" s="83" t="s">
        <v>1190</v>
      </c>
      <c r="F352" s="82">
        <f>IFERROR(VLOOKUP(E352,客户!B:C,2,FALSE),"/")</f>
        <v>0</v>
      </c>
      <c r="G352" s="73" t="s">
        <v>1307</v>
      </c>
      <c r="H352" s="45" t="s">
        <v>123</v>
      </c>
      <c r="I352" s="45" t="s">
        <v>1230</v>
      </c>
      <c r="J352" s="110">
        <v>44125</v>
      </c>
      <c r="K352" s="146">
        <v>44218</v>
      </c>
      <c r="L352" s="93">
        <v>44257</v>
      </c>
      <c r="M352" s="165" t="s">
        <v>1308</v>
      </c>
      <c r="N352" s="202" t="s">
        <v>1288</v>
      </c>
      <c r="O352" s="108" t="s">
        <v>1283</v>
      </c>
      <c r="P352" s="107">
        <v>62878.2</v>
      </c>
      <c r="Q352" s="107"/>
      <c r="R352" s="241"/>
      <c r="S352" s="242"/>
      <c r="T352" s="107">
        <v>62878.2</v>
      </c>
      <c r="U352" s="93"/>
      <c r="V352" s="128"/>
      <c r="W352" s="172"/>
    </row>
    <row r="353" s="39" customFormat="1" ht="22" customHeight="1" spans="1:23">
      <c r="A353" s="142" t="s">
        <v>1309</v>
      </c>
      <c r="B353" s="174" t="s">
        <v>30</v>
      </c>
      <c r="C353" s="175"/>
      <c r="D353" s="45" t="s">
        <v>31</v>
      </c>
      <c r="E353" s="83" t="s">
        <v>1121</v>
      </c>
      <c r="F353" s="82">
        <f>IFERROR(VLOOKUP(E353,客户!B:C,2,FALSE),"/")</f>
        <v>0</v>
      </c>
      <c r="G353" s="73" t="s">
        <v>1310</v>
      </c>
      <c r="H353" s="45" t="s">
        <v>127</v>
      </c>
      <c r="I353" s="45" t="s">
        <v>215</v>
      </c>
      <c r="J353" s="110">
        <v>44126</v>
      </c>
      <c r="K353" s="146">
        <v>44159</v>
      </c>
      <c r="L353" s="93">
        <v>44172</v>
      </c>
      <c r="M353" s="165" t="s">
        <v>1311</v>
      </c>
      <c r="N353" s="202" t="s">
        <v>1312</v>
      </c>
      <c r="O353" s="108" t="s">
        <v>523</v>
      </c>
      <c r="P353" s="240">
        <v>467294.2</v>
      </c>
      <c r="Q353" s="240">
        <v>99940</v>
      </c>
      <c r="R353" s="241"/>
      <c r="S353" s="242"/>
      <c r="T353" s="240">
        <v>367354.2</v>
      </c>
      <c r="U353" s="93"/>
      <c r="V353" s="128"/>
      <c r="W353" s="172"/>
    </row>
    <row r="354" s="39" customFormat="1" ht="22" customHeight="1" spans="1:23">
      <c r="A354" s="142" t="s">
        <v>1313</v>
      </c>
      <c r="B354" s="174" t="s">
        <v>30</v>
      </c>
      <c r="C354" s="175"/>
      <c r="D354" s="45" t="s">
        <v>31</v>
      </c>
      <c r="E354" s="83" t="s">
        <v>1167</v>
      </c>
      <c r="F354" s="82"/>
      <c r="G354" s="73" t="s">
        <v>1314</v>
      </c>
      <c r="H354" s="45" t="s">
        <v>123</v>
      </c>
      <c r="I354" s="45" t="s">
        <v>550</v>
      </c>
      <c r="J354" s="110">
        <v>44147</v>
      </c>
      <c r="K354" s="146">
        <v>44203</v>
      </c>
      <c r="L354" s="93">
        <v>44224</v>
      </c>
      <c r="M354" s="165" t="s">
        <v>1315</v>
      </c>
      <c r="N354" s="202" t="s">
        <v>1316</v>
      </c>
      <c r="O354" s="108" t="s">
        <v>523</v>
      </c>
      <c r="P354" s="107">
        <v>57061.02</v>
      </c>
      <c r="Q354" s="107">
        <v>16200</v>
      </c>
      <c r="R354" s="241"/>
      <c r="S354" s="242"/>
      <c r="T354" s="107">
        <v>40861.02</v>
      </c>
      <c r="U354" s="93"/>
      <c r="V354" s="128"/>
      <c r="W354" s="172"/>
    </row>
    <row r="355" s="39" customFormat="1" ht="22" customHeight="1" spans="1:23">
      <c r="A355" s="142" t="s">
        <v>1317</v>
      </c>
      <c r="B355" s="174" t="s">
        <v>30</v>
      </c>
      <c r="C355" s="175"/>
      <c r="D355" s="45" t="s">
        <v>31</v>
      </c>
      <c r="E355" s="83" t="s">
        <v>1121</v>
      </c>
      <c r="F355" s="82">
        <f>IFERROR(VLOOKUP(E355,客户!B:C,2,FALSE),"/")</f>
        <v>0</v>
      </c>
      <c r="G355" s="73" t="s">
        <v>1318</v>
      </c>
      <c r="H355" s="45" t="s">
        <v>123</v>
      </c>
      <c r="I355" s="45" t="s">
        <v>215</v>
      </c>
      <c r="J355" s="110">
        <v>44148</v>
      </c>
      <c r="K355" s="146">
        <v>44200</v>
      </c>
      <c r="L355" s="93">
        <v>44215</v>
      </c>
      <c r="M355" s="165" t="s">
        <v>1319</v>
      </c>
      <c r="N355" s="202" t="s">
        <v>1320</v>
      </c>
      <c r="O355" s="108" t="s">
        <v>523</v>
      </c>
      <c r="P355" s="240">
        <v>476819</v>
      </c>
      <c r="Q355" s="240">
        <v>100000</v>
      </c>
      <c r="R355" s="241"/>
      <c r="S355" s="242"/>
      <c r="T355" s="240">
        <v>376819</v>
      </c>
      <c r="U355" s="242"/>
      <c r="V355" s="128"/>
      <c r="W355" s="172"/>
    </row>
    <row r="356" s="39" customFormat="1" ht="22" customHeight="1" spans="1:23">
      <c r="A356" s="142" t="s">
        <v>1321</v>
      </c>
      <c r="B356" s="174" t="s">
        <v>30</v>
      </c>
      <c r="C356" s="175"/>
      <c r="D356" s="45" t="s">
        <v>31</v>
      </c>
      <c r="E356" s="83" t="s">
        <v>1121</v>
      </c>
      <c r="F356" s="82">
        <f>IFERROR(VLOOKUP(E356,客户!B:C,2,FALSE),"/")</f>
        <v>0</v>
      </c>
      <c r="G356" s="73" t="s">
        <v>1322</v>
      </c>
      <c r="H356" s="45" t="s">
        <v>123</v>
      </c>
      <c r="I356" s="45" t="s">
        <v>215</v>
      </c>
      <c r="J356" s="110">
        <v>44148</v>
      </c>
      <c r="K356" s="146">
        <v>44200</v>
      </c>
      <c r="L356" s="93">
        <v>44215</v>
      </c>
      <c r="M356" s="165" t="s">
        <v>1323</v>
      </c>
      <c r="N356" s="202" t="s">
        <v>1324</v>
      </c>
      <c r="O356" s="108" t="s">
        <v>523</v>
      </c>
      <c r="P356" s="240">
        <v>330566</v>
      </c>
      <c r="Q356" s="240"/>
      <c r="R356" s="241"/>
      <c r="S356" s="242"/>
      <c r="T356" s="240">
        <v>330566</v>
      </c>
      <c r="U356" s="93"/>
      <c r="V356" s="128"/>
      <c r="W356" s="172"/>
    </row>
    <row r="357" s="39" customFormat="1" ht="22" customHeight="1" spans="1:23">
      <c r="A357" s="142" t="s">
        <v>1325</v>
      </c>
      <c r="B357" s="174" t="s">
        <v>30</v>
      </c>
      <c r="C357" s="175"/>
      <c r="D357" s="45" t="s">
        <v>31</v>
      </c>
      <c r="E357" s="83" t="s">
        <v>1326</v>
      </c>
      <c r="F357" s="82">
        <f>IFERROR(VLOOKUP(E357,客户!B:C,2,FALSE),"/")</f>
        <v>0</v>
      </c>
      <c r="G357" s="73" t="s">
        <v>390</v>
      </c>
      <c r="H357" s="45" t="s">
        <v>123</v>
      </c>
      <c r="I357" s="45" t="s">
        <v>1327</v>
      </c>
      <c r="J357" s="110">
        <v>44148</v>
      </c>
      <c r="K357" s="146">
        <v>44195</v>
      </c>
      <c r="L357" s="93">
        <v>44226</v>
      </c>
      <c r="M357" s="202" t="s">
        <v>1328</v>
      </c>
      <c r="N357" s="202" t="s">
        <v>1329</v>
      </c>
      <c r="O357" s="108" t="s">
        <v>523</v>
      </c>
      <c r="P357" s="107">
        <v>22280.9</v>
      </c>
      <c r="Q357" s="107">
        <v>6413.48</v>
      </c>
      <c r="R357" s="241"/>
      <c r="S357" s="242"/>
      <c r="T357" s="107">
        <v>15867.42</v>
      </c>
      <c r="U357" s="93"/>
      <c r="V357" s="128"/>
      <c r="W357" s="172"/>
    </row>
    <row r="358" s="39" customFormat="1" ht="22" customHeight="1" spans="1:23">
      <c r="A358" s="142" t="s">
        <v>1330</v>
      </c>
      <c r="B358" s="174" t="s">
        <v>30</v>
      </c>
      <c r="C358" s="175"/>
      <c r="D358" s="45" t="s">
        <v>31</v>
      </c>
      <c r="E358" s="83" t="s">
        <v>1326</v>
      </c>
      <c r="F358" s="82">
        <f>IFERROR(VLOOKUP(E358,客户!B:C,2,FALSE),"/")</f>
        <v>0</v>
      </c>
      <c r="G358" s="73" t="s">
        <v>390</v>
      </c>
      <c r="H358" s="45" t="s">
        <v>123</v>
      </c>
      <c r="I358" s="45" t="s">
        <v>909</v>
      </c>
      <c r="J358" s="110">
        <v>44148</v>
      </c>
      <c r="K358" s="146">
        <v>44215</v>
      </c>
      <c r="L358" s="93">
        <v>44248</v>
      </c>
      <c r="M358" s="165" t="s">
        <v>1331</v>
      </c>
      <c r="N358" s="202" t="s">
        <v>1332</v>
      </c>
      <c r="O358" s="108" t="s">
        <v>523</v>
      </c>
      <c r="P358" s="168">
        <v>23178</v>
      </c>
      <c r="Q358" s="107">
        <v>6953.4</v>
      </c>
      <c r="R358" s="241"/>
      <c r="S358" s="242"/>
      <c r="T358" s="107">
        <v>16224.6</v>
      </c>
      <c r="U358" s="93"/>
      <c r="V358" s="128"/>
      <c r="W358" s="172"/>
    </row>
    <row r="359" s="39" customFormat="1" ht="22" customHeight="1" spans="1:23">
      <c r="A359" s="143" t="s">
        <v>1333</v>
      </c>
      <c r="B359" s="174" t="s">
        <v>30</v>
      </c>
      <c r="C359" s="175"/>
      <c r="D359" s="45" t="s">
        <v>31</v>
      </c>
      <c r="E359" s="83" t="s">
        <v>1190</v>
      </c>
      <c r="F359" s="82">
        <f>IFERROR(VLOOKUP(E359,客户!B:C,2,FALSE),"/")</f>
        <v>0</v>
      </c>
      <c r="G359" s="73" t="s">
        <v>1334</v>
      </c>
      <c r="H359" s="45" t="s">
        <v>123</v>
      </c>
      <c r="I359" s="45" t="s">
        <v>1335</v>
      </c>
      <c r="J359" s="110">
        <v>44151</v>
      </c>
      <c r="K359" s="146">
        <v>44237</v>
      </c>
      <c r="L359" s="93">
        <v>44279</v>
      </c>
      <c r="M359" s="165" t="s">
        <v>1336</v>
      </c>
      <c r="N359" s="202" t="s">
        <v>1337</v>
      </c>
      <c r="O359" s="108" t="s">
        <v>523</v>
      </c>
      <c r="P359" s="107">
        <v>85438.16</v>
      </c>
      <c r="Q359" s="107"/>
      <c r="R359" s="241"/>
      <c r="S359" s="242"/>
      <c r="T359" s="107">
        <v>85438.16</v>
      </c>
      <c r="U359" s="93"/>
      <c r="V359" s="128"/>
      <c r="W359" s="172"/>
    </row>
    <row r="360" s="39" customFormat="1" ht="22" customHeight="1" spans="1:23">
      <c r="A360" s="142" t="s">
        <v>1338</v>
      </c>
      <c r="B360" s="174" t="s">
        <v>30</v>
      </c>
      <c r="C360" s="175"/>
      <c r="D360" s="45" t="s">
        <v>31</v>
      </c>
      <c r="E360" s="83" t="s">
        <v>1339</v>
      </c>
      <c r="F360" s="82">
        <f>IFERROR(VLOOKUP(E360,客户!B:C,2,FALSE),"/")</f>
        <v>0</v>
      </c>
      <c r="G360" s="73" t="s">
        <v>1340</v>
      </c>
      <c r="H360" s="45" t="s">
        <v>123</v>
      </c>
      <c r="I360" s="45" t="s">
        <v>1341</v>
      </c>
      <c r="J360" s="110">
        <v>44167</v>
      </c>
      <c r="K360" s="146">
        <v>44202</v>
      </c>
      <c r="L360" s="93"/>
      <c r="M360" s="165" t="s">
        <v>1342</v>
      </c>
      <c r="N360" s="202" t="s">
        <v>1343</v>
      </c>
      <c r="O360" s="108" t="s">
        <v>970</v>
      </c>
      <c r="P360" s="107">
        <v>2400</v>
      </c>
      <c r="Q360" s="107"/>
      <c r="R360" s="241"/>
      <c r="S360" s="242"/>
      <c r="T360" s="107">
        <v>2400</v>
      </c>
      <c r="U360" s="93"/>
      <c r="V360" s="128"/>
      <c r="W360" s="172"/>
    </row>
    <row r="361" s="39" customFormat="1" ht="22" customHeight="1" spans="1:23">
      <c r="A361" s="142" t="s">
        <v>1344</v>
      </c>
      <c r="B361" s="174" t="s">
        <v>30</v>
      </c>
      <c r="C361" s="175"/>
      <c r="D361" s="45" t="s">
        <v>31</v>
      </c>
      <c r="E361" s="83" t="s">
        <v>1345</v>
      </c>
      <c r="F361" s="82" t="str">
        <f>IFERROR(VLOOKUP(E361,客户!B:C,2,FALSE),"/")</f>
        <v>J4159还差USD265.65没付齐 J4220还有定金5674.3 账上剩5408.65</v>
      </c>
      <c r="G361" s="73" t="s">
        <v>1198</v>
      </c>
      <c r="H361" s="45" t="s">
        <v>123</v>
      </c>
      <c r="I361" s="45" t="s">
        <v>1346</v>
      </c>
      <c r="J361" s="110">
        <v>44167</v>
      </c>
      <c r="K361" s="146">
        <v>44211</v>
      </c>
      <c r="L361" s="93">
        <v>44244</v>
      </c>
      <c r="M361" s="165" t="s">
        <v>1347</v>
      </c>
      <c r="N361" s="202" t="s">
        <v>1348</v>
      </c>
      <c r="O361" s="108" t="s">
        <v>523</v>
      </c>
      <c r="P361" s="107">
        <v>24039.71</v>
      </c>
      <c r="Q361" s="107">
        <v>7047.14</v>
      </c>
      <c r="R361" s="241"/>
      <c r="S361" s="242"/>
      <c r="T361" s="107">
        <v>16992.57</v>
      </c>
      <c r="U361" s="93"/>
      <c r="V361" s="128"/>
      <c r="W361" s="172"/>
    </row>
    <row r="362" s="39" customFormat="1" ht="22" customHeight="1" spans="1:23">
      <c r="A362" s="142" t="s">
        <v>1349</v>
      </c>
      <c r="B362" s="174" t="s">
        <v>30</v>
      </c>
      <c r="C362" s="175"/>
      <c r="D362" s="45" t="s">
        <v>31</v>
      </c>
      <c r="E362" s="83" t="s">
        <v>1238</v>
      </c>
      <c r="F362" s="82">
        <f>IFERROR(VLOOKUP(E362,客户!B:C,2,FALSE),"/")</f>
        <v>0</v>
      </c>
      <c r="G362" s="73" t="s">
        <v>1350</v>
      </c>
      <c r="H362" s="45" t="s">
        <v>123</v>
      </c>
      <c r="I362" s="45" t="s">
        <v>1351</v>
      </c>
      <c r="J362" s="110">
        <v>44169</v>
      </c>
      <c r="K362" s="146">
        <v>44228</v>
      </c>
      <c r="L362" s="93">
        <v>44275</v>
      </c>
      <c r="M362" s="165" t="s">
        <v>1352</v>
      </c>
      <c r="N362" s="202" t="s">
        <v>1353</v>
      </c>
      <c r="O362" s="108" t="s">
        <v>523</v>
      </c>
      <c r="P362" s="107">
        <v>25027.16</v>
      </c>
      <c r="Q362" s="107"/>
      <c r="R362" s="241"/>
      <c r="S362" s="242"/>
      <c r="T362" s="107">
        <v>16557.5</v>
      </c>
      <c r="U362" s="107">
        <v>8469.66</v>
      </c>
      <c r="V362" s="128"/>
      <c r="W362" s="172"/>
    </row>
    <row r="363" s="39" customFormat="1" ht="22" customHeight="1" spans="1:23">
      <c r="A363" s="142" t="s">
        <v>1354</v>
      </c>
      <c r="B363" s="174" t="s">
        <v>30</v>
      </c>
      <c r="C363" s="175"/>
      <c r="D363" s="45" t="s">
        <v>31</v>
      </c>
      <c r="E363" s="83" t="s">
        <v>1121</v>
      </c>
      <c r="F363" s="82">
        <f>IFERROR(VLOOKUP(E363,客户!B:C,2,FALSE),"/")</f>
        <v>0</v>
      </c>
      <c r="G363" s="73" t="s">
        <v>1355</v>
      </c>
      <c r="H363" s="45" t="s">
        <v>123</v>
      </c>
      <c r="I363" s="45" t="s">
        <v>215</v>
      </c>
      <c r="J363" s="110">
        <v>44179</v>
      </c>
      <c r="K363" s="146">
        <v>44235</v>
      </c>
      <c r="L363" s="93">
        <v>44259</v>
      </c>
      <c r="M363" s="165" t="s">
        <v>1356</v>
      </c>
      <c r="N363" s="202" t="s">
        <v>1357</v>
      </c>
      <c r="O363" s="108" t="s">
        <v>523</v>
      </c>
      <c r="P363" s="107">
        <v>77665.36</v>
      </c>
      <c r="Q363" s="107">
        <v>15000</v>
      </c>
      <c r="R363" s="241"/>
      <c r="S363" s="242"/>
      <c r="T363" s="107">
        <v>62666</v>
      </c>
      <c r="U363" s="93"/>
      <c r="V363" s="128"/>
      <c r="W363" s="172"/>
    </row>
    <row r="364" s="39" customFormat="1" ht="22" customHeight="1" spans="1:23">
      <c r="A364" s="142" t="s">
        <v>1358</v>
      </c>
      <c r="B364" s="174" t="s">
        <v>30</v>
      </c>
      <c r="C364" s="175"/>
      <c r="D364" s="45" t="s">
        <v>31</v>
      </c>
      <c r="E364" s="83" t="s">
        <v>1190</v>
      </c>
      <c r="F364" s="82">
        <f>IFERROR(VLOOKUP(E364,客户!B:C,2,FALSE),"/")</f>
        <v>0</v>
      </c>
      <c r="G364" s="73" t="s">
        <v>1359</v>
      </c>
      <c r="H364" s="45" t="s">
        <v>123</v>
      </c>
      <c r="I364" s="45" t="s">
        <v>542</v>
      </c>
      <c r="J364" s="110">
        <v>44183</v>
      </c>
      <c r="K364" s="146">
        <v>44324</v>
      </c>
      <c r="L364" s="93">
        <v>44351</v>
      </c>
      <c r="M364" s="165" t="s">
        <v>1360</v>
      </c>
      <c r="N364" s="202" t="s">
        <v>1292</v>
      </c>
      <c r="O364" s="108" t="s">
        <v>680</v>
      </c>
      <c r="P364" s="107">
        <v>46751.37</v>
      </c>
      <c r="Q364" s="107"/>
      <c r="R364" s="241"/>
      <c r="S364" s="242"/>
      <c r="T364" s="107">
        <v>46751.37</v>
      </c>
      <c r="U364" s="93"/>
      <c r="V364" s="128"/>
      <c r="W364" s="172"/>
    </row>
    <row r="365" s="39" customFormat="1" ht="22" customHeight="1" spans="1:23">
      <c r="A365" s="142" t="s">
        <v>1361</v>
      </c>
      <c r="B365" s="174" t="s">
        <v>30</v>
      </c>
      <c r="C365" s="175"/>
      <c r="D365" s="45" t="s">
        <v>31</v>
      </c>
      <c r="E365" s="83" t="s">
        <v>1190</v>
      </c>
      <c r="F365" s="82">
        <f>IFERROR(VLOOKUP(E365,客户!B:C,2,FALSE),"/")</f>
        <v>0</v>
      </c>
      <c r="G365" s="73" t="s">
        <v>1362</v>
      </c>
      <c r="H365" s="45" t="s">
        <v>123</v>
      </c>
      <c r="I365" s="45" t="s">
        <v>542</v>
      </c>
      <c r="J365" s="110">
        <v>44183</v>
      </c>
      <c r="K365" s="146">
        <v>44344</v>
      </c>
      <c r="L365" s="93">
        <v>44379</v>
      </c>
      <c r="M365" s="165" t="s">
        <v>1363</v>
      </c>
      <c r="N365" s="202"/>
      <c r="O365" s="108" t="s">
        <v>680</v>
      </c>
      <c r="P365" s="107">
        <v>23251.63</v>
      </c>
      <c r="Q365" s="107"/>
      <c r="R365" s="241"/>
      <c r="S365" s="242"/>
      <c r="T365" s="107">
        <v>23251.63</v>
      </c>
      <c r="U365" s="93"/>
      <c r="V365" s="128"/>
      <c r="W365" s="172"/>
    </row>
    <row r="366" s="39" customFormat="1" ht="22" customHeight="1" spans="1:23">
      <c r="A366" s="142" t="s">
        <v>1364</v>
      </c>
      <c r="B366" s="174" t="s">
        <v>30</v>
      </c>
      <c r="C366" s="175"/>
      <c r="D366" s="45" t="s">
        <v>31</v>
      </c>
      <c r="E366" s="83" t="s">
        <v>1265</v>
      </c>
      <c r="F366" s="82" t="str">
        <f>IFERROR(VLOOKUP(E366,客户!B:C,2,FALSE),"/")</f>
        <v>外送费用945人民币+装箱费用 加在发票里</v>
      </c>
      <c r="G366" s="73" t="s">
        <v>1365</v>
      </c>
      <c r="H366" s="45" t="s">
        <v>147</v>
      </c>
      <c r="I366" s="45" t="s">
        <v>997</v>
      </c>
      <c r="J366" s="110">
        <v>44196</v>
      </c>
      <c r="K366" s="146">
        <v>44300</v>
      </c>
      <c r="L366" s="93">
        <v>44350</v>
      </c>
      <c r="M366" s="165" t="s">
        <v>1366</v>
      </c>
      <c r="N366" s="202" t="s">
        <v>1367</v>
      </c>
      <c r="O366" s="108" t="s">
        <v>680</v>
      </c>
      <c r="P366" s="107">
        <v>101525</v>
      </c>
      <c r="Q366" s="107"/>
      <c r="R366" s="241"/>
      <c r="S366" s="242"/>
      <c r="T366" s="107">
        <v>101525</v>
      </c>
      <c r="U366" s="93"/>
      <c r="V366" s="128"/>
      <c r="W366" s="172"/>
    </row>
    <row r="367" s="39" customFormat="1" ht="22" customHeight="1" spans="1:23">
      <c r="A367" s="142" t="s">
        <v>1368</v>
      </c>
      <c r="B367" s="174" t="s">
        <v>30</v>
      </c>
      <c r="C367" s="175"/>
      <c r="D367" s="45" t="s">
        <v>31</v>
      </c>
      <c r="E367" s="83" t="s">
        <v>1167</v>
      </c>
      <c r="F367" s="82">
        <f>IFERROR(VLOOKUP(E367,客户!B:C,2,FALSE),"/")</f>
        <v>0</v>
      </c>
      <c r="G367" s="73" t="s">
        <v>1369</v>
      </c>
      <c r="H367" s="45" t="s">
        <v>123</v>
      </c>
      <c r="I367" s="45" t="s">
        <v>1370</v>
      </c>
      <c r="J367" s="110">
        <v>44201</v>
      </c>
      <c r="K367" s="146">
        <v>44247</v>
      </c>
      <c r="L367" s="93">
        <v>44277</v>
      </c>
      <c r="M367" s="165" t="s">
        <v>1371</v>
      </c>
      <c r="N367" s="202" t="s">
        <v>1372</v>
      </c>
      <c r="O367" s="108" t="s">
        <v>523</v>
      </c>
      <c r="P367" s="107">
        <v>37191.49</v>
      </c>
      <c r="Q367" s="107">
        <v>11200</v>
      </c>
      <c r="R367" s="241"/>
      <c r="S367" s="242"/>
      <c r="T367" s="107">
        <f>7623+18368.49</f>
        <v>25991.49</v>
      </c>
      <c r="U367" s="93"/>
      <c r="V367" s="128"/>
      <c r="W367" s="172"/>
    </row>
    <row r="368" s="39" customFormat="1" ht="22" customHeight="1" spans="1:23">
      <c r="A368" s="142" t="s">
        <v>1373</v>
      </c>
      <c r="B368" s="174" t="s">
        <v>30</v>
      </c>
      <c r="C368" s="175"/>
      <c r="D368" s="45" t="s">
        <v>31</v>
      </c>
      <c r="E368" s="83" t="s">
        <v>1117</v>
      </c>
      <c r="F368" s="82">
        <f>IFERROR(VLOOKUP(E368,客户!B:C,2,FALSE),"/")</f>
        <v>0</v>
      </c>
      <c r="G368" s="73" t="s">
        <v>1374</v>
      </c>
      <c r="H368" s="229" t="s">
        <v>970</v>
      </c>
      <c r="I368" s="45"/>
      <c r="J368" s="110">
        <v>44201</v>
      </c>
      <c r="K368" s="146">
        <v>44216</v>
      </c>
      <c r="L368" s="93"/>
      <c r="M368" s="165" t="s">
        <v>1375</v>
      </c>
      <c r="N368" s="202"/>
      <c r="O368" s="108" t="s">
        <v>970</v>
      </c>
      <c r="P368" s="240">
        <v>60740</v>
      </c>
      <c r="Q368" s="240">
        <v>20000</v>
      </c>
      <c r="R368" s="241"/>
      <c r="S368" s="242"/>
      <c r="T368" s="240">
        <v>40740</v>
      </c>
      <c r="U368" s="93"/>
      <c r="V368" s="128"/>
      <c r="W368" s="172"/>
    </row>
    <row r="369" s="39" customFormat="1" ht="22" customHeight="1" spans="1:23">
      <c r="A369" s="142" t="s">
        <v>1376</v>
      </c>
      <c r="B369" s="174" t="s">
        <v>30</v>
      </c>
      <c r="C369" s="175"/>
      <c r="D369" s="45" t="s">
        <v>31</v>
      </c>
      <c r="E369" s="83" t="s">
        <v>1377</v>
      </c>
      <c r="F369" s="82"/>
      <c r="G369" s="73" t="s">
        <v>1378</v>
      </c>
      <c r="H369" s="45" t="s">
        <v>123</v>
      </c>
      <c r="I369" s="45" t="s">
        <v>1095</v>
      </c>
      <c r="J369" s="110">
        <v>44203</v>
      </c>
      <c r="K369" s="146">
        <v>44324</v>
      </c>
      <c r="L369" s="93">
        <v>44363</v>
      </c>
      <c r="M369" s="165" t="s">
        <v>1379</v>
      </c>
      <c r="N369" s="202" t="s">
        <v>1380</v>
      </c>
      <c r="O369" s="108" t="s">
        <v>523</v>
      </c>
      <c r="P369" s="107">
        <v>25048.15</v>
      </c>
      <c r="Q369" s="107">
        <v>4000</v>
      </c>
      <c r="R369" s="241"/>
      <c r="S369" s="242"/>
      <c r="T369" s="107">
        <v>21048.15</v>
      </c>
      <c r="U369" s="93"/>
      <c r="V369" s="128"/>
      <c r="W369" s="172"/>
    </row>
    <row r="370" s="39" customFormat="1" ht="22" customHeight="1" spans="1:23">
      <c r="A370" s="142" t="s">
        <v>1381</v>
      </c>
      <c r="B370" s="174" t="s">
        <v>30</v>
      </c>
      <c r="C370" s="175"/>
      <c r="D370" s="45" t="s">
        <v>31</v>
      </c>
      <c r="E370" s="83" t="s">
        <v>1113</v>
      </c>
      <c r="F370" s="82" t="str">
        <f>IFERROR(VLOOKUP(E370,客户!B:C,2,FALSE),"/")</f>
        <v>收货人可能变 每次和客户确认下收货人 必须受到客户明确回复</v>
      </c>
      <c r="G370" s="73" t="s">
        <v>1382</v>
      </c>
      <c r="H370" s="45" t="s">
        <v>123</v>
      </c>
      <c r="I370" s="45" t="s">
        <v>980</v>
      </c>
      <c r="J370" s="110">
        <v>44208</v>
      </c>
      <c r="K370" s="146">
        <v>44343</v>
      </c>
      <c r="L370" s="93">
        <v>44394</v>
      </c>
      <c r="M370" s="165" t="s">
        <v>1383</v>
      </c>
      <c r="N370" s="110" t="s">
        <v>1384</v>
      </c>
      <c r="O370" s="108" t="s">
        <v>523</v>
      </c>
      <c r="P370" s="107">
        <v>56661.25</v>
      </c>
      <c r="Q370" s="107">
        <v>10000</v>
      </c>
      <c r="R370" s="241"/>
      <c r="S370" s="242"/>
      <c r="T370" s="107">
        <v>18000</v>
      </c>
      <c r="U370" s="107">
        <f>185438/6.47</f>
        <v>28661.2055641422</v>
      </c>
      <c r="V370" s="128"/>
      <c r="W370" s="172"/>
    </row>
    <row r="371" s="39" customFormat="1" ht="22" customHeight="1" spans="1:23">
      <c r="A371" s="142" t="s">
        <v>1385</v>
      </c>
      <c r="B371" s="174" t="s">
        <v>30</v>
      </c>
      <c r="C371" s="175"/>
      <c r="D371" s="45" t="s">
        <v>31</v>
      </c>
      <c r="E371" s="83" t="s">
        <v>1257</v>
      </c>
      <c r="F371" s="82">
        <f>IFERROR(VLOOKUP(E371,客户!B:C,2,FALSE),"/")</f>
        <v>0</v>
      </c>
      <c r="G371" s="73" t="s">
        <v>1202</v>
      </c>
      <c r="H371" s="45" t="s">
        <v>123</v>
      </c>
      <c r="I371" s="45" t="s">
        <v>1149</v>
      </c>
      <c r="J371" s="110">
        <v>44218</v>
      </c>
      <c r="K371" s="146">
        <v>44290</v>
      </c>
      <c r="L371" s="93">
        <v>44311</v>
      </c>
      <c r="M371" s="165" t="s">
        <v>1386</v>
      </c>
      <c r="N371" s="202" t="s">
        <v>1387</v>
      </c>
      <c r="O371" s="108" t="s">
        <v>523</v>
      </c>
      <c r="P371" s="107">
        <v>27186.72</v>
      </c>
      <c r="Q371" s="107">
        <v>5025.17</v>
      </c>
      <c r="R371" s="241"/>
      <c r="S371" s="242"/>
      <c r="T371" s="107">
        <v>22161.55</v>
      </c>
      <c r="U371" s="93"/>
      <c r="V371" s="128"/>
      <c r="W371" s="172"/>
    </row>
    <row r="372" s="39" customFormat="1" ht="22" customHeight="1" spans="1:23">
      <c r="A372" s="142" t="s">
        <v>1388</v>
      </c>
      <c r="B372" s="174" t="s">
        <v>30</v>
      </c>
      <c r="C372" s="175"/>
      <c r="D372" s="45" t="s">
        <v>31</v>
      </c>
      <c r="E372" s="83" t="s">
        <v>1389</v>
      </c>
      <c r="F372" s="82">
        <f>IFERROR(VLOOKUP(E372,客户!B:C,2,FALSE),"/")</f>
        <v>0</v>
      </c>
      <c r="G372" s="73" t="s">
        <v>1390</v>
      </c>
      <c r="H372" s="45" t="s">
        <v>127</v>
      </c>
      <c r="I372" s="45" t="s">
        <v>1391</v>
      </c>
      <c r="J372" s="110">
        <v>44226</v>
      </c>
      <c r="K372" s="146">
        <v>44315</v>
      </c>
      <c r="L372" s="93">
        <v>44327</v>
      </c>
      <c r="M372" s="165" t="s">
        <v>1392</v>
      </c>
      <c r="N372" s="202" t="s">
        <v>1393</v>
      </c>
      <c r="O372" s="108" t="s">
        <v>523</v>
      </c>
      <c r="P372" s="107">
        <v>18261.02</v>
      </c>
      <c r="Q372" s="107">
        <v>5476</v>
      </c>
      <c r="R372" s="241"/>
      <c r="S372" s="242"/>
      <c r="T372" s="107">
        <v>9814.15</v>
      </c>
      <c r="U372" s="107">
        <v>2963.18</v>
      </c>
      <c r="V372" s="128"/>
      <c r="W372" s="172"/>
    </row>
    <row r="373" s="39" customFormat="1" ht="22" customHeight="1" spans="1:23">
      <c r="A373" s="142" t="s">
        <v>1394</v>
      </c>
      <c r="B373" s="174" t="s">
        <v>30</v>
      </c>
      <c r="C373" s="175"/>
      <c r="D373" s="229" t="s">
        <v>31</v>
      </c>
      <c r="E373" s="83" t="s">
        <v>1265</v>
      </c>
      <c r="F373" s="82" t="str">
        <f>IFERROR(VLOOKUP(E373,客户!B:C,2,FALSE),"/")</f>
        <v>外送费用945人民币+装箱费用 加在发票里</v>
      </c>
      <c r="G373" s="73" t="s">
        <v>1395</v>
      </c>
      <c r="H373" s="45" t="s">
        <v>147</v>
      </c>
      <c r="I373" s="45" t="s">
        <v>997</v>
      </c>
      <c r="J373" s="110">
        <v>44231</v>
      </c>
      <c r="K373" s="146">
        <v>44336</v>
      </c>
      <c r="L373" s="93">
        <v>44370</v>
      </c>
      <c r="M373" s="165" t="s">
        <v>1396</v>
      </c>
      <c r="N373" s="202" t="s">
        <v>1397</v>
      </c>
      <c r="O373" s="108" t="s">
        <v>680</v>
      </c>
      <c r="P373" s="107">
        <v>104894.17</v>
      </c>
      <c r="Q373" s="107"/>
      <c r="R373" s="241"/>
      <c r="S373" s="242"/>
      <c r="T373" s="107">
        <v>104894.17</v>
      </c>
      <c r="U373" s="93"/>
      <c r="V373" s="128"/>
      <c r="W373" s="172"/>
    </row>
    <row r="374" s="39" customFormat="1" ht="22" customHeight="1" spans="1:23">
      <c r="A374" s="142" t="s">
        <v>1398</v>
      </c>
      <c r="B374" s="174" t="s">
        <v>30</v>
      </c>
      <c r="C374" s="175"/>
      <c r="D374" s="229" t="s">
        <v>31</v>
      </c>
      <c r="E374" s="83" t="s">
        <v>1265</v>
      </c>
      <c r="F374" s="82" t="str">
        <f>IFERROR(VLOOKUP(E374,客户!B:C,2,FALSE),"/")</f>
        <v>外送费用945人民币+装箱费用 加在发票里</v>
      </c>
      <c r="G374" s="73" t="s">
        <v>1399</v>
      </c>
      <c r="H374" s="45" t="s">
        <v>147</v>
      </c>
      <c r="I374" s="45" t="s">
        <v>997</v>
      </c>
      <c r="J374" s="110">
        <v>44231</v>
      </c>
      <c r="K374" s="146">
        <v>44487</v>
      </c>
      <c r="L374" s="93">
        <v>44521</v>
      </c>
      <c r="M374" s="165" t="s">
        <v>1400</v>
      </c>
      <c r="N374" s="110"/>
      <c r="O374" s="108" t="s">
        <v>680</v>
      </c>
      <c r="P374" s="135"/>
      <c r="Q374" s="107"/>
      <c r="R374" s="241"/>
      <c r="S374" s="242"/>
      <c r="T374" s="240"/>
      <c r="U374" s="93"/>
      <c r="V374" s="128"/>
      <c r="W374" s="172"/>
    </row>
    <row r="375" s="39" customFormat="1" ht="22" customHeight="1" spans="1:23">
      <c r="A375" s="142" t="s">
        <v>1401</v>
      </c>
      <c r="B375" s="174" t="s">
        <v>30</v>
      </c>
      <c r="C375" s="175"/>
      <c r="D375" s="229" t="s">
        <v>31</v>
      </c>
      <c r="E375" s="83" t="s">
        <v>1265</v>
      </c>
      <c r="F375" s="82" t="str">
        <f>IFERROR(VLOOKUP(E375,客户!B:C,2,FALSE),"/")</f>
        <v>外送费用945人民币+装箱费用 加在发票里</v>
      </c>
      <c r="G375" s="73" t="s">
        <v>1399</v>
      </c>
      <c r="H375" s="45" t="s">
        <v>147</v>
      </c>
      <c r="I375" s="45" t="s">
        <v>997</v>
      </c>
      <c r="J375" s="110">
        <v>44231</v>
      </c>
      <c r="K375" s="146">
        <v>44358</v>
      </c>
      <c r="L375" s="93">
        <v>44403</v>
      </c>
      <c r="M375" s="165" t="s">
        <v>1402</v>
      </c>
      <c r="N375" s="202" t="s">
        <v>1403</v>
      </c>
      <c r="O375" s="108" t="s">
        <v>680</v>
      </c>
      <c r="P375" s="107">
        <v>54178.1</v>
      </c>
      <c r="Q375" s="107">
        <f>9574*2</f>
        <v>19148</v>
      </c>
      <c r="R375" s="241"/>
      <c r="S375" s="242"/>
      <c r="T375" s="107">
        <v>35030.1</v>
      </c>
      <c r="U375" s="93"/>
      <c r="V375" s="128"/>
      <c r="W375" s="172"/>
    </row>
    <row r="376" s="39" customFormat="1" ht="22" customHeight="1" spans="1:23">
      <c r="A376" s="142" t="s">
        <v>1404</v>
      </c>
      <c r="B376" s="174" t="s">
        <v>30</v>
      </c>
      <c r="C376" s="175"/>
      <c r="D376" s="229" t="s">
        <v>31</v>
      </c>
      <c r="E376" s="83" t="s">
        <v>1265</v>
      </c>
      <c r="F376" s="82" t="str">
        <f>IFERROR(VLOOKUP(E376,客户!B:C,2,FALSE),"/")</f>
        <v>外送费用945人民币+装箱费用 加在发票里</v>
      </c>
      <c r="G376" s="73" t="s">
        <v>1399</v>
      </c>
      <c r="H376" s="45" t="s">
        <v>147</v>
      </c>
      <c r="I376" s="45" t="s">
        <v>542</v>
      </c>
      <c r="J376" s="110">
        <v>44231</v>
      </c>
      <c r="K376" s="146">
        <v>44347</v>
      </c>
      <c r="L376" s="93">
        <v>44387</v>
      </c>
      <c r="M376" s="165" t="s">
        <v>1405</v>
      </c>
      <c r="N376" s="202" t="s">
        <v>1406</v>
      </c>
      <c r="O376" s="108" t="s">
        <v>680</v>
      </c>
      <c r="P376" s="107">
        <v>53757.46</v>
      </c>
      <c r="Q376" s="107"/>
      <c r="R376" s="241"/>
      <c r="S376" s="242"/>
      <c r="T376" s="107">
        <v>53757.46</v>
      </c>
      <c r="U376" s="93"/>
      <c r="V376" s="128"/>
      <c r="W376" s="172"/>
    </row>
    <row r="377" s="39" customFormat="1" ht="22" customHeight="1" spans="1:23">
      <c r="A377" s="142" t="s">
        <v>1407</v>
      </c>
      <c r="B377" s="174" t="s">
        <v>30</v>
      </c>
      <c r="C377" s="175"/>
      <c r="D377" s="45" t="s">
        <v>31</v>
      </c>
      <c r="E377" s="83" t="s">
        <v>1326</v>
      </c>
      <c r="F377" s="82">
        <f>IFERROR(VLOOKUP(E377,客户!B:C,2,FALSE),"/")</f>
        <v>0</v>
      </c>
      <c r="G377" s="73" t="s">
        <v>985</v>
      </c>
      <c r="H377" s="45" t="s">
        <v>123</v>
      </c>
      <c r="I377" s="45" t="s">
        <v>909</v>
      </c>
      <c r="J377" s="110">
        <v>44232</v>
      </c>
      <c r="K377" s="146">
        <v>44299</v>
      </c>
      <c r="L377" s="93">
        <v>44367</v>
      </c>
      <c r="M377" s="165" t="s">
        <v>1408</v>
      </c>
      <c r="N377" s="202" t="s">
        <v>1409</v>
      </c>
      <c r="O377" s="108" t="s">
        <v>523</v>
      </c>
      <c r="P377" s="107">
        <v>23780</v>
      </c>
      <c r="Q377" s="107">
        <v>4756</v>
      </c>
      <c r="R377" s="241"/>
      <c r="S377" s="242"/>
      <c r="T377" s="107">
        <v>19024</v>
      </c>
      <c r="U377" s="93"/>
      <c r="V377" s="128"/>
      <c r="W377" s="172"/>
    </row>
    <row r="378" s="39" customFormat="1" ht="22" customHeight="1" spans="1:23">
      <c r="A378" s="142" t="s">
        <v>1410</v>
      </c>
      <c r="B378" s="174" t="s">
        <v>30</v>
      </c>
      <c r="C378" s="175"/>
      <c r="D378" s="45" t="s">
        <v>31</v>
      </c>
      <c r="E378" s="83" t="s">
        <v>1117</v>
      </c>
      <c r="F378" s="82">
        <f>IFERROR(VLOOKUP(E378,客户!B:C,2,FALSE),"/")</f>
        <v>0</v>
      </c>
      <c r="G378" s="73" t="s">
        <v>985</v>
      </c>
      <c r="H378" s="45" t="s">
        <v>123</v>
      </c>
      <c r="I378" s="45" t="s">
        <v>1411</v>
      </c>
      <c r="J378" s="110">
        <v>44236</v>
      </c>
      <c r="K378" s="146">
        <v>44325</v>
      </c>
      <c r="L378" s="93"/>
      <c r="M378" s="165" t="s">
        <v>1412</v>
      </c>
      <c r="N378" s="202" t="s">
        <v>1413</v>
      </c>
      <c r="O378" s="108" t="s">
        <v>970</v>
      </c>
      <c r="P378" s="107">
        <v>24385.81</v>
      </c>
      <c r="Q378" s="107"/>
      <c r="R378" s="241"/>
      <c r="S378" s="242"/>
      <c r="T378" s="107">
        <v>24385.81</v>
      </c>
      <c r="U378" s="93"/>
      <c r="V378" s="128"/>
      <c r="W378" s="172"/>
    </row>
    <row r="379" s="39" customFormat="1" ht="22" customHeight="1" spans="1:23">
      <c r="A379" s="142" t="s">
        <v>1414</v>
      </c>
      <c r="B379" s="174" t="s">
        <v>30</v>
      </c>
      <c r="C379" s="175"/>
      <c r="D379" s="45" t="s">
        <v>31</v>
      </c>
      <c r="E379" s="83" t="s">
        <v>1415</v>
      </c>
      <c r="F379" s="82">
        <f>IFERROR(VLOOKUP(E379,客户!B:C,2,FALSE),"/")</f>
        <v>0</v>
      </c>
      <c r="G379" s="73" t="s">
        <v>985</v>
      </c>
      <c r="H379" s="45" t="s">
        <v>123</v>
      </c>
      <c r="I379" s="45" t="s">
        <v>1203</v>
      </c>
      <c r="J379" s="110">
        <v>44257</v>
      </c>
      <c r="K379" s="116">
        <v>44299</v>
      </c>
      <c r="L379" s="93">
        <v>44335</v>
      </c>
      <c r="M379" s="165" t="s">
        <v>1416</v>
      </c>
      <c r="N379" s="202" t="s">
        <v>1417</v>
      </c>
      <c r="O379" s="108" t="s">
        <v>523</v>
      </c>
      <c r="P379" s="107">
        <v>28173.95</v>
      </c>
      <c r="Q379" s="107">
        <v>8000</v>
      </c>
      <c r="R379" s="241"/>
      <c r="S379" s="242"/>
      <c r="T379" s="107">
        <v>20173.95</v>
      </c>
      <c r="U379" s="93"/>
      <c r="V379" s="128"/>
      <c r="W379" s="172"/>
    </row>
    <row r="380" s="39" customFormat="1" ht="22" customHeight="1" spans="1:23">
      <c r="A380" s="142" t="s">
        <v>1418</v>
      </c>
      <c r="B380" s="174" t="s">
        <v>30</v>
      </c>
      <c r="C380" s="175"/>
      <c r="D380" s="45" t="s">
        <v>31</v>
      </c>
      <c r="E380" s="83" t="s">
        <v>1121</v>
      </c>
      <c r="F380" s="82">
        <f>IFERROR(VLOOKUP(E380,客户!B:C,2,FALSE),"/")</f>
        <v>0</v>
      </c>
      <c r="G380" s="73" t="s">
        <v>1419</v>
      </c>
      <c r="H380" s="45" t="s">
        <v>123</v>
      </c>
      <c r="I380" s="45" t="s">
        <v>215</v>
      </c>
      <c r="J380" s="110">
        <v>44257</v>
      </c>
      <c r="K380" s="146">
        <v>44295</v>
      </c>
      <c r="L380" s="93">
        <v>44312</v>
      </c>
      <c r="M380" s="165" t="s">
        <v>1420</v>
      </c>
      <c r="N380" s="202" t="s">
        <v>1421</v>
      </c>
      <c r="O380" s="108" t="s">
        <v>523</v>
      </c>
      <c r="P380" s="107">
        <v>48899.94</v>
      </c>
      <c r="Q380" s="107"/>
      <c r="R380" s="241"/>
      <c r="S380" s="242"/>
      <c r="T380" s="107">
        <v>48899.94</v>
      </c>
      <c r="U380" s="93"/>
      <c r="V380" s="128"/>
      <c r="W380" s="172"/>
    </row>
    <row r="381" s="39" customFormat="1" ht="22" customHeight="1" spans="1:23">
      <c r="A381" s="142" t="s">
        <v>1422</v>
      </c>
      <c r="B381" s="174" t="s">
        <v>30</v>
      </c>
      <c r="C381" s="175"/>
      <c r="D381" s="45" t="s">
        <v>31</v>
      </c>
      <c r="E381" s="83" t="s">
        <v>1121</v>
      </c>
      <c r="F381" s="82">
        <f>IFERROR(VLOOKUP(E381,客户!B:C,2,FALSE),"/")</f>
        <v>0</v>
      </c>
      <c r="G381" s="73" t="s">
        <v>1186</v>
      </c>
      <c r="H381" s="45" t="s">
        <v>123</v>
      </c>
      <c r="I381" s="45" t="s">
        <v>215</v>
      </c>
      <c r="J381" s="110">
        <v>44257</v>
      </c>
      <c r="K381" s="116">
        <v>44310</v>
      </c>
      <c r="L381" s="93">
        <v>44326</v>
      </c>
      <c r="M381" s="165" t="s">
        <v>1423</v>
      </c>
      <c r="N381" s="202" t="s">
        <v>1424</v>
      </c>
      <c r="O381" s="108" t="s">
        <v>523</v>
      </c>
      <c r="P381" s="107">
        <v>82954.3</v>
      </c>
      <c r="Q381" s="107">
        <v>15000</v>
      </c>
      <c r="R381" s="241"/>
      <c r="S381" s="242"/>
      <c r="T381" s="107">
        <v>67955</v>
      </c>
      <c r="U381" s="93"/>
      <c r="V381" s="128"/>
      <c r="W381" s="172"/>
    </row>
    <row r="382" s="39" customFormat="1" ht="22" customHeight="1" spans="1:23">
      <c r="A382" s="142" t="s">
        <v>1425</v>
      </c>
      <c r="B382" s="174" t="s">
        <v>30</v>
      </c>
      <c r="C382" s="175"/>
      <c r="D382" s="45" t="s">
        <v>31</v>
      </c>
      <c r="E382" s="83" t="s">
        <v>1167</v>
      </c>
      <c r="F382" s="82">
        <f>IFERROR(VLOOKUP(E382,客户!B:C,2,FALSE),"/")</f>
        <v>0</v>
      </c>
      <c r="G382" s="73" t="s">
        <v>1369</v>
      </c>
      <c r="H382" s="45" t="s">
        <v>123</v>
      </c>
      <c r="I382" s="45" t="s">
        <v>1370</v>
      </c>
      <c r="J382" s="110">
        <v>44258</v>
      </c>
      <c r="K382" s="116">
        <v>44288</v>
      </c>
      <c r="L382" s="93">
        <v>44308</v>
      </c>
      <c r="M382" s="165" t="s">
        <v>1426</v>
      </c>
      <c r="N382" s="202" t="s">
        <v>1427</v>
      </c>
      <c r="O382" s="108" t="s">
        <v>523</v>
      </c>
      <c r="P382" s="107">
        <v>34548.34</v>
      </c>
      <c r="Q382" s="107">
        <v>10208.98</v>
      </c>
      <c r="R382" s="241"/>
      <c r="S382" s="242"/>
      <c r="T382" s="107">
        <v>24339.36</v>
      </c>
      <c r="U382" s="93"/>
      <c r="V382" s="128"/>
      <c r="W382" s="172"/>
    </row>
    <row r="383" s="39" customFormat="1" ht="22" customHeight="1" spans="1:23">
      <c r="A383" s="142" t="s">
        <v>1428</v>
      </c>
      <c r="B383" s="174" t="s">
        <v>30</v>
      </c>
      <c r="C383" s="175"/>
      <c r="D383" s="45" t="s">
        <v>31</v>
      </c>
      <c r="E383" s="83" t="s">
        <v>1429</v>
      </c>
      <c r="F383" s="82">
        <f>IFERROR(VLOOKUP(E383,客户!B:C,2,FALSE),"/")</f>
        <v>0</v>
      </c>
      <c r="G383" s="73" t="s">
        <v>1430</v>
      </c>
      <c r="H383" s="45" t="s">
        <v>127</v>
      </c>
      <c r="I383" s="45" t="s">
        <v>1431</v>
      </c>
      <c r="J383" s="110">
        <v>44260</v>
      </c>
      <c r="K383" s="146">
        <v>44324</v>
      </c>
      <c r="L383" s="196">
        <v>44419</v>
      </c>
      <c r="M383" s="165" t="s">
        <v>1432</v>
      </c>
      <c r="N383" s="202" t="s">
        <v>1433</v>
      </c>
      <c r="O383" s="108" t="s">
        <v>680</v>
      </c>
      <c r="P383" s="107">
        <v>98963.74</v>
      </c>
      <c r="Q383" s="107"/>
      <c r="R383" s="241"/>
      <c r="S383" s="242"/>
      <c r="T383" s="107">
        <v>98963.74</v>
      </c>
      <c r="U383" s="93"/>
      <c r="V383" s="128"/>
      <c r="W383" s="172"/>
    </row>
    <row r="384" s="39" customFormat="1" ht="22" customHeight="1" spans="1:23">
      <c r="A384" s="142" t="s">
        <v>1434</v>
      </c>
      <c r="B384" s="174" t="s">
        <v>30</v>
      </c>
      <c r="C384" s="175"/>
      <c r="D384" s="45" t="s">
        <v>31</v>
      </c>
      <c r="E384" s="83" t="s">
        <v>1274</v>
      </c>
      <c r="F384" s="82">
        <f>IFERROR(VLOOKUP(E384,客户!B:C,2,FALSE),"/")</f>
        <v>0</v>
      </c>
      <c r="G384" s="73" t="s">
        <v>985</v>
      </c>
      <c r="H384" s="45" t="s">
        <v>123</v>
      </c>
      <c r="I384" s="45" t="s">
        <v>925</v>
      </c>
      <c r="J384" s="110">
        <v>44260</v>
      </c>
      <c r="K384" s="146">
        <v>44318</v>
      </c>
      <c r="L384" s="93">
        <v>44375</v>
      </c>
      <c r="M384" s="165" t="s">
        <v>1435</v>
      </c>
      <c r="N384" s="202" t="s">
        <v>1436</v>
      </c>
      <c r="O384" s="108" t="s">
        <v>523</v>
      </c>
      <c r="P384" s="107">
        <v>22183.65</v>
      </c>
      <c r="Q384" s="107">
        <v>6650</v>
      </c>
      <c r="R384" s="241"/>
      <c r="S384" s="242"/>
      <c r="T384" s="107">
        <v>15533.65</v>
      </c>
      <c r="U384" s="93"/>
      <c r="V384" s="128"/>
      <c r="W384" s="172"/>
    </row>
    <row r="385" s="39" customFormat="1" ht="22" customHeight="1" spans="1:23">
      <c r="A385" s="142" t="s">
        <v>1437</v>
      </c>
      <c r="B385" s="174" t="s">
        <v>30</v>
      </c>
      <c r="C385" s="175"/>
      <c r="D385" s="45" t="s">
        <v>31</v>
      </c>
      <c r="E385" s="83" t="s">
        <v>1238</v>
      </c>
      <c r="F385" s="82">
        <f>IFERROR(VLOOKUP(E385,客户!B:C,2,FALSE),"/")</f>
        <v>0</v>
      </c>
      <c r="G385" s="73" t="s">
        <v>985</v>
      </c>
      <c r="H385" s="45" t="s">
        <v>123</v>
      </c>
      <c r="I385" s="45" t="s">
        <v>760</v>
      </c>
      <c r="J385" s="110">
        <v>44261</v>
      </c>
      <c r="K385" s="116">
        <v>44289</v>
      </c>
      <c r="L385" s="93">
        <v>44322</v>
      </c>
      <c r="M385" s="165" t="s">
        <v>1438</v>
      </c>
      <c r="N385" s="202" t="s">
        <v>1439</v>
      </c>
      <c r="O385" s="108" t="s">
        <v>523</v>
      </c>
      <c r="P385" s="107">
        <v>27263.5</v>
      </c>
      <c r="Q385" s="107"/>
      <c r="R385" s="241"/>
      <c r="S385" s="242"/>
      <c r="T385" s="107">
        <v>14992.91</v>
      </c>
      <c r="U385" s="107">
        <v>12270.59</v>
      </c>
      <c r="V385" s="128"/>
      <c r="W385" s="172"/>
    </row>
    <row r="386" s="39" customFormat="1" ht="22" customHeight="1" spans="1:23">
      <c r="A386" s="142" t="s">
        <v>1440</v>
      </c>
      <c r="B386" s="174" t="s">
        <v>30</v>
      </c>
      <c r="C386" s="175"/>
      <c r="D386" s="229" t="s">
        <v>3</v>
      </c>
      <c r="E386" s="83" t="s">
        <v>1441</v>
      </c>
      <c r="F386" s="82">
        <f>IFERROR(VLOOKUP(E386,客户!B:C,2,FALSE),"/")</f>
        <v>0</v>
      </c>
      <c r="G386" s="73" t="s">
        <v>1442</v>
      </c>
      <c r="H386" s="45" t="s">
        <v>127</v>
      </c>
      <c r="I386" s="45" t="s">
        <v>1431</v>
      </c>
      <c r="J386" s="110">
        <v>44265</v>
      </c>
      <c r="K386" s="179"/>
      <c r="L386" s="93"/>
      <c r="M386" s="165" t="s">
        <v>1443</v>
      </c>
      <c r="N386" s="110"/>
      <c r="O386" s="108" t="s">
        <v>680</v>
      </c>
      <c r="P386" s="135">
        <v>129123.29</v>
      </c>
      <c r="Q386" s="107"/>
      <c r="R386" s="241"/>
      <c r="S386" s="242"/>
      <c r="T386" s="107"/>
      <c r="U386" s="93"/>
      <c r="V386" s="128"/>
      <c r="W386" s="172"/>
    </row>
    <row r="387" s="39" customFormat="1" ht="22" customHeight="1" spans="1:23">
      <c r="A387" s="190" t="s">
        <v>1444</v>
      </c>
      <c r="B387" s="174" t="s">
        <v>30</v>
      </c>
      <c r="C387" s="175"/>
      <c r="D387" s="229" t="s">
        <v>31</v>
      </c>
      <c r="E387" s="83" t="s">
        <v>1257</v>
      </c>
      <c r="F387" s="82">
        <f>IFERROR(VLOOKUP(E387,客户!B:C,2,FALSE),"/")</f>
        <v>0</v>
      </c>
      <c r="G387" s="73" t="s">
        <v>43</v>
      </c>
      <c r="H387" s="45" t="s">
        <v>123</v>
      </c>
      <c r="I387" s="45" t="s">
        <v>751</v>
      </c>
      <c r="J387" s="110">
        <v>44274</v>
      </c>
      <c r="K387" s="146">
        <v>44436</v>
      </c>
      <c r="L387" s="93">
        <v>44474</v>
      </c>
      <c r="M387" s="165" t="s">
        <v>1445</v>
      </c>
      <c r="N387" s="202" t="s">
        <v>1446</v>
      </c>
      <c r="O387" s="108" t="s">
        <v>523</v>
      </c>
      <c r="P387" s="107">
        <v>32318.43</v>
      </c>
      <c r="Q387" s="107">
        <v>5638.56</v>
      </c>
      <c r="R387" s="241"/>
      <c r="S387" s="242"/>
      <c r="T387" s="107">
        <v>26679.87</v>
      </c>
      <c r="U387" s="93"/>
      <c r="V387" s="128"/>
      <c r="W387" s="172"/>
    </row>
    <row r="388" s="39" customFormat="1" ht="22" customHeight="1" spans="1:23">
      <c r="A388" s="142" t="s">
        <v>1447</v>
      </c>
      <c r="B388" s="174" t="s">
        <v>30</v>
      </c>
      <c r="C388" s="175"/>
      <c r="D388" s="45" t="s">
        <v>31</v>
      </c>
      <c r="E388" s="83" t="s">
        <v>1345</v>
      </c>
      <c r="F388" s="82" t="str">
        <f>IFERROR(VLOOKUP(E388,客户!B:C,2,FALSE),"/")</f>
        <v>J4159还差USD265.65没付齐 J4220还有定金5674.3 账上剩5408.65</v>
      </c>
      <c r="G388" s="73" t="s">
        <v>1198</v>
      </c>
      <c r="H388" s="45" t="s">
        <v>123</v>
      </c>
      <c r="I388" s="45" t="s">
        <v>1346</v>
      </c>
      <c r="J388" s="110">
        <v>44274</v>
      </c>
      <c r="K388" s="146">
        <v>44302</v>
      </c>
      <c r="L388" s="93">
        <v>44338</v>
      </c>
      <c r="M388" s="165" t="s">
        <v>1448</v>
      </c>
      <c r="N388" s="202" t="s">
        <v>1449</v>
      </c>
      <c r="O388" s="108" t="s">
        <v>523</v>
      </c>
      <c r="P388" s="107">
        <v>26397.73</v>
      </c>
      <c r="Q388" s="107">
        <v>7832.82</v>
      </c>
      <c r="R388" s="241"/>
      <c r="S388" s="242"/>
      <c r="T388" s="107">
        <v>18564.91</v>
      </c>
      <c r="U388" s="93"/>
      <c r="V388" s="128"/>
      <c r="W388" s="172"/>
    </row>
    <row r="389" s="39" customFormat="1" ht="22" customHeight="1" spans="1:23">
      <c r="A389" s="142" t="s">
        <v>1450</v>
      </c>
      <c r="B389" s="174" t="s">
        <v>30</v>
      </c>
      <c r="C389" s="175"/>
      <c r="D389" s="229" t="s">
        <v>31</v>
      </c>
      <c r="E389" s="83" t="s">
        <v>1190</v>
      </c>
      <c r="F389" s="82">
        <f>IFERROR(VLOOKUP(E389,客户!B:C,2,FALSE),"/")</f>
        <v>0</v>
      </c>
      <c r="G389" s="73" t="s">
        <v>1279</v>
      </c>
      <c r="H389" s="45" t="s">
        <v>123</v>
      </c>
      <c r="I389" s="45" t="s">
        <v>1451</v>
      </c>
      <c r="J389" s="110">
        <v>44280</v>
      </c>
      <c r="K389" s="146">
        <v>44425</v>
      </c>
      <c r="L389" s="93">
        <v>44468</v>
      </c>
      <c r="M389" s="165" t="s">
        <v>1452</v>
      </c>
      <c r="N389" s="202" t="s">
        <v>1453</v>
      </c>
      <c r="O389" s="108" t="s">
        <v>680</v>
      </c>
      <c r="P389" s="107">
        <v>78693.24</v>
      </c>
      <c r="Q389" s="107"/>
      <c r="R389" s="241"/>
      <c r="S389" s="242"/>
      <c r="T389" s="107">
        <v>78693.24</v>
      </c>
      <c r="U389" s="93"/>
      <c r="V389" s="128"/>
      <c r="W389" s="172"/>
    </row>
    <row r="390" s="39" customFormat="1" ht="22" customHeight="1" spans="1:23">
      <c r="A390" s="142" t="s">
        <v>1454</v>
      </c>
      <c r="B390" s="174" t="s">
        <v>30</v>
      </c>
      <c r="C390" s="175"/>
      <c r="D390" s="229" t="s">
        <v>31</v>
      </c>
      <c r="E390" s="83" t="s">
        <v>1190</v>
      </c>
      <c r="F390" s="82">
        <f>IFERROR(VLOOKUP(E390,客户!B:C,2,FALSE),"/")</f>
        <v>0</v>
      </c>
      <c r="G390" s="73" t="s">
        <v>1455</v>
      </c>
      <c r="H390" s="45" t="s">
        <v>123</v>
      </c>
      <c r="I390" s="45" t="s">
        <v>997</v>
      </c>
      <c r="J390" s="110">
        <v>44280</v>
      </c>
      <c r="K390" s="146">
        <v>44383</v>
      </c>
      <c r="L390" s="93">
        <v>44421</v>
      </c>
      <c r="M390" s="165" t="s">
        <v>1456</v>
      </c>
      <c r="N390" s="202" t="s">
        <v>1292</v>
      </c>
      <c r="O390" s="108" t="s">
        <v>680</v>
      </c>
      <c r="P390" s="107">
        <v>52462.16</v>
      </c>
      <c r="Q390" s="107"/>
      <c r="R390" s="241"/>
      <c r="S390" s="242"/>
      <c r="T390" s="107">
        <v>52462.16</v>
      </c>
      <c r="U390" s="93"/>
      <c r="V390" s="128"/>
      <c r="W390" s="172"/>
    </row>
    <row r="391" s="39" customFormat="1" ht="22" customHeight="1" spans="1:23">
      <c r="A391" s="142" t="s">
        <v>1457</v>
      </c>
      <c r="B391" s="174" t="s">
        <v>30</v>
      </c>
      <c r="C391" s="175"/>
      <c r="D391" s="229" t="s">
        <v>31</v>
      </c>
      <c r="E391" s="83" t="s">
        <v>1190</v>
      </c>
      <c r="F391" s="82">
        <f>IFERROR(VLOOKUP(E391,客户!B:C,2,FALSE),"/")</f>
        <v>0</v>
      </c>
      <c r="G391" s="73" t="s">
        <v>1198</v>
      </c>
      <c r="H391" s="45" t="s">
        <v>123</v>
      </c>
      <c r="I391" s="45" t="s">
        <v>542</v>
      </c>
      <c r="J391" s="110">
        <v>44280</v>
      </c>
      <c r="K391" s="146">
        <v>44344</v>
      </c>
      <c r="L391" s="93">
        <v>44379</v>
      </c>
      <c r="M391" s="165" t="s">
        <v>1458</v>
      </c>
      <c r="N391" s="202" t="s">
        <v>1459</v>
      </c>
      <c r="O391" s="108" t="s">
        <v>680</v>
      </c>
      <c r="P391" s="107">
        <v>26526.2</v>
      </c>
      <c r="Q391" s="107"/>
      <c r="R391" s="241"/>
      <c r="S391" s="242"/>
      <c r="T391" s="107">
        <v>26526.2</v>
      </c>
      <c r="U391" s="93"/>
      <c r="V391" s="128"/>
      <c r="W391" s="172"/>
    </row>
    <row r="392" s="39" customFormat="1" ht="22" customHeight="1" spans="1:23">
      <c r="A392" s="142" t="s">
        <v>1460</v>
      </c>
      <c r="B392" s="174" t="s">
        <v>30</v>
      </c>
      <c r="C392" s="175"/>
      <c r="D392" s="229" t="s">
        <v>31</v>
      </c>
      <c r="E392" s="83" t="s">
        <v>1249</v>
      </c>
      <c r="F392" s="82">
        <f>IFERROR(VLOOKUP(E392,客户!B:C,2,FALSE),"/")</f>
        <v>0</v>
      </c>
      <c r="G392" s="73" t="s">
        <v>941</v>
      </c>
      <c r="H392" s="45" t="s">
        <v>123</v>
      </c>
      <c r="I392" s="45" t="s">
        <v>1250</v>
      </c>
      <c r="J392" s="110">
        <v>44281</v>
      </c>
      <c r="K392" s="146">
        <v>44346</v>
      </c>
      <c r="L392" s="93">
        <v>44377</v>
      </c>
      <c r="M392" s="165" t="s">
        <v>1461</v>
      </c>
      <c r="N392" s="202" t="s">
        <v>1462</v>
      </c>
      <c r="O392" s="108" t="s">
        <v>523</v>
      </c>
      <c r="P392" s="107">
        <v>24624.49</v>
      </c>
      <c r="Q392" s="107">
        <v>7482</v>
      </c>
      <c r="R392" s="241"/>
      <c r="S392" s="242"/>
      <c r="T392" s="107">
        <v>17142.49</v>
      </c>
      <c r="U392" s="93"/>
      <c r="V392" s="128"/>
      <c r="W392" s="172"/>
    </row>
    <row r="393" s="39" customFormat="1" ht="22" customHeight="1" spans="1:23">
      <c r="A393" s="142" t="s">
        <v>1463</v>
      </c>
      <c r="B393" s="174" t="s">
        <v>30</v>
      </c>
      <c r="C393" s="175"/>
      <c r="D393" s="45" t="s">
        <v>31</v>
      </c>
      <c r="E393" s="83" t="s">
        <v>1117</v>
      </c>
      <c r="F393" s="82">
        <f>IFERROR(VLOOKUP(E393,客户!B:C,2,FALSE),"/")</f>
        <v>0</v>
      </c>
      <c r="G393" s="73" t="s">
        <v>1464</v>
      </c>
      <c r="H393" s="45" t="s">
        <v>186</v>
      </c>
      <c r="I393" s="45"/>
      <c r="J393" s="110">
        <v>44281</v>
      </c>
      <c r="K393" s="146">
        <v>44299</v>
      </c>
      <c r="L393" s="93"/>
      <c r="M393" s="165" t="s">
        <v>1465</v>
      </c>
      <c r="N393" s="110"/>
      <c r="O393" s="108" t="s">
        <v>970</v>
      </c>
      <c r="P393" s="240">
        <v>12800</v>
      </c>
      <c r="Q393" s="107"/>
      <c r="R393" s="241"/>
      <c r="S393" s="242"/>
      <c r="T393" s="240">
        <v>12800</v>
      </c>
      <c r="U393" s="93"/>
      <c r="V393" s="128"/>
      <c r="W393" s="172"/>
    </row>
    <row r="394" s="39" customFormat="1" ht="22" customHeight="1" spans="1:23">
      <c r="A394" s="190" t="s">
        <v>1466</v>
      </c>
      <c r="B394" s="174" t="s">
        <v>30</v>
      </c>
      <c r="C394" s="175"/>
      <c r="D394" s="229" t="s">
        <v>31</v>
      </c>
      <c r="E394" s="83" t="s">
        <v>1117</v>
      </c>
      <c r="F394" s="82">
        <f>IFERROR(VLOOKUP(E394,客户!B:C,2,FALSE),"/")</f>
        <v>0</v>
      </c>
      <c r="G394" s="73" t="s">
        <v>941</v>
      </c>
      <c r="H394" s="45" t="s">
        <v>123</v>
      </c>
      <c r="I394" s="45" t="s">
        <v>1467</v>
      </c>
      <c r="J394" s="110">
        <v>44284</v>
      </c>
      <c r="K394" s="146">
        <v>44385</v>
      </c>
      <c r="L394" s="93"/>
      <c r="M394" s="165" t="s">
        <v>1468</v>
      </c>
      <c r="N394" s="202" t="s">
        <v>1469</v>
      </c>
      <c r="O394" s="108" t="s">
        <v>970</v>
      </c>
      <c r="P394" s="107">
        <v>18524.33</v>
      </c>
      <c r="Q394" s="107">
        <v>5000</v>
      </c>
      <c r="R394" s="241"/>
      <c r="S394" s="242"/>
      <c r="T394" s="107">
        <v>13524.33</v>
      </c>
      <c r="U394" s="93"/>
      <c r="V394" s="128"/>
      <c r="W394" s="172"/>
    </row>
    <row r="395" s="39" customFormat="1" ht="22" customHeight="1" spans="1:23">
      <c r="A395" s="142" t="s">
        <v>1470</v>
      </c>
      <c r="B395" s="174" t="s">
        <v>30</v>
      </c>
      <c r="C395" s="175"/>
      <c r="D395" s="229" t="s">
        <v>31</v>
      </c>
      <c r="E395" s="83" t="s">
        <v>1265</v>
      </c>
      <c r="F395" s="82"/>
      <c r="G395" s="73" t="s">
        <v>1471</v>
      </c>
      <c r="H395" s="45" t="s">
        <v>147</v>
      </c>
      <c r="I395" s="45" t="s">
        <v>997</v>
      </c>
      <c r="J395" s="110">
        <v>44286</v>
      </c>
      <c r="K395" s="146">
        <v>44487</v>
      </c>
      <c r="L395" s="93">
        <v>44521</v>
      </c>
      <c r="M395" s="165" t="s">
        <v>1472</v>
      </c>
      <c r="N395" s="202" t="s">
        <v>1473</v>
      </c>
      <c r="O395" s="108" t="s">
        <v>680</v>
      </c>
      <c r="P395" s="107">
        <v>127028.3</v>
      </c>
      <c r="Q395" s="107">
        <f>9574*2+9574*2</f>
        <v>38296</v>
      </c>
      <c r="R395" s="241"/>
      <c r="S395" s="242"/>
      <c r="T395" s="107">
        <v>88732.3</v>
      </c>
      <c r="U395" s="93"/>
      <c r="V395" s="128"/>
      <c r="W395" s="172"/>
    </row>
    <row r="396" s="39" customFormat="1" ht="22" customHeight="1" spans="1:23">
      <c r="A396" s="142" t="s">
        <v>1474</v>
      </c>
      <c r="B396" s="174" t="s">
        <v>30</v>
      </c>
      <c r="C396" s="175"/>
      <c r="D396" s="229" t="s">
        <v>31</v>
      </c>
      <c r="E396" s="83" t="s">
        <v>1265</v>
      </c>
      <c r="F396" s="82"/>
      <c r="G396" s="73" t="s">
        <v>1475</v>
      </c>
      <c r="H396" s="45" t="s">
        <v>147</v>
      </c>
      <c r="I396" s="45" t="s">
        <v>997</v>
      </c>
      <c r="J396" s="110">
        <v>44286</v>
      </c>
      <c r="K396" s="146">
        <v>44358</v>
      </c>
      <c r="L396" s="93">
        <v>44403</v>
      </c>
      <c r="M396" s="165" t="s">
        <v>1476</v>
      </c>
      <c r="N396" s="202" t="s">
        <v>1403</v>
      </c>
      <c r="O396" s="108" t="s">
        <v>680</v>
      </c>
      <c r="P396" s="107">
        <v>30764.68</v>
      </c>
      <c r="Q396" s="107">
        <v>9574</v>
      </c>
      <c r="R396" s="241"/>
      <c r="S396" s="242"/>
      <c r="T396" s="107">
        <v>21190.68</v>
      </c>
      <c r="U396" s="93"/>
      <c r="V396" s="128"/>
      <c r="W396" s="172"/>
    </row>
    <row r="397" s="39" customFormat="1" ht="22" customHeight="1" spans="1:23">
      <c r="A397" s="142" t="s">
        <v>1477</v>
      </c>
      <c r="B397" s="174" t="s">
        <v>30</v>
      </c>
      <c r="C397" s="175"/>
      <c r="D397" s="229" t="s">
        <v>31</v>
      </c>
      <c r="E397" s="83" t="s">
        <v>1265</v>
      </c>
      <c r="F397" s="82"/>
      <c r="G397" s="73" t="s">
        <v>1478</v>
      </c>
      <c r="H397" s="45" t="s">
        <v>147</v>
      </c>
      <c r="I397" s="45" t="s">
        <v>997</v>
      </c>
      <c r="J397" s="110">
        <v>44286</v>
      </c>
      <c r="K397" s="146">
        <v>44368</v>
      </c>
      <c r="L397" s="93">
        <v>44404</v>
      </c>
      <c r="M397" s="165" t="s">
        <v>1479</v>
      </c>
      <c r="N397" s="202" t="s">
        <v>1480</v>
      </c>
      <c r="O397" s="108" t="s">
        <v>680</v>
      </c>
      <c r="P397" s="107">
        <v>93180.08</v>
      </c>
      <c r="Q397" s="107">
        <f>9574*3</f>
        <v>28722</v>
      </c>
      <c r="R397" s="241"/>
      <c r="S397" s="242"/>
      <c r="T397" s="107">
        <v>64458.08</v>
      </c>
      <c r="U397" s="93"/>
      <c r="V397" s="128"/>
      <c r="W397" s="172"/>
    </row>
    <row r="398" s="39" customFormat="1" ht="22" customHeight="1" spans="1:23">
      <c r="A398" s="143" t="s">
        <v>1481</v>
      </c>
      <c r="B398" s="174" t="s">
        <v>30</v>
      </c>
      <c r="C398" s="175"/>
      <c r="D398" s="229" t="s">
        <v>31</v>
      </c>
      <c r="E398" s="83" t="s">
        <v>1265</v>
      </c>
      <c r="F398" s="82"/>
      <c r="G398" s="73" t="s">
        <v>1482</v>
      </c>
      <c r="H398" s="45" t="s">
        <v>147</v>
      </c>
      <c r="I398" s="45" t="s">
        <v>997</v>
      </c>
      <c r="J398" s="110">
        <v>44286</v>
      </c>
      <c r="K398" s="146">
        <v>44441</v>
      </c>
      <c r="L398" s="93">
        <v>44497</v>
      </c>
      <c r="M398" s="165" t="s">
        <v>1483</v>
      </c>
      <c r="N398" s="202" t="s">
        <v>1484</v>
      </c>
      <c r="O398" s="108" t="s">
        <v>680</v>
      </c>
      <c r="P398" s="107">
        <v>126426.12</v>
      </c>
      <c r="Q398" s="107">
        <f>9574*4</f>
        <v>38296</v>
      </c>
      <c r="R398" s="241"/>
      <c r="S398" s="242"/>
      <c r="T398" s="107">
        <v>88130.12</v>
      </c>
      <c r="U398" s="93"/>
      <c r="V398" s="128"/>
      <c r="W398" s="172"/>
    </row>
    <row r="399" s="39" customFormat="1" ht="22" customHeight="1" spans="1:23">
      <c r="A399" s="142" t="s">
        <v>1485</v>
      </c>
      <c r="B399" s="174" t="s">
        <v>30</v>
      </c>
      <c r="C399" s="175"/>
      <c r="D399" s="229" t="s">
        <v>31</v>
      </c>
      <c r="E399" s="83" t="s">
        <v>1167</v>
      </c>
      <c r="F399" s="82">
        <f>IFERROR(VLOOKUP(E399,客户!B:C,2,FALSE),"/")</f>
        <v>0</v>
      </c>
      <c r="G399" s="73" t="s">
        <v>1369</v>
      </c>
      <c r="H399" s="45" t="s">
        <v>123</v>
      </c>
      <c r="I399" s="45" t="s">
        <v>1370</v>
      </c>
      <c r="J399" s="110">
        <v>44295</v>
      </c>
      <c r="K399" s="146">
        <v>44365</v>
      </c>
      <c r="L399" s="196">
        <v>44386</v>
      </c>
      <c r="M399" s="165" t="s">
        <v>1486</v>
      </c>
      <c r="N399" s="202" t="s">
        <v>1487</v>
      </c>
      <c r="O399" s="108" t="s">
        <v>523</v>
      </c>
      <c r="P399" s="107">
        <v>36184.76</v>
      </c>
      <c r="Q399" s="107">
        <v>10800</v>
      </c>
      <c r="R399" s="241"/>
      <c r="S399" s="242"/>
      <c r="T399" s="107">
        <v>25384.76</v>
      </c>
      <c r="U399" s="93"/>
      <c r="V399" s="128"/>
      <c r="W399" s="172"/>
    </row>
    <row r="400" s="39" customFormat="1" ht="22" customHeight="1" spans="1:23">
      <c r="A400" s="142" t="s">
        <v>1488</v>
      </c>
      <c r="B400" s="174" t="s">
        <v>30</v>
      </c>
      <c r="C400" s="175"/>
      <c r="D400" s="229" t="s">
        <v>31</v>
      </c>
      <c r="E400" s="83" t="s">
        <v>1121</v>
      </c>
      <c r="F400" s="82">
        <f>IFERROR(VLOOKUP(E400,客户!B:C,2,FALSE),"/")</f>
        <v>0</v>
      </c>
      <c r="G400" s="73" t="s">
        <v>1186</v>
      </c>
      <c r="H400" s="45" t="s">
        <v>123</v>
      </c>
      <c r="I400" s="45" t="s">
        <v>215</v>
      </c>
      <c r="J400" s="110">
        <v>44295</v>
      </c>
      <c r="K400" s="146">
        <v>44334</v>
      </c>
      <c r="L400" s="93">
        <v>44354</v>
      </c>
      <c r="M400" s="165" t="s">
        <v>1489</v>
      </c>
      <c r="N400" s="202" t="s">
        <v>1490</v>
      </c>
      <c r="O400" s="108" t="s">
        <v>523</v>
      </c>
      <c r="P400" s="107">
        <v>89200.44</v>
      </c>
      <c r="Q400" s="107">
        <v>10000</v>
      </c>
      <c r="R400" s="241"/>
      <c r="S400" s="242"/>
      <c r="T400" s="107">
        <v>79201</v>
      </c>
      <c r="U400" s="93"/>
      <c r="V400" s="128"/>
      <c r="W400" s="172"/>
    </row>
    <row r="401" s="39" customFormat="1" ht="22" customHeight="1" spans="1:23">
      <c r="A401" s="142" t="s">
        <v>1491</v>
      </c>
      <c r="B401" s="174" t="s">
        <v>30</v>
      </c>
      <c r="C401" s="175"/>
      <c r="D401" s="229" t="s">
        <v>31</v>
      </c>
      <c r="E401" s="83" t="s">
        <v>1345</v>
      </c>
      <c r="F401" s="82" t="str">
        <f>IFERROR(VLOOKUP(E401,客户!B:C,2,FALSE),"/")</f>
        <v>J4159还差USD265.65没付齐 J4220还有定金5674.3 账上剩5408.65</v>
      </c>
      <c r="G401" s="73" t="s">
        <v>1198</v>
      </c>
      <c r="H401" s="45" t="s">
        <v>123</v>
      </c>
      <c r="I401" s="45" t="s">
        <v>1346</v>
      </c>
      <c r="J401" s="110">
        <v>44305</v>
      </c>
      <c r="K401" s="146">
        <v>44369</v>
      </c>
      <c r="L401" s="93">
        <v>44420</v>
      </c>
      <c r="M401" s="165" t="s">
        <v>1492</v>
      </c>
      <c r="N401" s="202" t="s">
        <v>1493</v>
      </c>
      <c r="O401" s="108" t="s">
        <v>523</v>
      </c>
      <c r="P401" s="107">
        <v>24813.78</v>
      </c>
      <c r="Q401" s="107">
        <v>7495</v>
      </c>
      <c r="R401" s="241"/>
      <c r="S401" s="242"/>
      <c r="T401" s="107">
        <v>17318.78</v>
      </c>
      <c r="U401" s="93"/>
      <c r="V401" s="128"/>
      <c r="W401" s="172"/>
    </row>
    <row r="402" s="39" customFormat="1" ht="22" customHeight="1" spans="1:23">
      <c r="A402" s="142" t="s">
        <v>1494</v>
      </c>
      <c r="B402" s="174" t="s">
        <v>30</v>
      </c>
      <c r="C402" s="175"/>
      <c r="D402" s="229" t="s">
        <v>31</v>
      </c>
      <c r="E402" s="83" t="s">
        <v>1238</v>
      </c>
      <c r="F402" s="82">
        <f>IFERROR(VLOOKUP(E402,客户!B:C,2,FALSE),"/")</f>
        <v>0</v>
      </c>
      <c r="G402" s="73" t="s">
        <v>941</v>
      </c>
      <c r="H402" s="45" t="s">
        <v>123</v>
      </c>
      <c r="I402" s="45" t="s">
        <v>760</v>
      </c>
      <c r="J402" s="110">
        <v>44307</v>
      </c>
      <c r="K402" s="146">
        <v>44340</v>
      </c>
      <c r="L402" s="93">
        <v>44375</v>
      </c>
      <c r="M402" s="165" t="s">
        <v>1495</v>
      </c>
      <c r="N402" s="202" t="s">
        <v>1496</v>
      </c>
      <c r="O402" s="108" t="s">
        <v>523</v>
      </c>
      <c r="P402" s="107">
        <v>29510.8</v>
      </c>
      <c r="Q402" s="107">
        <v>4229.41</v>
      </c>
      <c r="R402" s="241"/>
      <c r="S402" s="242"/>
      <c r="T402" s="107">
        <v>16004</v>
      </c>
      <c r="U402" s="107">
        <f>P402-Q402-T402</f>
        <v>9277.39</v>
      </c>
      <c r="V402" s="219" t="s">
        <v>1497</v>
      </c>
      <c r="W402" s="172"/>
    </row>
    <row r="403" s="39" customFormat="1" ht="22" customHeight="1" spans="1:23">
      <c r="A403" s="190" t="s">
        <v>1498</v>
      </c>
      <c r="B403" s="174" t="s">
        <v>30</v>
      </c>
      <c r="C403" s="175"/>
      <c r="D403" s="229" t="s">
        <v>31</v>
      </c>
      <c r="E403" s="83" t="s">
        <v>1274</v>
      </c>
      <c r="F403" s="82">
        <f>IFERROR(VLOOKUP(E403,客户!B:C,2,FALSE),"/")</f>
        <v>0</v>
      </c>
      <c r="G403" s="73" t="s">
        <v>985</v>
      </c>
      <c r="H403" s="45" t="s">
        <v>123</v>
      </c>
      <c r="I403" s="45" t="s">
        <v>925</v>
      </c>
      <c r="J403" s="110">
        <v>44308</v>
      </c>
      <c r="K403" s="146">
        <v>44357</v>
      </c>
      <c r="L403" s="196">
        <v>44395</v>
      </c>
      <c r="M403" s="165" t="s">
        <v>1499</v>
      </c>
      <c r="N403" s="202" t="s">
        <v>1500</v>
      </c>
      <c r="O403" s="108" t="s">
        <v>523</v>
      </c>
      <c r="P403" s="107">
        <v>25079.25</v>
      </c>
      <c r="Q403" s="107">
        <v>7594</v>
      </c>
      <c r="R403" s="241"/>
      <c r="S403" s="242"/>
      <c r="T403" s="107">
        <v>17485.25</v>
      </c>
      <c r="U403" s="93"/>
      <c r="V403" s="128"/>
      <c r="W403" s="172"/>
    </row>
    <row r="404" s="39" customFormat="1" ht="22" customHeight="1" spans="1:23">
      <c r="A404" s="142" t="s">
        <v>1501</v>
      </c>
      <c r="B404" s="174" t="s">
        <v>30</v>
      </c>
      <c r="C404" s="175"/>
      <c r="D404" s="229" t="s">
        <v>31</v>
      </c>
      <c r="E404" s="83" t="s">
        <v>1502</v>
      </c>
      <c r="F404" s="82">
        <f>IFERROR(VLOOKUP(E404,客户!B:C,2,FALSE),"/")</f>
        <v>0</v>
      </c>
      <c r="G404" s="73" t="s">
        <v>1503</v>
      </c>
      <c r="H404" s="45" t="s">
        <v>123</v>
      </c>
      <c r="I404" s="45" t="s">
        <v>1504</v>
      </c>
      <c r="J404" s="110">
        <v>44308</v>
      </c>
      <c r="K404" s="146">
        <v>44347</v>
      </c>
      <c r="L404" s="93">
        <v>44401</v>
      </c>
      <c r="M404" s="165" t="s">
        <v>1505</v>
      </c>
      <c r="N404" s="202" t="s">
        <v>1506</v>
      </c>
      <c r="O404" s="108" t="s">
        <v>1283</v>
      </c>
      <c r="P404" s="107">
        <v>9810</v>
      </c>
      <c r="Q404" s="107"/>
      <c r="R404" s="241">
        <v>9810</v>
      </c>
      <c r="S404" s="242"/>
      <c r="T404" s="240"/>
      <c r="U404" s="93"/>
      <c r="V404" s="128"/>
      <c r="W404" s="172"/>
    </row>
    <row r="405" s="39" customFormat="1" ht="22" customHeight="1" spans="1:23">
      <c r="A405" s="142" t="s">
        <v>1507</v>
      </c>
      <c r="B405" s="174" t="s">
        <v>30</v>
      </c>
      <c r="C405" s="175"/>
      <c r="D405" s="229" t="s">
        <v>31</v>
      </c>
      <c r="E405" s="83" t="s">
        <v>1508</v>
      </c>
      <c r="F405" s="82"/>
      <c r="G405" s="73" t="s">
        <v>985</v>
      </c>
      <c r="H405" s="45" t="s">
        <v>123</v>
      </c>
      <c r="I405" s="45" t="s">
        <v>1509</v>
      </c>
      <c r="J405" s="110">
        <v>44312</v>
      </c>
      <c r="K405" s="146">
        <v>44355</v>
      </c>
      <c r="L405" s="93">
        <v>44474</v>
      </c>
      <c r="M405" s="165" t="s">
        <v>1510</v>
      </c>
      <c r="N405" s="202" t="s">
        <v>1511</v>
      </c>
      <c r="O405" s="108" t="s">
        <v>523</v>
      </c>
      <c r="P405" s="107">
        <v>28783.125</v>
      </c>
      <c r="Q405" s="107">
        <v>8000</v>
      </c>
      <c r="R405" s="241"/>
      <c r="S405" s="242"/>
      <c r="T405" s="107">
        <v>20783.13</v>
      </c>
      <c r="U405" s="93"/>
      <c r="V405" s="128"/>
      <c r="W405" s="172"/>
    </row>
    <row r="406" s="39" customFormat="1" ht="22" customHeight="1" spans="1:23">
      <c r="A406" s="142" t="s">
        <v>1512</v>
      </c>
      <c r="B406" s="174" t="s">
        <v>30</v>
      </c>
      <c r="C406" s="175"/>
      <c r="D406" s="229" t="s">
        <v>31</v>
      </c>
      <c r="E406" s="83" t="s">
        <v>1513</v>
      </c>
      <c r="F406" s="82">
        <f>IFERROR(VLOOKUP(E406,客户!B:C,2,FALSE),"/")</f>
        <v>0</v>
      </c>
      <c r="G406" s="83" t="s">
        <v>1514</v>
      </c>
      <c r="H406" s="45" t="s">
        <v>186</v>
      </c>
      <c r="I406" s="45"/>
      <c r="J406" s="110">
        <v>44323</v>
      </c>
      <c r="K406" s="146">
        <v>44354</v>
      </c>
      <c r="L406" s="93"/>
      <c r="M406" s="165" t="s">
        <v>1515</v>
      </c>
      <c r="N406" s="110"/>
      <c r="O406" s="108" t="s">
        <v>970</v>
      </c>
      <c r="P406" s="240">
        <v>25000</v>
      </c>
      <c r="Q406" s="240">
        <v>7500</v>
      </c>
      <c r="R406" s="241"/>
      <c r="S406" s="242"/>
      <c r="T406" s="240">
        <v>17500</v>
      </c>
      <c r="U406" s="93"/>
      <c r="V406" s="128"/>
      <c r="W406" s="172"/>
    </row>
    <row r="407" s="39" customFormat="1" ht="22" customHeight="1" spans="1:23">
      <c r="A407" s="142" t="s">
        <v>1516</v>
      </c>
      <c r="B407" s="174" t="s">
        <v>30</v>
      </c>
      <c r="C407" s="175"/>
      <c r="D407" s="229" t="s">
        <v>31</v>
      </c>
      <c r="E407" s="83" t="s">
        <v>1345</v>
      </c>
      <c r="F407" s="82" t="str">
        <f>IFERROR(VLOOKUP(E407,客户!B:C,2,FALSE),"/")</f>
        <v>J4159还差USD265.65没付齐 J4220还有定金5674.3 账上剩5408.65</v>
      </c>
      <c r="G407" s="83" t="s">
        <v>1517</v>
      </c>
      <c r="H407" s="45" t="s">
        <v>123</v>
      </c>
      <c r="I407" s="45" t="s">
        <v>1346</v>
      </c>
      <c r="J407" s="110">
        <v>44329</v>
      </c>
      <c r="K407" s="146">
        <v>44380</v>
      </c>
      <c r="L407" s="93">
        <v>44420</v>
      </c>
      <c r="M407" s="165" t="s">
        <v>1518</v>
      </c>
      <c r="N407" s="202" t="s">
        <v>1493</v>
      </c>
      <c r="O407" s="108" t="s">
        <v>523</v>
      </c>
      <c r="P407" s="107">
        <v>33684.15</v>
      </c>
      <c r="Q407" s="107">
        <v>10105.25</v>
      </c>
      <c r="R407" s="241"/>
      <c r="S407" s="242"/>
      <c r="T407" s="107">
        <v>23578.9</v>
      </c>
      <c r="U407" s="93"/>
      <c r="V407" s="128"/>
      <c r="W407" s="172"/>
    </row>
    <row r="408" s="39" customFormat="1" ht="22" customHeight="1" spans="1:23">
      <c r="A408" s="142" t="s">
        <v>1519</v>
      </c>
      <c r="B408" s="174" t="s">
        <v>30</v>
      </c>
      <c r="C408" s="175"/>
      <c r="D408" s="229" t="s">
        <v>31</v>
      </c>
      <c r="E408" s="83" t="s">
        <v>1117</v>
      </c>
      <c r="F408" s="82">
        <f>IFERROR(VLOOKUP(E408,客户!B:C,2,FALSE),"/")</f>
        <v>0</v>
      </c>
      <c r="G408" s="83" t="s">
        <v>1520</v>
      </c>
      <c r="H408" s="45" t="s">
        <v>186</v>
      </c>
      <c r="I408" s="45"/>
      <c r="J408" s="110">
        <v>44335</v>
      </c>
      <c r="K408" s="146">
        <v>44347</v>
      </c>
      <c r="L408" s="93"/>
      <c r="M408" s="165" t="s">
        <v>1463</v>
      </c>
      <c r="N408" s="110"/>
      <c r="O408" s="108" t="s">
        <v>970</v>
      </c>
      <c r="P408" s="240">
        <v>19050</v>
      </c>
      <c r="Q408" s="240">
        <v>5000</v>
      </c>
      <c r="R408" s="241"/>
      <c r="S408" s="242"/>
      <c r="T408" s="240">
        <v>14050</v>
      </c>
      <c r="U408" s="93"/>
      <c r="V408" s="128"/>
      <c r="W408" s="172"/>
    </row>
    <row r="409" s="39" customFormat="1" ht="22" customHeight="1" spans="1:23">
      <c r="A409" s="142" t="s">
        <v>1521</v>
      </c>
      <c r="B409" s="174" t="s">
        <v>30</v>
      </c>
      <c r="C409" s="175"/>
      <c r="D409" s="229" t="s">
        <v>31</v>
      </c>
      <c r="E409" s="83" t="s">
        <v>1083</v>
      </c>
      <c r="F409" s="82">
        <f>IFERROR(VLOOKUP(E409,客户!B:C,2,FALSE),"/")</f>
        <v>0</v>
      </c>
      <c r="G409" s="83" t="s">
        <v>1522</v>
      </c>
      <c r="H409" s="45" t="s">
        <v>123</v>
      </c>
      <c r="I409" s="45" t="s">
        <v>1523</v>
      </c>
      <c r="J409" s="110">
        <v>44337</v>
      </c>
      <c r="K409" s="146">
        <v>44374</v>
      </c>
      <c r="L409" s="93">
        <v>44390</v>
      </c>
      <c r="M409" s="165" t="s">
        <v>1524</v>
      </c>
      <c r="N409" s="202" t="s">
        <v>1525</v>
      </c>
      <c r="O409" s="108" t="s">
        <v>523</v>
      </c>
      <c r="P409" s="107">
        <v>31700.5</v>
      </c>
      <c r="Q409" s="107">
        <v>9368.25</v>
      </c>
      <c r="R409" s="241"/>
      <c r="S409" s="242"/>
      <c r="T409" s="107">
        <v>22332.25</v>
      </c>
      <c r="U409" s="93"/>
      <c r="V409" s="128"/>
      <c r="W409" s="172"/>
    </row>
    <row r="410" s="39" customFormat="1" ht="22" customHeight="1" spans="1:23">
      <c r="A410" s="142" t="s">
        <v>1526</v>
      </c>
      <c r="B410" s="174" t="s">
        <v>30</v>
      </c>
      <c r="C410" s="175"/>
      <c r="D410" s="229" t="s">
        <v>31</v>
      </c>
      <c r="E410" s="83" t="s">
        <v>1167</v>
      </c>
      <c r="F410" s="82">
        <f>IFERROR(VLOOKUP(E410,客户!B:C,2,FALSE),"/")</f>
        <v>0</v>
      </c>
      <c r="G410" s="83" t="s">
        <v>1527</v>
      </c>
      <c r="H410" s="45" t="s">
        <v>123</v>
      </c>
      <c r="I410" s="45" t="s">
        <v>1370</v>
      </c>
      <c r="J410" s="110">
        <v>44337</v>
      </c>
      <c r="K410" s="110">
        <v>44383</v>
      </c>
      <c r="L410" s="93">
        <v>44424</v>
      </c>
      <c r="M410" s="165" t="s">
        <v>1528</v>
      </c>
      <c r="N410" s="202" t="s">
        <v>1529</v>
      </c>
      <c r="O410" s="108" t="s">
        <v>523</v>
      </c>
      <c r="P410" s="107">
        <v>42255</v>
      </c>
      <c r="Q410" s="107">
        <v>12500</v>
      </c>
      <c r="R410" s="241"/>
      <c r="S410" s="242"/>
      <c r="T410" s="107">
        <v>29755</v>
      </c>
      <c r="U410" s="93"/>
      <c r="V410" s="128"/>
      <c r="W410" s="172"/>
    </row>
    <row r="411" s="39" customFormat="1" ht="22" customHeight="1" spans="1:23">
      <c r="A411" s="142" t="s">
        <v>1530</v>
      </c>
      <c r="B411" s="174" t="s">
        <v>30</v>
      </c>
      <c r="C411" s="175"/>
      <c r="D411" s="229" t="s">
        <v>31</v>
      </c>
      <c r="E411" s="83" t="s">
        <v>1345</v>
      </c>
      <c r="F411" s="82" t="str">
        <f>IFERROR(VLOOKUP(E411,客户!B:C,2,FALSE),"/")</f>
        <v>J4159还差USD265.65没付齐 J4220还有定金5674.3 账上剩5408.65</v>
      </c>
      <c r="G411" s="83" t="s">
        <v>1517</v>
      </c>
      <c r="H411" s="45" t="s">
        <v>123</v>
      </c>
      <c r="I411" s="45" t="s">
        <v>1346</v>
      </c>
      <c r="J411" s="110">
        <v>44337</v>
      </c>
      <c r="K411" s="146">
        <v>44380</v>
      </c>
      <c r="L411" s="93">
        <v>44420</v>
      </c>
      <c r="M411" s="165" t="s">
        <v>1531</v>
      </c>
      <c r="N411" s="202" t="s">
        <v>1493</v>
      </c>
      <c r="O411" s="108" t="s">
        <v>523</v>
      </c>
      <c r="P411" s="107">
        <v>29787.62</v>
      </c>
      <c r="Q411" s="107">
        <v>8865.8</v>
      </c>
      <c r="R411" s="241"/>
      <c r="S411" s="242"/>
      <c r="T411" s="107">
        <v>20921.82</v>
      </c>
      <c r="U411" s="93"/>
      <c r="V411" s="128"/>
      <c r="W411" s="172"/>
    </row>
    <row r="412" s="39" customFormat="1" ht="22" customHeight="1" spans="1:23">
      <c r="A412" s="142" t="s">
        <v>1532</v>
      </c>
      <c r="B412" s="174" t="s">
        <v>30</v>
      </c>
      <c r="C412" s="175"/>
      <c r="D412" s="229" t="s">
        <v>31</v>
      </c>
      <c r="E412" s="83" t="s">
        <v>1117</v>
      </c>
      <c r="F412" s="82"/>
      <c r="G412" s="83" t="s">
        <v>1517</v>
      </c>
      <c r="H412" s="45" t="s">
        <v>123</v>
      </c>
      <c r="I412" s="45" t="s">
        <v>1533</v>
      </c>
      <c r="J412" s="110">
        <v>44342</v>
      </c>
      <c r="K412" s="146">
        <v>44388</v>
      </c>
      <c r="L412" s="93"/>
      <c r="M412" s="165" t="s">
        <v>1534</v>
      </c>
      <c r="N412" s="202" t="s">
        <v>1535</v>
      </c>
      <c r="O412" s="108" t="s">
        <v>523</v>
      </c>
      <c r="P412" s="107">
        <v>18991.55</v>
      </c>
      <c r="Q412" s="107">
        <v>5000</v>
      </c>
      <c r="R412" s="241"/>
      <c r="S412" s="242"/>
      <c r="T412" s="107">
        <v>13991.55</v>
      </c>
      <c r="U412" s="93"/>
      <c r="V412" s="128"/>
      <c r="W412" s="172"/>
    </row>
    <row r="413" s="39" customFormat="1" ht="22" customHeight="1" spans="1:23">
      <c r="A413" s="142" t="s">
        <v>1536</v>
      </c>
      <c r="B413" s="174" t="s">
        <v>30</v>
      </c>
      <c r="C413" s="175"/>
      <c r="D413" s="229" t="s">
        <v>31</v>
      </c>
      <c r="E413" s="83" t="s">
        <v>1238</v>
      </c>
      <c r="F413" s="82">
        <f>IFERROR(VLOOKUP(E413,客户!B:C,2,FALSE),"/")</f>
        <v>0</v>
      </c>
      <c r="G413" s="73" t="s">
        <v>941</v>
      </c>
      <c r="H413" s="45" t="s">
        <v>123</v>
      </c>
      <c r="I413" s="45" t="s">
        <v>760</v>
      </c>
      <c r="J413" s="110">
        <v>44344</v>
      </c>
      <c r="K413" s="146">
        <v>44379</v>
      </c>
      <c r="L413" s="93">
        <v>44409</v>
      </c>
      <c r="M413" s="165" t="s">
        <v>1537</v>
      </c>
      <c r="N413" s="202" t="s">
        <v>1538</v>
      </c>
      <c r="O413" s="108" t="s">
        <v>523</v>
      </c>
      <c r="P413" s="107">
        <v>29728.25</v>
      </c>
      <c r="Q413" s="107">
        <v>1251</v>
      </c>
      <c r="R413" s="241"/>
      <c r="S413" s="242"/>
      <c r="T413" s="107">
        <v>18477.5</v>
      </c>
      <c r="U413" s="107">
        <v>10000</v>
      </c>
      <c r="V413" s="128"/>
      <c r="W413" s="172"/>
    </row>
    <row r="414" s="39" customFormat="1" ht="22" customHeight="1" spans="1:23">
      <c r="A414" s="142" t="s">
        <v>1539</v>
      </c>
      <c r="B414" s="174" t="s">
        <v>30</v>
      </c>
      <c r="C414" s="175"/>
      <c r="D414" s="229" t="s">
        <v>31</v>
      </c>
      <c r="E414" s="83" t="s">
        <v>1121</v>
      </c>
      <c r="F414" s="82">
        <f>IFERROR(VLOOKUP(E414,客户!B:C,2,FALSE),"/")</f>
        <v>0</v>
      </c>
      <c r="G414" s="73" t="s">
        <v>1419</v>
      </c>
      <c r="H414" s="45" t="s">
        <v>123</v>
      </c>
      <c r="I414" s="45" t="s">
        <v>215</v>
      </c>
      <c r="J414" s="110">
        <v>44344</v>
      </c>
      <c r="K414" s="146">
        <v>44384</v>
      </c>
      <c r="L414" s="93">
        <v>44404</v>
      </c>
      <c r="M414" s="165" t="s">
        <v>1540</v>
      </c>
      <c r="N414" s="202" t="s">
        <v>1541</v>
      </c>
      <c r="O414" s="108" t="s">
        <v>523</v>
      </c>
      <c r="P414" s="107">
        <v>60867.84</v>
      </c>
      <c r="Q414" s="107"/>
      <c r="R414" s="241"/>
      <c r="S414" s="242"/>
      <c r="T414" s="107">
        <v>60867.84</v>
      </c>
      <c r="U414" s="93"/>
      <c r="V414" s="128"/>
      <c r="W414" s="172"/>
    </row>
    <row r="415" s="39" customFormat="1" ht="22" customHeight="1" spans="1:23">
      <c r="A415" s="142" t="s">
        <v>1542</v>
      </c>
      <c r="B415" s="174" t="s">
        <v>30</v>
      </c>
      <c r="C415" s="175"/>
      <c r="D415" s="229" t="s">
        <v>31</v>
      </c>
      <c r="E415" s="83" t="s">
        <v>1121</v>
      </c>
      <c r="F415" s="82">
        <f>IFERROR(VLOOKUP(E415,客户!B:C,2,FALSE),"/")</f>
        <v>0</v>
      </c>
      <c r="G415" s="73" t="s">
        <v>1419</v>
      </c>
      <c r="H415" s="45" t="s">
        <v>123</v>
      </c>
      <c r="I415" s="45" t="s">
        <v>215</v>
      </c>
      <c r="J415" s="110">
        <v>44344</v>
      </c>
      <c r="K415" s="146">
        <v>44391</v>
      </c>
      <c r="L415" s="93">
        <v>44404</v>
      </c>
      <c r="M415" s="165" t="s">
        <v>1543</v>
      </c>
      <c r="N415" s="202" t="s">
        <v>1544</v>
      </c>
      <c r="O415" s="108" t="s">
        <v>523</v>
      </c>
      <c r="P415" s="107">
        <v>57517.1</v>
      </c>
      <c r="Q415" s="107">
        <v>10000</v>
      </c>
      <c r="R415" s="241"/>
      <c r="S415" s="242"/>
      <c r="T415" s="107">
        <v>47518</v>
      </c>
      <c r="U415" s="93"/>
      <c r="V415" s="128"/>
      <c r="W415" s="172"/>
    </row>
    <row r="416" s="39" customFormat="1" ht="22" customHeight="1" spans="1:23">
      <c r="A416" s="142" t="s">
        <v>1545</v>
      </c>
      <c r="B416" s="174" t="s">
        <v>30</v>
      </c>
      <c r="C416" s="175"/>
      <c r="D416" s="229" t="s">
        <v>31</v>
      </c>
      <c r="E416" s="83" t="s">
        <v>1508</v>
      </c>
      <c r="F416" s="82">
        <f>IFERROR(VLOOKUP(E416,客户!B:C,2,FALSE),"/")</f>
        <v>0</v>
      </c>
      <c r="G416" s="73" t="s">
        <v>941</v>
      </c>
      <c r="H416" s="45" t="s">
        <v>123</v>
      </c>
      <c r="I416" s="45" t="s">
        <v>1546</v>
      </c>
      <c r="J416" s="110">
        <v>44349</v>
      </c>
      <c r="K416" s="146">
        <v>44420</v>
      </c>
      <c r="L416" s="93">
        <v>44452</v>
      </c>
      <c r="M416" s="165" t="s">
        <v>1547</v>
      </c>
      <c r="N416" s="202" t="s">
        <v>1548</v>
      </c>
      <c r="O416" s="108" t="s">
        <v>523</v>
      </c>
      <c r="P416" s="107">
        <v>31106.6</v>
      </c>
      <c r="Q416" s="107">
        <v>8000</v>
      </c>
      <c r="R416" s="241"/>
      <c r="S416" s="242"/>
      <c r="T416" s="107">
        <v>23106.6</v>
      </c>
      <c r="U416" s="93"/>
      <c r="V416" s="128"/>
      <c r="W416" s="172"/>
    </row>
    <row r="417" s="39" customFormat="1" ht="22" customHeight="1" spans="1:23">
      <c r="A417" s="142" t="s">
        <v>1549</v>
      </c>
      <c r="B417" s="174" t="s">
        <v>30</v>
      </c>
      <c r="C417" s="175"/>
      <c r="D417" s="229" t="s">
        <v>31</v>
      </c>
      <c r="E417" s="83" t="s">
        <v>1508</v>
      </c>
      <c r="F417" s="82">
        <f>IFERROR(VLOOKUP(E417,客户!B:C,2,FALSE),"/")</f>
        <v>0</v>
      </c>
      <c r="G417" s="73" t="s">
        <v>941</v>
      </c>
      <c r="H417" s="45" t="s">
        <v>123</v>
      </c>
      <c r="I417" s="45" t="s">
        <v>1550</v>
      </c>
      <c r="J417" s="110">
        <v>44349</v>
      </c>
      <c r="K417" s="146">
        <v>44383</v>
      </c>
      <c r="L417" s="93">
        <v>44424</v>
      </c>
      <c r="M417" s="178" t="s">
        <v>1551</v>
      </c>
      <c r="N417" s="202" t="s">
        <v>1552</v>
      </c>
      <c r="O417" s="108" t="s">
        <v>523</v>
      </c>
      <c r="P417" s="107">
        <v>31162.6</v>
      </c>
      <c r="Q417" s="107">
        <v>8000</v>
      </c>
      <c r="R417" s="241"/>
      <c r="S417" s="242"/>
      <c r="T417" s="107">
        <v>23162.6</v>
      </c>
      <c r="U417" s="93"/>
      <c r="V417" s="128"/>
      <c r="W417" s="172"/>
    </row>
    <row r="418" s="39" customFormat="1" ht="22" customHeight="1" spans="1:23">
      <c r="A418" s="142" t="s">
        <v>1553</v>
      </c>
      <c r="B418" s="174" t="s">
        <v>30</v>
      </c>
      <c r="C418" s="175"/>
      <c r="D418" s="229" t="s">
        <v>31</v>
      </c>
      <c r="E418" s="83" t="s">
        <v>1265</v>
      </c>
      <c r="F418" s="82" t="str">
        <f>IFERROR(VLOOKUP(E418,客户!B:C,2,FALSE),"/")</f>
        <v>外送费用945人民币+装箱费用 加在发票里</v>
      </c>
      <c r="G418" s="73" t="s">
        <v>1554</v>
      </c>
      <c r="H418" s="45" t="s">
        <v>147</v>
      </c>
      <c r="I418" s="45" t="s">
        <v>1001</v>
      </c>
      <c r="J418" s="110">
        <v>44353</v>
      </c>
      <c r="K418" s="146">
        <v>44398</v>
      </c>
      <c r="L418" s="93">
        <v>44454</v>
      </c>
      <c r="M418" s="165" t="s">
        <v>1555</v>
      </c>
      <c r="N418" s="202" t="s">
        <v>1556</v>
      </c>
      <c r="O418" s="108" t="s">
        <v>680</v>
      </c>
      <c r="P418" s="107">
        <v>97531.8</v>
      </c>
      <c r="Q418" s="107"/>
      <c r="R418" s="241"/>
      <c r="S418" s="242"/>
      <c r="T418" s="107">
        <v>97531.8</v>
      </c>
      <c r="U418" s="93"/>
      <c r="V418" s="128"/>
      <c r="W418" s="172"/>
    </row>
    <row r="419" s="39" customFormat="1" ht="22" customHeight="1" spans="1:23">
      <c r="A419" s="142" t="s">
        <v>1557</v>
      </c>
      <c r="B419" s="174" t="s">
        <v>30</v>
      </c>
      <c r="C419" s="175"/>
      <c r="D419" s="229" t="s">
        <v>31</v>
      </c>
      <c r="E419" s="83" t="s">
        <v>1265</v>
      </c>
      <c r="F419" s="82" t="str">
        <f>IFERROR(VLOOKUP(E419,客户!B:C,2,FALSE),"/")</f>
        <v>外送费用945人民币+装箱费用 加在发票里</v>
      </c>
      <c r="G419" s="73" t="s">
        <v>1554</v>
      </c>
      <c r="H419" s="45" t="s">
        <v>147</v>
      </c>
      <c r="I419" s="45" t="s">
        <v>1001</v>
      </c>
      <c r="J419" s="110">
        <v>44353</v>
      </c>
      <c r="K419" s="110">
        <v>44416</v>
      </c>
      <c r="L419" s="93">
        <v>44460</v>
      </c>
      <c r="M419" s="165" t="s">
        <v>1558</v>
      </c>
      <c r="N419" s="202" t="s">
        <v>1559</v>
      </c>
      <c r="O419" s="108" t="s">
        <v>680</v>
      </c>
      <c r="P419" s="107">
        <v>98341.8</v>
      </c>
      <c r="Q419" s="107"/>
      <c r="R419" s="241"/>
      <c r="S419" s="242"/>
      <c r="T419" s="107">
        <v>98341.8</v>
      </c>
      <c r="U419" s="93"/>
      <c r="V419" s="128"/>
      <c r="W419" s="172"/>
    </row>
    <row r="420" s="39" customFormat="1" ht="22" customHeight="1" spans="1:23">
      <c r="A420" s="142" t="s">
        <v>1560</v>
      </c>
      <c r="B420" s="174" t="s">
        <v>30</v>
      </c>
      <c r="C420" s="175"/>
      <c r="D420" s="229" t="s">
        <v>31</v>
      </c>
      <c r="E420" s="83" t="s">
        <v>1167</v>
      </c>
      <c r="F420" s="82">
        <f>IFERROR(VLOOKUP(E420,客户!B:C,2,FALSE),"/")</f>
        <v>0</v>
      </c>
      <c r="G420" s="73" t="s">
        <v>1561</v>
      </c>
      <c r="H420" s="45" t="s">
        <v>123</v>
      </c>
      <c r="I420" s="45" t="s">
        <v>1370</v>
      </c>
      <c r="J420" s="110">
        <v>44355</v>
      </c>
      <c r="K420" s="146">
        <v>44402</v>
      </c>
      <c r="L420" s="93">
        <v>44458</v>
      </c>
      <c r="M420" s="165" t="s">
        <v>1562</v>
      </c>
      <c r="N420" s="202" t="s">
        <v>1529</v>
      </c>
      <c r="O420" s="108" t="s">
        <v>523</v>
      </c>
      <c r="P420" s="107">
        <v>34897.39</v>
      </c>
      <c r="Q420" s="107">
        <v>10300</v>
      </c>
      <c r="R420" s="241"/>
      <c r="S420" s="242"/>
      <c r="T420" s="107">
        <v>24597.39</v>
      </c>
      <c r="U420" s="93"/>
      <c r="V420" s="128"/>
      <c r="W420" s="172"/>
    </row>
    <row r="421" s="39" customFormat="1" ht="23" customHeight="1" spans="1:23">
      <c r="A421" s="142" t="s">
        <v>1563</v>
      </c>
      <c r="B421" s="174" t="s">
        <v>30</v>
      </c>
      <c r="C421" s="175"/>
      <c r="D421" s="229" t="s">
        <v>31</v>
      </c>
      <c r="E421" s="83" t="s">
        <v>1326</v>
      </c>
      <c r="F421" s="82">
        <f>IFERROR(VLOOKUP(E421,客户!B:C,2,FALSE),"/")</f>
        <v>0</v>
      </c>
      <c r="G421" s="73" t="s">
        <v>941</v>
      </c>
      <c r="H421" s="45" t="s">
        <v>123</v>
      </c>
      <c r="I421" s="45" t="s">
        <v>755</v>
      </c>
      <c r="J421" s="110">
        <v>44360</v>
      </c>
      <c r="K421" s="146">
        <v>44452</v>
      </c>
      <c r="L421" s="93">
        <v>44487</v>
      </c>
      <c r="M421" s="165" t="s">
        <v>1564</v>
      </c>
      <c r="N421" s="202" t="s">
        <v>1565</v>
      </c>
      <c r="O421" s="108" t="s">
        <v>523</v>
      </c>
      <c r="P421" s="107">
        <v>28232</v>
      </c>
      <c r="Q421" s="107">
        <v>5646</v>
      </c>
      <c r="R421" s="241"/>
      <c r="S421" s="242"/>
      <c r="T421" s="107">
        <v>22585.6</v>
      </c>
      <c r="U421" s="93"/>
      <c r="V421" s="128"/>
      <c r="W421" s="172"/>
    </row>
    <row r="422" s="39" customFormat="1" ht="22" customHeight="1" spans="1:23">
      <c r="A422" s="142" t="s">
        <v>1566</v>
      </c>
      <c r="B422" s="174" t="s">
        <v>30</v>
      </c>
      <c r="C422" s="175"/>
      <c r="D422" s="229" t="s">
        <v>31</v>
      </c>
      <c r="E422" s="83" t="s">
        <v>1274</v>
      </c>
      <c r="F422" s="82">
        <f>IFERROR(VLOOKUP(E422,客户!B:C,2,FALSE),"/")</f>
        <v>0</v>
      </c>
      <c r="G422" s="73" t="s">
        <v>941</v>
      </c>
      <c r="H422" s="45" t="s">
        <v>123</v>
      </c>
      <c r="I422" s="45" t="s">
        <v>925</v>
      </c>
      <c r="J422" s="110">
        <v>44363</v>
      </c>
      <c r="K422" s="146">
        <v>44427</v>
      </c>
      <c r="L422" s="93">
        <v>44451</v>
      </c>
      <c r="M422" s="165" t="s">
        <v>1567</v>
      </c>
      <c r="N422" s="202" t="s">
        <v>1500</v>
      </c>
      <c r="O422" s="108" t="s">
        <v>523</v>
      </c>
      <c r="P422" s="107">
        <v>22382</v>
      </c>
      <c r="Q422" s="107"/>
      <c r="R422" s="241"/>
      <c r="S422" s="242"/>
      <c r="T422" s="107">
        <v>22382</v>
      </c>
      <c r="U422" s="93"/>
      <c r="V422" s="128"/>
      <c r="W422" s="172"/>
    </row>
    <row r="423" s="39" customFormat="1" ht="22" customHeight="1" spans="1:23">
      <c r="A423" s="142" t="s">
        <v>1568</v>
      </c>
      <c r="B423" s="174" t="s">
        <v>30</v>
      </c>
      <c r="C423" s="175"/>
      <c r="D423" s="229" t="s">
        <v>31</v>
      </c>
      <c r="E423" s="83" t="s">
        <v>1121</v>
      </c>
      <c r="F423" s="82">
        <f>IFERROR(VLOOKUP(E423,客户!B:C,2,FALSE),"/")</f>
        <v>0</v>
      </c>
      <c r="G423" s="73" t="s">
        <v>1419</v>
      </c>
      <c r="H423" s="45" t="s">
        <v>123</v>
      </c>
      <c r="I423" s="45" t="s">
        <v>215</v>
      </c>
      <c r="J423" s="110">
        <v>44364</v>
      </c>
      <c r="K423" s="146">
        <v>44415</v>
      </c>
      <c r="L423" s="93">
        <v>44433</v>
      </c>
      <c r="M423" s="165" t="s">
        <v>1569</v>
      </c>
      <c r="N423" s="110" t="s">
        <v>1570</v>
      </c>
      <c r="O423" s="108" t="s">
        <v>523</v>
      </c>
      <c r="P423" s="107">
        <v>58408.07</v>
      </c>
      <c r="Q423" s="107"/>
      <c r="R423" s="241"/>
      <c r="S423" s="242"/>
      <c r="T423" s="107">
        <v>58408.07</v>
      </c>
      <c r="U423" s="93"/>
      <c r="V423" s="128"/>
      <c r="W423" s="172"/>
    </row>
    <row r="424" s="39" customFormat="1" ht="22" customHeight="1" spans="1:23">
      <c r="A424" s="142" t="s">
        <v>1571</v>
      </c>
      <c r="B424" s="174" t="s">
        <v>30</v>
      </c>
      <c r="C424" s="175"/>
      <c r="D424" s="229" t="s">
        <v>31</v>
      </c>
      <c r="E424" s="83" t="s">
        <v>1121</v>
      </c>
      <c r="F424" s="82">
        <f>IFERROR(VLOOKUP(E424,客户!B:C,2,FALSE),"/")</f>
        <v>0</v>
      </c>
      <c r="G424" s="73" t="s">
        <v>1419</v>
      </c>
      <c r="H424" s="45" t="s">
        <v>123</v>
      </c>
      <c r="I424" s="45" t="s">
        <v>215</v>
      </c>
      <c r="J424" s="110">
        <v>44364</v>
      </c>
      <c r="K424" s="146">
        <v>44428</v>
      </c>
      <c r="L424" s="93">
        <v>44445</v>
      </c>
      <c r="M424" s="165" t="s">
        <v>1572</v>
      </c>
      <c r="N424" s="202" t="s">
        <v>1573</v>
      </c>
      <c r="O424" s="108" t="s">
        <v>523</v>
      </c>
      <c r="P424" s="107">
        <v>61378.9</v>
      </c>
      <c r="Q424" s="107">
        <v>10000</v>
      </c>
      <c r="R424" s="241"/>
      <c r="S424" s="242"/>
      <c r="T424" s="107">
        <v>51379</v>
      </c>
      <c r="U424" s="93"/>
      <c r="V424" s="128"/>
      <c r="W424" s="172"/>
    </row>
    <row r="425" s="39" customFormat="1" ht="22" customHeight="1" spans="1:23">
      <c r="A425" s="142" t="s">
        <v>1574</v>
      </c>
      <c r="B425" s="174" t="s">
        <v>30</v>
      </c>
      <c r="C425" s="175"/>
      <c r="D425" s="229" t="s">
        <v>31</v>
      </c>
      <c r="E425" s="83" t="s">
        <v>1238</v>
      </c>
      <c r="F425" s="82">
        <f>IFERROR(VLOOKUP(E425,客户!B:C,2,FALSE),"/")</f>
        <v>0</v>
      </c>
      <c r="G425" s="73" t="s">
        <v>941</v>
      </c>
      <c r="H425" s="45" t="s">
        <v>123</v>
      </c>
      <c r="I425" s="45" t="s">
        <v>760</v>
      </c>
      <c r="J425" s="110">
        <v>44366</v>
      </c>
      <c r="K425" s="110">
        <v>44406</v>
      </c>
      <c r="L425" s="196">
        <v>44441</v>
      </c>
      <c r="M425" s="165" t="s">
        <v>1575</v>
      </c>
      <c r="N425" s="202" t="s">
        <v>1576</v>
      </c>
      <c r="O425" s="108" t="s">
        <v>523</v>
      </c>
      <c r="P425" s="107">
        <v>29492.6</v>
      </c>
      <c r="Q425" s="107"/>
      <c r="R425" s="241"/>
      <c r="S425" s="242"/>
      <c r="T425" s="107">
        <v>16064.63</v>
      </c>
      <c r="U425" s="107">
        <v>13428</v>
      </c>
      <c r="V425" s="128"/>
      <c r="W425" s="172"/>
    </row>
    <row r="426" s="39" customFormat="1" ht="22" customHeight="1" spans="1:23">
      <c r="A426" s="143" t="s">
        <v>1577</v>
      </c>
      <c r="B426" s="174" t="s">
        <v>30</v>
      </c>
      <c r="C426" s="175"/>
      <c r="D426" s="229" t="s">
        <v>31</v>
      </c>
      <c r="E426" s="83" t="s">
        <v>1578</v>
      </c>
      <c r="F426" s="82">
        <f>IFERROR(VLOOKUP(E426,客户!B:C,2,FALSE),"/")</f>
        <v>0</v>
      </c>
      <c r="G426" s="73" t="s">
        <v>1579</v>
      </c>
      <c r="H426" s="45" t="s">
        <v>186</v>
      </c>
      <c r="I426" s="45"/>
      <c r="J426" s="110">
        <v>44375</v>
      </c>
      <c r="K426" s="146">
        <v>44399</v>
      </c>
      <c r="L426" s="93"/>
      <c r="M426" s="165" t="s">
        <v>1580</v>
      </c>
      <c r="N426" s="202" t="s">
        <v>1581</v>
      </c>
      <c r="O426" s="108" t="s">
        <v>970</v>
      </c>
      <c r="P426" s="240">
        <v>116600</v>
      </c>
      <c r="Q426" s="240">
        <v>20000</v>
      </c>
      <c r="R426" s="241"/>
      <c r="S426" s="242"/>
      <c r="T426" s="240">
        <v>96600</v>
      </c>
      <c r="U426" s="93"/>
      <c r="V426" s="128"/>
      <c r="W426" s="172"/>
    </row>
    <row r="427" s="39" customFormat="1" ht="22" customHeight="1" spans="1:23">
      <c r="A427" s="142" t="s">
        <v>1582</v>
      </c>
      <c r="B427" s="174" t="s">
        <v>30</v>
      </c>
      <c r="C427" s="175"/>
      <c r="D427" s="229" t="s">
        <v>31</v>
      </c>
      <c r="E427" s="83" t="s">
        <v>1238</v>
      </c>
      <c r="F427" s="82">
        <f>IFERROR(VLOOKUP(E427,客户!B:C,2,FALSE),"/")</f>
        <v>0</v>
      </c>
      <c r="G427" s="73" t="s">
        <v>941</v>
      </c>
      <c r="H427" s="45" t="s">
        <v>123</v>
      </c>
      <c r="I427" s="45" t="s">
        <v>760</v>
      </c>
      <c r="J427" s="110">
        <v>44378</v>
      </c>
      <c r="K427" s="146">
        <v>44426</v>
      </c>
      <c r="L427" s="93">
        <v>44470</v>
      </c>
      <c r="M427" s="165" t="s">
        <v>1583</v>
      </c>
      <c r="N427" s="202" t="s">
        <v>1584</v>
      </c>
      <c r="O427" s="108" t="s">
        <v>523</v>
      </c>
      <c r="P427" s="107">
        <v>29967.2</v>
      </c>
      <c r="Q427" s="240"/>
      <c r="R427" s="241"/>
      <c r="S427" s="242"/>
      <c r="T427" s="107">
        <v>16639.25</v>
      </c>
      <c r="U427" s="107">
        <v>13327.95</v>
      </c>
      <c r="V427" s="128" t="s">
        <v>1585</v>
      </c>
      <c r="W427" s="172"/>
    </row>
    <row r="428" s="39" customFormat="1" ht="22" customHeight="1" spans="1:23">
      <c r="A428" s="142" t="s">
        <v>1586</v>
      </c>
      <c r="B428" s="174" t="s">
        <v>30</v>
      </c>
      <c r="C428" s="175"/>
      <c r="D428" s="229" t="s">
        <v>31</v>
      </c>
      <c r="E428" s="83" t="s">
        <v>1167</v>
      </c>
      <c r="F428" s="82">
        <f>IFERROR(VLOOKUP(E428,客户!B:C,2,FALSE),"/")</f>
        <v>0</v>
      </c>
      <c r="G428" s="73" t="s">
        <v>1369</v>
      </c>
      <c r="H428" s="45" t="s">
        <v>123</v>
      </c>
      <c r="I428" s="45" t="s">
        <v>1370</v>
      </c>
      <c r="J428" s="110">
        <v>44382</v>
      </c>
      <c r="K428" s="146">
        <v>44424</v>
      </c>
      <c r="L428" s="93">
        <v>44496</v>
      </c>
      <c r="M428" s="165" t="s">
        <v>1587</v>
      </c>
      <c r="N428" s="202" t="s">
        <v>1588</v>
      </c>
      <c r="O428" s="108" t="s">
        <v>523</v>
      </c>
      <c r="P428" s="107">
        <v>34785.44</v>
      </c>
      <c r="Q428" s="107">
        <v>10900</v>
      </c>
      <c r="R428" s="241"/>
      <c r="S428" s="242"/>
      <c r="T428" s="107">
        <v>23885.44</v>
      </c>
      <c r="U428" s="93"/>
      <c r="V428" s="128"/>
      <c r="W428" s="172"/>
    </row>
    <row r="429" s="39" customFormat="1" ht="22" customHeight="1" spans="1:23">
      <c r="A429" s="142" t="s">
        <v>1589</v>
      </c>
      <c r="B429" s="174" t="s">
        <v>30</v>
      </c>
      <c r="C429" s="175"/>
      <c r="D429" s="229" t="s">
        <v>31</v>
      </c>
      <c r="E429" s="83" t="s">
        <v>1117</v>
      </c>
      <c r="F429" s="82">
        <f>IFERROR(VLOOKUP(E429,客户!B:C,2,FALSE),"/")</f>
        <v>0</v>
      </c>
      <c r="G429" s="73" t="s">
        <v>1590</v>
      </c>
      <c r="H429" s="45" t="s">
        <v>186</v>
      </c>
      <c r="I429" s="45"/>
      <c r="J429" s="110">
        <v>44384</v>
      </c>
      <c r="K429" s="146">
        <v>44405</v>
      </c>
      <c r="L429" s="93"/>
      <c r="M429" s="165" t="s">
        <v>1591</v>
      </c>
      <c r="N429" s="110"/>
      <c r="O429" s="108" t="s">
        <v>970</v>
      </c>
      <c r="P429" s="240">
        <v>17400</v>
      </c>
      <c r="Q429" s="107"/>
      <c r="R429" s="241"/>
      <c r="S429" s="242"/>
      <c r="T429" s="240">
        <v>17400</v>
      </c>
      <c r="U429" s="93"/>
      <c r="V429" s="128"/>
      <c r="W429" s="172"/>
    </row>
    <row r="430" s="39" customFormat="1" ht="22" customHeight="1" spans="1:23">
      <c r="A430" s="142" t="s">
        <v>1592</v>
      </c>
      <c r="B430" s="174" t="s">
        <v>30</v>
      </c>
      <c r="C430" s="175"/>
      <c r="D430" s="229" t="s">
        <v>31</v>
      </c>
      <c r="E430" s="83" t="s">
        <v>1121</v>
      </c>
      <c r="F430" s="82">
        <f>IFERROR(VLOOKUP(E430,客户!B:C,2,FALSE),"/")</f>
        <v>0</v>
      </c>
      <c r="G430" s="73" t="s">
        <v>1419</v>
      </c>
      <c r="H430" s="45" t="s">
        <v>123</v>
      </c>
      <c r="I430" s="45" t="s">
        <v>215</v>
      </c>
      <c r="J430" s="110">
        <v>44391</v>
      </c>
      <c r="K430" s="146">
        <v>44450</v>
      </c>
      <c r="L430" s="93">
        <v>44466</v>
      </c>
      <c r="M430" s="165" t="s">
        <v>1593</v>
      </c>
      <c r="N430" s="202" t="s">
        <v>1594</v>
      </c>
      <c r="O430" s="108" t="s">
        <v>523</v>
      </c>
      <c r="P430" s="107">
        <v>61063.21</v>
      </c>
      <c r="Q430" s="107"/>
      <c r="R430" s="241"/>
      <c r="S430" s="242"/>
      <c r="T430" s="107">
        <v>61063.21</v>
      </c>
      <c r="U430" s="93"/>
      <c r="V430" s="128"/>
      <c r="W430" s="172"/>
    </row>
    <row r="431" s="39" customFormat="1" ht="22" customHeight="1" spans="1:23">
      <c r="A431" s="142" t="s">
        <v>1595</v>
      </c>
      <c r="B431" s="174" t="s">
        <v>30</v>
      </c>
      <c r="C431" s="175"/>
      <c r="D431" s="229" t="s">
        <v>31</v>
      </c>
      <c r="E431" s="83" t="s">
        <v>1121</v>
      </c>
      <c r="F431" s="82">
        <f>IFERROR(VLOOKUP(E431,客户!B:C,2,FALSE),"/")</f>
        <v>0</v>
      </c>
      <c r="G431" s="73" t="s">
        <v>1419</v>
      </c>
      <c r="H431" s="45" t="s">
        <v>123</v>
      </c>
      <c r="I431" s="45" t="s">
        <v>215</v>
      </c>
      <c r="J431" s="110">
        <v>44391</v>
      </c>
      <c r="K431" s="146">
        <v>44466</v>
      </c>
      <c r="L431" s="93">
        <v>44481</v>
      </c>
      <c r="M431" s="165" t="s">
        <v>1596</v>
      </c>
      <c r="N431" s="202" t="s">
        <v>1597</v>
      </c>
      <c r="O431" s="108" t="s">
        <v>523</v>
      </c>
      <c r="P431" s="254">
        <v>61563.21</v>
      </c>
      <c r="Q431" s="107">
        <v>10000</v>
      </c>
      <c r="R431" s="241"/>
      <c r="S431" s="242"/>
      <c r="T431" s="254">
        <v>51563.21</v>
      </c>
      <c r="U431" s="93"/>
      <c r="V431" s="128"/>
      <c r="W431" s="172"/>
    </row>
    <row r="432" s="39" customFormat="1" ht="22" customHeight="1" spans="1:23">
      <c r="A432" s="142" t="s">
        <v>1598</v>
      </c>
      <c r="B432" s="174" t="s">
        <v>30</v>
      </c>
      <c r="C432" s="175"/>
      <c r="D432" s="229" t="s">
        <v>31</v>
      </c>
      <c r="E432" s="83" t="s">
        <v>1389</v>
      </c>
      <c r="F432" s="82">
        <f>IFERROR(VLOOKUP(E432,客户!B:C,2,FALSE),"/")</f>
        <v>0</v>
      </c>
      <c r="G432" s="73" t="s">
        <v>1599</v>
      </c>
      <c r="H432" s="45" t="s">
        <v>1600</v>
      </c>
      <c r="I432" s="45" t="s">
        <v>1078</v>
      </c>
      <c r="J432" s="110">
        <v>44392</v>
      </c>
      <c r="K432" s="146">
        <v>44436</v>
      </c>
      <c r="L432" s="93">
        <v>44444</v>
      </c>
      <c r="M432" s="165" t="s">
        <v>1601</v>
      </c>
      <c r="N432" s="202" t="s">
        <v>1602</v>
      </c>
      <c r="O432" s="108" t="s">
        <v>523</v>
      </c>
      <c r="P432" s="107">
        <v>28140.4</v>
      </c>
      <c r="Q432" s="107">
        <v>9440</v>
      </c>
      <c r="R432" s="241"/>
      <c r="S432" s="242"/>
      <c r="T432" s="107">
        <v>18700</v>
      </c>
      <c r="U432" s="93"/>
      <c r="V432" s="128"/>
      <c r="W432" s="172"/>
    </row>
    <row r="433" s="39" customFormat="1" ht="22" customHeight="1" spans="1:23">
      <c r="A433" s="142" t="s">
        <v>1603</v>
      </c>
      <c r="B433" s="174" t="s">
        <v>30</v>
      </c>
      <c r="C433" s="175"/>
      <c r="D433" s="229" t="s">
        <v>31</v>
      </c>
      <c r="E433" s="83" t="s">
        <v>1429</v>
      </c>
      <c r="F433" s="82">
        <f>IFERROR(VLOOKUP(E433,客户!B:C,2,FALSE),"/")</f>
        <v>0</v>
      </c>
      <c r="G433" s="73" t="s">
        <v>979</v>
      </c>
      <c r="H433" s="45" t="s">
        <v>1600</v>
      </c>
      <c r="I433" s="45" t="s">
        <v>1431</v>
      </c>
      <c r="J433" s="110">
        <v>44399</v>
      </c>
      <c r="K433" s="146">
        <v>44445</v>
      </c>
      <c r="L433" s="93">
        <v>44536</v>
      </c>
      <c r="M433" s="165" t="s">
        <v>1604</v>
      </c>
      <c r="N433" s="202" t="s">
        <v>1605</v>
      </c>
      <c r="O433" s="108" t="s">
        <v>523</v>
      </c>
      <c r="P433" s="107">
        <v>73179.26</v>
      </c>
      <c r="Q433" s="107"/>
      <c r="R433" s="241"/>
      <c r="S433" s="242"/>
      <c r="T433" s="107">
        <v>73179.26</v>
      </c>
      <c r="U433" s="107"/>
      <c r="V433" s="128"/>
      <c r="W433" s="172"/>
    </row>
    <row r="434" s="39" customFormat="1" ht="22" customHeight="1" spans="1:23">
      <c r="A434" s="142" t="s">
        <v>1606</v>
      </c>
      <c r="B434" s="174" t="s">
        <v>30</v>
      </c>
      <c r="C434" s="175"/>
      <c r="D434" s="229" t="s">
        <v>31</v>
      </c>
      <c r="E434" s="83" t="s">
        <v>1607</v>
      </c>
      <c r="F434" s="82">
        <f>IFERROR(VLOOKUP(E434,客户!B:C,2,FALSE),"/")</f>
        <v>0</v>
      </c>
      <c r="G434" s="83" t="s">
        <v>1608</v>
      </c>
      <c r="H434" s="45" t="s">
        <v>147</v>
      </c>
      <c r="I434" s="253" t="s">
        <v>1609</v>
      </c>
      <c r="J434" s="110">
        <v>44403</v>
      </c>
      <c r="K434" s="146">
        <v>44414</v>
      </c>
      <c r="L434" s="93"/>
      <c r="M434" s="165" t="s">
        <v>1610</v>
      </c>
      <c r="N434" s="110"/>
      <c r="O434" s="108" t="s">
        <v>970</v>
      </c>
      <c r="P434" s="107">
        <v>3063.46</v>
      </c>
      <c r="Q434" s="107"/>
      <c r="R434" s="241"/>
      <c r="S434" s="242"/>
      <c r="T434" s="107">
        <v>3045</v>
      </c>
      <c r="U434" s="107">
        <v>18.42</v>
      </c>
      <c r="V434" s="128"/>
      <c r="W434" s="172"/>
    </row>
    <row r="435" s="39" customFormat="1" ht="22" customHeight="1" spans="1:23">
      <c r="A435" s="252" t="s">
        <v>1611</v>
      </c>
      <c r="B435" s="174" t="s">
        <v>30</v>
      </c>
      <c r="C435" s="175"/>
      <c r="D435" s="229" t="s">
        <v>31</v>
      </c>
      <c r="E435" s="83" t="s">
        <v>1612</v>
      </c>
      <c r="F435" s="82">
        <f>IFERROR(VLOOKUP(E435,客户!B:C,2,FALSE),"/")</f>
        <v>0</v>
      </c>
      <c r="G435" s="83" t="s">
        <v>1613</v>
      </c>
      <c r="H435" s="45" t="s">
        <v>186</v>
      </c>
      <c r="I435" s="253"/>
      <c r="J435" s="110">
        <v>44405</v>
      </c>
      <c r="K435" s="146">
        <v>44448</v>
      </c>
      <c r="L435" s="93"/>
      <c r="M435" s="165"/>
      <c r="N435" s="202" t="s">
        <v>1614</v>
      </c>
      <c r="O435" s="108" t="s">
        <v>970</v>
      </c>
      <c r="P435" s="240">
        <f>16753.5+600</f>
        <v>17353.5</v>
      </c>
      <c r="Q435" s="240">
        <v>3600</v>
      </c>
      <c r="R435" s="241"/>
      <c r="S435" s="242"/>
      <c r="T435" s="240">
        <v>13189</v>
      </c>
      <c r="U435" s="240">
        <v>564</v>
      </c>
      <c r="V435" s="128"/>
      <c r="W435" s="172"/>
    </row>
    <row r="436" s="39" customFormat="1" ht="22" customHeight="1" spans="1:23">
      <c r="A436" s="142" t="s">
        <v>1615</v>
      </c>
      <c r="B436" s="174" t="s">
        <v>30</v>
      </c>
      <c r="C436" s="175"/>
      <c r="D436" s="229" t="s">
        <v>31</v>
      </c>
      <c r="E436" s="83" t="s">
        <v>1238</v>
      </c>
      <c r="F436" s="82">
        <f>IFERROR(VLOOKUP(E436,客户!B:C,2,FALSE),"/")</f>
        <v>0</v>
      </c>
      <c r="G436" s="83" t="s">
        <v>1616</v>
      </c>
      <c r="H436" s="45" t="s">
        <v>123</v>
      </c>
      <c r="I436" s="45" t="s">
        <v>1617</v>
      </c>
      <c r="J436" s="110">
        <v>44411</v>
      </c>
      <c r="K436" s="146">
        <v>44454</v>
      </c>
      <c r="L436" s="93">
        <v>44482</v>
      </c>
      <c r="M436" s="165" t="s">
        <v>1618</v>
      </c>
      <c r="N436" s="202" t="s">
        <v>1619</v>
      </c>
      <c r="O436" s="108" t="s">
        <v>523</v>
      </c>
      <c r="P436" s="107">
        <v>31995.94</v>
      </c>
      <c r="Q436" s="240"/>
      <c r="R436" s="241"/>
      <c r="S436" s="242"/>
      <c r="T436" s="107">
        <v>22000</v>
      </c>
      <c r="U436" s="107">
        <f>4682.05+5313.89</f>
        <v>9995.94</v>
      </c>
      <c r="V436" s="128"/>
      <c r="W436" s="172"/>
    </row>
    <row r="437" s="39" customFormat="1" ht="22" customHeight="1" spans="1:23">
      <c r="A437" s="142" t="s">
        <v>1620</v>
      </c>
      <c r="B437" s="174" t="s">
        <v>30</v>
      </c>
      <c r="C437" s="175"/>
      <c r="D437" s="229" t="s">
        <v>31</v>
      </c>
      <c r="E437" s="83" t="s">
        <v>1238</v>
      </c>
      <c r="F437" s="82">
        <f>IFERROR(VLOOKUP(E437,客户!B:C,2,FALSE),"/")</f>
        <v>0</v>
      </c>
      <c r="G437" s="83" t="s">
        <v>1616</v>
      </c>
      <c r="H437" s="45" t="s">
        <v>123</v>
      </c>
      <c r="I437" s="45" t="s">
        <v>1617</v>
      </c>
      <c r="J437" s="110">
        <v>44411</v>
      </c>
      <c r="K437" s="146">
        <v>44460</v>
      </c>
      <c r="L437" s="93">
        <v>44487</v>
      </c>
      <c r="M437" s="165" t="s">
        <v>1621</v>
      </c>
      <c r="N437" s="202" t="s">
        <v>1622</v>
      </c>
      <c r="O437" s="108" t="s">
        <v>523</v>
      </c>
      <c r="P437" s="107">
        <v>32795.28</v>
      </c>
      <c r="Q437" s="240"/>
      <c r="R437" s="241"/>
      <c r="S437" s="242"/>
      <c r="T437" s="107">
        <v>18137.13</v>
      </c>
      <c r="U437" s="107">
        <v>14658.15</v>
      </c>
      <c r="V437" s="128" t="s">
        <v>1623</v>
      </c>
      <c r="W437" s="172"/>
    </row>
    <row r="438" s="39" customFormat="1" ht="22" customHeight="1" spans="1:23">
      <c r="A438" s="142" t="s">
        <v>1624</v>
      </c>
      <c r="B438" s="174" t="s">
        <v>30</v>
      </c>
      <c r="C438" s="175"/>
      <c r="D438" s="229" t="s">
        <v>31</v>
      </c>
      <c r="E438" s="83" t="s">
        <v>1377</v>
      </c>
      <c r="F438" s="82">
        <f>IFERROR(VLOOKUP(E438,客户!B:C,2,FALSE),"/")</f>
        <v>0</v>
      </c>
      <c r="G438" s="83" t="s">
        <v>1625</v>
      </c>
      <c r="H438" s="45" t="s">
        <v>123</v>
      </c>
      <c r="I438" s="45" t="s">
        <v>1626</v>
      </c>
      <c r="J438" s="110">
        <v>44413</v>
      </c>
      <c r="K438" s="146">
        <v>44470</v>
      </c>
      <c r="L438" s="93">
        <v>44510</v>
      </c>
      <c r="M438" s="165" t="s">
        <v>1627</v>
      </c>
      <c r="N438" s="202" t="s">
        <v>1628</v>
      </c>
      <c r="O438" s="108" t="s">
        <v>523</v>
      </c>
      <c r="P438" s="107">
        <v>37318.45</v>
      </c>
      <c r="Q438" s="107">
        <v>3000</v>
      </c>
      <c r="R438" s="241"/>
      <c r="S438" s="242"/>
      <c r="T438" s="107">
        <v>34318.45</v>
      </c>
      <c r="U438" s="93"/>
      <c r="V438" s="128"/>
      <c r="W438" s="172"/>
    </row>
    <row r="439" s="39" customFormat="1" ht="22" customHeight="1" spans="1:23">
      <c r="A439" s="142" t="s">
        <v>1629</v>
      </c>
      <c r="B439" s="174" t="s">
        <v>30</v>
      </c>
      <c r="C439" s="175"/>
      <c r="D439" s="229" t="s">
        <v>31</v>
      </c>
      <c r="E439" s="83" t="s">
        <v>1257</v>
      </c>
      <c r="F439" s="82">
        <f>IFERROR(VLOOKUP(E439,客户!B:C,2,FALSE),"/")</f>
        <v>0</v>
      </c>
      <c r="G439" s="73" t="s">
        <v>941</v>
      </c>
      <c r="H439" s="45" t="s">
        <v>123</v>
      </c>
      <c r="I439" s="45" t="s">
        <v>751</v>
      </c>
      <c r="J439" s="110">
        <v>44414</v>
      </c>
      <c r="K439" s="146">
        <v>44454</v>
      </c>
      <c r="L439" s="93">
        <v>44491</v>
      </c>
      <c r="M439" s="165" t="s">
        <v>1630</v>
      </c>
      <c r="N439" s="202" t="s">
        <v>1631</v>
      </c>
      <c r="O439" s="108" t="s">
        <v>523</v>
      </c>
      <c r="P439" s="107">
        <v>32721.27</v>
      </c>
      <c r="Q439" s="107">
        <v>5822</v>
      </c>
      <c r="R439" s="241"/>
      <c r="S439" s="242"/>
      <c r="T439" s="107">
        <v>26899.27</v>
      </c>
      <c r="U439" s="93"/>
      <c r="V439" s="128"/>
      <c r="W439" s="172"/>
    </row>
    <row r="440" s="39" customFormat="1" ht="22" customHeight="1" spans="1:23">
      <c r="A440" s="142" t="s">
        <v>1632</v>
      </c>
      <c r="B440" s="174" t="s">
        <v>30</v>
      </c>
      <c r="C440" s="175"/>
      <c r="D440" s="229" t="s">
        <v>31</v>
      </c>
      <c r="E440" s="83" t="s">
        <v>1167</v>
      </c>
      <c r="F440" s="82">
        <f>IFERROR(VLOOKUP(E440,客户!B:C,2,FALSE),"/")</f>
        <v>0</v>
      </c>
      <c r="G440" s="73" t="s">
        <v>1369</v>
      </c>
      <c r="H440" s="45" t="s">
        <v>123</v>
      </c>
      <c r="I440" s="45" t="s">
        <v>1370</v>
      </c>
      <c r="J440" s="110">
        <v>44420</v>
      </c>
      <c r="K440" s="146">
        <v>44455</v>
      </c>
      <c r="L440" s="93">
        <v>44486</v>
      </c>
      <c r="M440" s="165" t="s">
        <v>1633</v>
      </c>
      <c r="N440" s="202" t="s">
        <v>1634</v>
      </c>
      <c r="O440" s="108" t="s">
        <v>523</v>
      </c>
      <c r="P440" s="107">
        <v>37399.07</v>
      </c>
      <c r="Q440" s="107">
        <f>6600+5100</f>
        <v>11700</v>
      </c>
      <c r="R440" s="241"/>
      <c r="S440" s="242"/>
      <c r="T440" s="107">
        <v>25699.07</v>
      </c>
      <c r="U440" s="93"/>
      <c r="V440" s="128"/>
      <c r="W440" s="172"/>
    </row>
    <row r="441" s="39" customFormat="1" ht="22" customHeight="1" spans="1:23">
      <c r="A441" s="142" t="s">
        <v>1635</v>
      </c>
      <c r="B441" s="174" t="s">
        <v>30</v>
      </c>
      <c r="C441" s="175"/>
      <c r="D441" s="229" t="s">
        <v>31</v>
      </c>
      <c r="E441" s="83" t="s">
        <v>1274</v>
      </c>
      <c r="F441" s="82">
        <f>IFERROR(VLOOKUP(E441,客户!B:C,2,FALSE),"/")</f>
        <v>0</v>
      </c>
      <c r="G441" s="73" t="s">
        <v>941</v>
      </c>
      <c r="H441" s="45" t="s">
        <v>123</v>
      </c>
      <c r="I441" s="45" t="s">
        <v>1636</v>
      </c>
      <c r="J441" s="110">
        <v>44425</v>
      </c>
      <c r="K441" s="146">
        <v>44511</v>
      </c>
      <c r="L441" s="93">
        <v>44538</v>
      </c>
      <c r="M441" s="165" t="s">
        <v>1637</v>
      </c>
      <c r="N441" s="202" t="s">
        <v>1638</v>
      </c>
      <c r="O441" s="108" t="s">
        <v>523</v>
      </c>
      <c r="P441" s="107">
        <v>24562</v>
      </c>
      <c r="Q441" s="107"/>
      <c r="R441" s="241"/>
      <c r="S441" s="242"/>
      <c r="T441" s="107">
        <v>24562</v>
      </c>
      <c r="U441" s="93"/>
      <c r="V441" s="128"/>
      <c r="W441" s="172"/>
    </row>
    <row r="442" s="39" customFormat="1" ht="22" customHeight="1" spans="1:23">
      <c r="A442" s="142" t="s">
        <v>1639</v>
      </c>
      <c r="B442" s="174" t="s">
        <v>30</v>
      </c>
      <c r="C442" s="175"/>
      <c r="D442" s="229" t="s">
        <v>31</v>
      </c>
      <c r="E442" s="83" t="s">
        <v>1117</v>
      </c>
      <c r="F442" s="82">
        <f>IFERROR(VLOOKUP(E442,客户!B:C,2,FALSE),"/")</f>
        <v>0</v>
      </c>
      <c r="G442" s="73" t="s">
        <v>1640</v>
      </c>
      <c r="H442" s="45" t="s">
        <v>186</v>
      </c>
      <c r="I442" s="45"/>
      <c r="J442" s="110">
        <v>44433</v>
      </c>
      <c r="K442" s="146">
        <v>44448</v>
      </c>
      <c r="L442" s="93"/>
      <c r="M442" s="165" t="s">
        <v>1641</v>
      </c>
      <c r="N442" s="110"/>
      <c r="O442" s="108" t="s">
        <v>970</v>
      </c>
      <c r="P442" s="240">
        <v>17850</v>
      </c>
      <c r="Q442" s="107"/>
      <c r="R442" s="241"/>
      <c r="S442" s="242"/>
      <c r="T442" s="240">
        <v>17850</v>
      </c>
      <c r="U442" s="93"/>
      <c r="V442" s="128"/>
      <c r="W442" s="172"/>
    </row>
    <row r="443" s="39" customFormat="1" ht="22" customHeight="1" spans="1:23">
      <c r="A443" s="142" t="s">
        <v>1642</v>
      </c>
      <c r="B443" s="174" t="s">
        <v>30</v>
      </c>
      <c r="C443" s="175"/>
      <c r="D443" s="229" t="s">
        <v>31</v>
      </c>
      <c r="E443" s="83" t="s">
        <v>1167</v>
      </c>
      <c r="F443" s="82">
        <f>IFERROR(VLOOKUP(E443,客户!B:C,2,FALSE),"/")</f>
        <v>0</v>
      </c>
      <c r="G443" s="73" t="s">
        <v>1369</v>
      </c>
      <c r="H443" s="45" t="s">
        <v>123</v>
      </c>
      <c r="I443" s="45" t="s">
        <v>1370</v>
      </c>
      <c r="J443" s="110">
        <v>44433</v>
      </c>
      <c r="K443" s="146">
        <v>44485</v>
      </c>
      <c r="L443" s="93">
        <v>44546</v>
      </c>
      <c r="M443" s="165" t="s">
        <v>1643</v>
      </c>
      <c r="N443" s="202" t="s">
        <v>1644</v>
      </c>
      <c r="O443" s="108" t="s">
        <v>523</v>
      </c>
      <c r="P443" s="107">
        <v>34602.13</v>
      </c>
      <c r="Q443" s="107">
        <v>10400</v>
      </c>
      <c r="R443" s="241"/>
      <c r="S443" s="242"/>
      <c r="T443" s="107">
        <v>24202.13</v>
      </c>
      <c r="U443" s="93"/>
      <c r="V443" s="128"/>
      <c r="W443" s="172"/>
    </row>
    <row r="444" s="39" customFormat="1" ht="22" customHeight="1" spans="1:23">
      <c r="A444" s="142" t="s">
        <v>1645</v>
      </c>
      <c r="B444" s="174" t="s">
        <v>30</v>
      </c>
      <c r="C444" s="175"/>
      <c r="D444" s="229" t="s">
        <v>31</v>
      </c>
      <c r="E444" s="83" t="s">
        <v>1121</v>
      </c>
      <c r="F444" s="82">
        <f>IFERROR(VLOOKUP(E444,客户!B:C,2,FALSE),"/")</f>
        <v>0</v>
      </c>
      <c r="G444" s="73" t="s">
        <v>1419</v>
      </c>
      <c r="H444" s="45" t="s">
        <v>123</v>
      </c>
      <c r="I444" s="45" t="s">
        <v>215</v>
      </c>
      <c r="J444" s="110">
        <v>44434</v>
      </c>
      <c r="K444" s="146">
        <v>44492</v>
      </c>
      <c r="L444" s="93">
        <v>44509</v>
      </c>
      <c r="M444" s="165" t="s">
        <v>1646</v>
      </c>
      <c r="N444" s="202" t="s">
        <v>1647</v>
      </c>
      <c r="O444" s="108" t="s">
        <v>523</v>
      </c>
      <c r="P444" s="107">
        <v>61451.64</v>
      </c>
      <c r="Q444" s="107"/>
      <c r="R444" s="241"/>
      <c r="S444" s="242"/>
      <c r="T444" s="107">
        <v>61451.64</v>
      </c>
      <c r="U444" s="93"/>
      <c r="V444" s="128"/>
      <c r="W444" s="172"/>
    </row>
    <row r="445" s="39" customFormat="1" ht="22" customHeight="1" spans="1:23">
      <c r="A445" s="142" t="s">
        <v>1648</v>
      </c>
      <c r="B445" s="174" t="s">
        <v>30</v>
      </c>
      <c r="C445" s="175"/>
      <c r="D445" s="229" t="s">
        <v>31</v>
      </c>
      <c r="E445" s="83" t="s">
        <v>1121</v>
      </c>
      <c r="F445" s="82">
        <f>IFERROR(VLOOKUP(E445,客户!B:C,2,FALSE),"/")</f>
        <v>0</v>
      </c>
      <c r="G445" s="73" t="s">
        <v>1419</v>
      </c>
      <c r="H445" s="45" t="s">
        <v>123</v>
      </c>
      <c r="I445" s="45" t="s">
        <v>215</v>
      </c>
      <c r="J445" s="110">
        <v>44434</v>
      </c>
      <c r="K445" s="146">
        <v>44500</v>
      </c>
      <c r="L445" s="93">
        <v>44516</v>
      </c>
      <c r="M445" s="165" t="s">
        <v>1649</v>
      </c>
      <c r="N445" s="202" t="s">
        <v>1650</v>
      </c>
      <c r="O445" s="108" t="s">
        <v>523</v>
      </c>
      <c r="P445" s="107">
        <v>60927</v>
      </c>
      <c r="Q445" s="107">
        <v>10000</v>
      </c>
      <c r="R445" s="241"/>
      <c r="S445" s="242"/>
      <c r="T445" s="107">
        <v>50927</v>
      </c>
      <c r="U445" s="93"/>
      <c r="V445" s="128"/>
      <c r="W445" s="172"/>
    </row>
    <row r="446" s="39" customFormat="1" ht="21" customHeight="1" spans="1:23">
      <c r="A446" s="143" t="s">
        <v>1651</v>
      </c>
      <c r="B446" s="174" t="s">
        <v>30</v>
      </c>
      <c r="C446" s="175"/>
      <c r="D446" s="229" t="s">
        <v>31</v>
      </c>
      <c r="E446" s="83" t="s">
        <v>1249</v>
      </c>
      <c r="F446" s="82">
        <f>IFERROR(VLOOKUP(E446,客户!B:C,2,FALSE),"/")</f>
        <v>0</v>
      </c>
      <c r="G446" s="73" t="s">
        <v>941</v>
      </c>
      <c r="H446" s="45" t="s">
        <v>123</v>
      </c>
      <c r="I446" s="45" t="s">
        <v>1250</v>
      </c>
      <c r="J446" s="110">
        <v>44435</v>
      </c>
      <c r="K446" s="146">
        <v>44470</v>
      </c>
      <c r="L446" s="93">
        <v>44510</v>
      </c>
      <c r="M446" s="165" t="s">
        <v>1652</v>
      </c>
      <c r="N446" s="202" t="s">
        <v>1653</v>
      </c>
      <c r="O446" s="108" t="s">
        <v>523</v>
      </c>
      <c r="P446" s="107">
        <v>24038.93</v>
      </c>
      <c r="Q446" s="107">
        <v>7212</v>
      </c>
      <c r="R446" s="241"/>
      <c r="S446" s="242"/>
      <c r="T446" s="107">
        <v>16826.93</v>
      </c>
      <c r="U446" s="93"/>
      <c r="V446" s="128"/>
      <c r="W446" s="172"/>
    </row>
    <row r="447" s="39" customFormat="1" ht="22" customHeight="1" spans="1:23">
      <c r="A447" s="142" t="s">
        <v>1654</v>
      </c>
      <c r="B447" s="174" t="s">
        <v>30</v>
      </c>
      <c r="C447" s="175"/>
      <c r="D447" s="229" t="s">
        <v>31</v>
      </c>
      <c r="E447" s="83" t="s">
        <v>1117</v>
      </c>
      <c r="F447" s="82">
        <f>IFERROR(VLOOKUP(E447,客户!B:C,2,FALSE),"/")</f>
        <v>0</v>
      </c>
      <c r="G447" s="73" t="s">
        <v>941</v>
      </c>
      <c r="H447" s="45" t="s">
        <v>123</v>
      </c>
      <c r="I447" s="45" t="s">
        <v>1655</v>
      </c>
      <c r="J447" s="110">
        <v>44446</v>
      </c>
      <c r="K447" s="146">
        <v>44486</v>
      </c>
      <c r="L447" s="93"/>
      <c r="M447" s="165" t="s">
        <v>1656</v>
      </c>
      <c r="N447" s="202" t="s">
        <v>1657</v>
      </c>
      <c r="O447" s="108" t="s">
        <v>970</v>
      </c>
      <c r="P447" s="107">
        <v>30681.26</v>
      </c>
      <c r="Q447" s="107"/>
      <c r="R447" s="241"/>
      <c r="S447" s="242"/>
      <c r="T447" s="205">
        <v>13395</v>
      </c>
      <c r="U447" s="93"/>
      <c r="V447" s="218" t="s">
        <v>1658</v>
      </c>
      <c r="W447" s="172"/>
    </row>
    <row r="448" s="39" customFormat="1" ht="22" customHeight="1" spans="1:23">
      <c r="A448" s="190" t="s">
        <v>1659</v>
      </c>
      <c r="B448" s="174" t="s">
        <v>30</v>
      </c>
      <c r="C448" s="175"/>
      <c r="D448" s="229" t="s">
        <v>31</v>
      </c>
      <c r="E448" s="83" t="s">
        <v>1607</v>
      </c>
      <c r="F448" s="82">
        <f>IFERROR(VLOOKUP(E448,客户!B:C,2,FALSE),"/")</f>
        <v>0</v>
      </c>
      <c r="G448" s="83" t="s">
        <v>1608</v>
      </c>
      <c r="H448" s="45" t="s">
        <v>147</v>
      </c>
      <c r="I448" s="253" t="s">
        <v>1609</v>
      </c>
      <c r="J448" s="110">
        <v>44447</v>
      </c>
      <c r="K448" s="146">
        <v>44462</v>
      </c>
      <c r="L448" s="93"/>
      <c r="M448" s="165" t="s">
        <v>1660</v>
      </c>
      <c r="N448" s="110"/>
      <c r="O448" s="108" t="s">
        <v>970</v>
      </c>
      <c r="P448" s="107">
        <v>4498.2</v>
      </c>
      <c r="Q448" s="107"/>
      <c r="R448" s="241"/>
      <c r="S448" s="242"/>
      <c r="T448" s="107">
        <v>4498.2</v>
      </c>
      <c r="U448" s="93"/>
      <c r="V448" s="128"/>
      <c r="W448" s="172"/>
    </row>
    <row r="449" s="39" customFormat="1" ht="22" customHeight="1" spans="1:23">
      <c r="A449" s="142" t="s">
        <v>1661</v>
      </c>
      <c r="B449" s="174" t="s">
        <v>30</v>
      </c>
      <c r="C449" s="175"/>
      <c r="D449" s="229" t="s">
        <v>31</v>
      </c>
      <c r="E449" s="83" t="s">
        <v>1238</v>
      </c>
      <c r="F449" s="82">
        <f>IFERROR(VLOOKUP(E449,客户!B:C,2,FALSE),"/")</f>
        <v>0</v>
      </c>
      <c r="G449" s="83" t="s">
        <v>1616</v>
      </c>
      <c r="H449" s="45" t="s">
        <v>123</v>
      </c>
      <c r="I449" s="45" t="s">
        <v>1662</v>
      </c>
      <c r="J449" s="110">
        <v>44447</v>
      </c>
      <c r="K449" s="146">
        <v>44503</v>
      </c>
      <c r="L449" s="93">
        <v>44542</v>
      </c>
      <c r="M449" s="165" t="s">
        <v>1663</v>
      </c>
      <c r="N449" s="202" t="s">
        <v>1664</v>
      </c>
      <c r="O449" s="108" t="s">
        <v>523</v>
      </c>
      <c r="P449" s="107">
        <v>33264.55</v>
      </c>
      <c r="Q449" s="107"/>
      <c r="R449" s="241"/>
      <c r="S449" s="242"/>
      <c r="T449" s="107">
        <v>22980</v>
      </c>
      <c r="U449" s="107">
        <v>10284.55</v>
      </c>
      <c r="V449" s="128" t="s">
        <v>1665</v>
      </c>
      <c r="W449" s="172"/>
    </row>
    <row r="450" s="39" customFormat="1" ht="22" customHeight="1" spans="1:23">
      <c r="A450" s="142" t="s">
        <v>1666</v>
      </c>
      <c r="B450" s="174" t="s">
        <v>30</v>
      </c>
      <c r="C450" s="175"/>
      <c r="D450" s="229" t="s">
        <v>31</v>
      </c>
      <c r="E450" s="83" t="s">
        <v>1238</v>
      </c>
      <c r="F450" s="82">
        <f>IFERROR(VLOOKUP(E450,客户!B:C,2,FALSE),"/")</f>
        <v>0</v>
      </c>
      <c r="G450" s="83" t="s">
        <v>1616</v>
      </c>
      <c r="H450" s="45" t="s">
        <v>123</v>
      </c>
      <c r="I450" s="45" t="s">
        <v>1662</v>
      </c>
      <c r="J450" s="110">
        <v>44447</v>
      </c>
      <c r="K450" s="146">
        <v>44512</v>
      </c>
      <c r="L450" s="93">
        <v>44543</v>
      </c>
      <c r="M450" s="165" t="s">
        <v>1667</v>
      </c>
      <c r="N450" s="202" t="s">
        <v>1668</v>
      </c>
      <c r="O450" s="108" t="s">
        <v>523</v>
      </c>
      <c r="P450" s="107">
        <v>30699.02</v>
      </c>
      <c r="Q450" s="107"/>
      <c r="R450" s="241"/>
      <c r="S450" s="242"/>
      <c r="T450" s="107">
        <v>21776.57</v>
      </c>
      <c r="U450" s="107">
        <v>8922.45</v>
      </c>
      <c r="V450" s="219" t="s">
        <v>1669</v>
      </c>
      <c r="W450" s="172"/>
    </row>
    <row r="451" s="39" customFormat="1" ht="22" customHeight="1" spans="1:23">
      <c r="A451" s="142" t="s">
        <v>1670</v>
      </c>
      <c r="B451" s="174" t="s">
        <v>30</v>
      </c>
      <c r="C451" s="175"/>
      <c r="D451" s="229" t="s">
        <v>31</v>
      </c>
      <c r="E451" s="83" t="s">
        <v>1210</v>
      </c>
      <c r="F451" s="82">
        <f>IFERROR(VLOOKUP(E451,客户!B:C,2,FALSE),"/")</f>
        <v>0</v>
      </c>
      <c r="G451" s="83" t="s">
        <v>1671</v>
      </c>
      <c r="H451" s="45"/>
      <c r="I451" s="45" t="s">
        <v>1672</v>
      </c>
      <c r="J451" s="110">
        <v>44448</v>
      </c>
      <c r="K451" s="146">
        <v>44507</v>
      </c>
      <c r="L451" s="93"/>
      <c r="M451" s="165" t="s">
        <v>1673</v>
      </c>
      <c r="N451" s="202" t="s">
        <v>1674</v>
      </c>
      <c r="O451" s="108" t="s">
        <v>523</v>
      </c>
      <c r="P451" s="107">
        <v>4405.68</v>
      </c>
      <c r="Q451" s="107"/>
      <c r="R451" s="241"/>
      <c r="S451" s="242"/>
      <c r="T451" s="107">
        <v>4405.68</v>
      </c>
      <c r="U451" s="93"/>
      <c r="V451" s="219" t="s">
        <v>1675</v>
      </c>
      <c r="W451" s="172"/>
    </row>
    <row r="452" s="39" customFormat="1" ht="22" customHeight="1" spans="1:23">
      <c r="A452" s="142" t="s">
        <v>1676</v>
      </c>
      <c r="B452" s="174" t="s">
        <v>30</v>
      </c>
      <c r="C452" s="175"/>
      <c r="D452" s="229" t="s">
        <v>31</v>
      </c>
      <c r="E452" s="83" t="s">
        <v>1167</v>
      </c>
      <c r="F452" s="82">
        <f>IFERROR(VLOOKUP(E452,客户!B:C,2,FALSE),"/")</f>
        <v>0</v>
      </c>
      <c r="G452" s="73" t="s">
        <v>1369</v>
      </c>
      <c r="H452" s="45" t="s">
        <v>123</v>
      </c>
      <c r="I452" s="45" t="s">
        <v>1370</v>
      </c>
      <c r="J452" s="110">
        <v>44454</v>
      </c>
      <c r="K452" s="146">
        <v>44548</v>
      </c>
      <c r="L452" s="93"/>
      <c r="M452" s="165" t="s">
        <v>1677</v>
      </c>
      <c r="N452" s="202" t="s">
        <v>1678</v>
      </c>
      <c r="O452" s="108" t="s">
        <v>523</v>
      </c>
      <c r="P452" s="107">
        <v>34964.34</v>
      </c>
      <c r="Q452" s="107">
        <v>10300</v>
      </c>
      <c r="R452" s="241"/>
      <c r="S452" s="242"/>
      <c r="T452" s="107">
        <v>24664.34</v>
      </c>
      <c r="U452" s="93"/>
      <c r="V452" s="128"/>
      <c r="W452" s="172"/>
    </row>
    <row r="453" s="39" customFormat="1" ht="22" customHeight="1" spans="1:23">
      <c r="A453" s="142" t="s">
        <v>1679</v>
      </c>
      <c r="B453" s="174" t="s">
        <v>30</v>
      </c>
      <c r="C453" s="175"/>
      <c r="D453" s="229" t="s">
        <v>31</v>
      </c>
      <c r="E453" s="83" t="s">
        <v>1377</v>
      </c>
      <c r="F453" s="82">
        <f>IFERROR(VLOOKUP(E453,客户!B:C,2,FALSE),"/")</f>
        <v>0</v>
      </c>
      <c r="G453" s="73" t="s">
        <v>1680</v>
      </c>
      <c r="H453" s="45" t="s">
        <v>123</v>
      </c>
      <c r="I453" s="45" t="s">
        <v>1626</v>
      </c>
      <c r="J453" s="110">
        <v>44455</v>
      </c>
      <c r="K453" s="146">
        <v>44527</v>
      </c>
      <c r="L453" s="93">
        <v>44577</v>
      </c>
      <c r="M453" s="165" t="s">
        <v>1681</v>
      </c>
      <c r="N453" s="202" t="s">
        <v>1682</v>
      </c>
      <c r="O453" s="108" t="s">
        <v>523</v>
      </c>
      <c r="P453" s="107">
        <v>37352</v>
      </c>
      <c r="Q453" s="107">
        <v>6000</v>
      </c>
      <c r="R453" s="241"/>
      <c r="S453" s="242"/>
      <c r="T453" s="107">
        <v>31352</v>
      </c>
      <c r="U453" s="93"/>
      <c r="V453" s="128"/>
      <c r="W453" s="172"/>
    </row>
    <row r="454" s="39" customFormat="1" ht="22" customHeight="1" spans="1:23">
      <c r="A454" s="142" t="s">
        <v>1683</v>
      </c>
      <c r="B454" s="174" t="s">
        <v>30</v>
      </c>
      <c r="C454" s="175"/>
      <c r="D454" s="229" t="s">
        <v>31</v>
      </c>
      <c r="E454" s="83" t="s">
        <v>1508</v>
      </c>
      <c r="F454" s="82">
        <f>IFERROR(VLOOKUP(E454,客户!B:C,2,FALSE),"/")</f>
        <v>0</v>
      </c>
      <c r="G454" s="73" t="s">
        <v>941</v>
      </c>
      <c r="H454" s="45" t="s">
        <v>123</v>
      </c>
      <c r="I454" s="45" t="s">
        <v>1684</v>
      </c>
      <c r="J454" s="110">
        <v>44459</v>
      </c>
      <c r="K454" s="146">
        <v>44535</v>
      </c>
      <c r="L454" s="93">
        <v>44599</v>
      </c>
      <c r="M454" s="165" t="s">
        <v>1685</v>
      </c>
      <c r="N454" s="202" t="s">
        <v>1686</v>
      </c>
      <c r="O454" s="108" t="s">
        <v>523</v>
      </c>
      <c r="P454" s="107">
        <v>32165.35</v>
      </c>
      <c r="Q454" s="107">
        <v>9000</v>
      </c>
      <c r="R454" s="241"/>
      <c r="S454" s="242"/>
      <c r="T454" s="107">
        <v>23165.35</v>
      </c>
      <c r="U454" s="93"/>
      <c r="V454" s="128"/>
      <c r="W454" s="172"/>
    </row>
    <row r="455" s="39" customFormat="1" ht="22" customHeight="1" spans="1:23">
      <c r="A455" s="142" t="s">
        <v>1687</v>
      </c>
      <c r="B455" s="174" t="s">
        <v>30</v>
      </c>
      <c r="C455" s="175"/>
      <c r="D455" s="229" t="s">
        <v>31</v>
      </c>
      <c r="E455" s="83" t="s">
        <v>1508</v>
      </c>
      <c r="F455" s="82">
        <f>IFERROR(VLOOKUP(E455,客户!B:C,2,FALSE),"/")</f>
        <v>0</v>
      </c>
      <c r="G455" s="73" t="s">
        <v>941</v>
      </c>
      <c r="H455" s="45" t="s">
        <v>123</v>
      </c>
      <c r="I455" s="45" t="s">
        <v>1546</v>
      </c>
      <c r="J455" s="110">
        <v>44459</v>
      </c>
      <c r="K455" s="146">
        <v>44542</v>
      </c>
      <c r="L455" s="93">
        <v>44592</v>
      </c>
      <c r="M455" s="165" t="s">
        <v>1688</v>
      </c>
      <c r="N455" s="202" t="s">
        <v>1689</v>
      </c>
      <c r="O455" s="108" t="s">
        <v>523</v>
      </c>
      <c r="P455" s="107">
        <v>31515.35</v>
      </c>
      <c r="Q455" s="107">
        <v>9000</v>
      </c>
      <c r="R455" s="241"/>
      <c r="S455" s="242"/>
      <c r="T455" s="107">
        <v>22515.35</v>
      </c>
      <c r="U455" s="93"/>
      <c r="V455" s="128"/>
      <c r="W455" s="172"/>
    </row>
    <row r="456" s="39" customFormat="1" ht="22" customHeight="1" spans="1:23">
      <c r="A456" s="142" t="s">
        <v>1690</v>
      </c>
      <c r="B456" s="174" t="s">
        <v>30</v>
      </c>
      <c r="C456" s="175"/>
      <c r="D456" s="229" t="s">
        <v>31</v>
      </c>
      <c r="E456" s="83" t="s">
        <v>1508</v>
      </c>
      <c r="F456" s="82">
        <f>IFERROR(VLOOKUP(E456,客户!B:C,2,FALSE),"/")</f>
        <v>0</v>
      </c>
      <c r="G456" s="73" t="s">
        <v>941</v>
      </c>
      <c r="H456" s="45" t="s">
        <v>123</v>
      </c>
      <c r="I456" s="45" t="s">
        <v>560</v>
      </c>
      <c r="J456" s="110">
        <v>44459</v>
      </c>
      <c r="K456" s="146">
        <v>44552</v>
      </c>
      <c r="L456" s="93">
        <v>44602</v>
      </c>
      <c r="M456" s="165" t="s">
        <v>1691</v>
      </c>
      <c r="N456" s="202" t="s">
        <v>1692</v>
      </c>
      <c r="O456" s="108" t="s">
        <v>523</v>
      </c>
      <c r="P456" s="107">
        <v>32165.35</v>
      </c>
      <c r="Q456" s="107">
        <v>9000</v>
      </c>
      <c r="R456" s="241"/>
      <c r="S456" s="242"/>
      <c r="T456" s="107">
        <v>23165.35</v>
      </c>
      <c r="U456" s="93"/>
      <c r="V456" s="128"/>
      <c r="W456" s="172"/>
    </row>
    <row r="457" s="39" customFormat="1" ht="22" customHeight="1" spans="1:23">
      <c r="A457" s="142" t="s">
        <v>1693</v>
      </c>
      <c r="B457" s="174" t="s">
        <v>30</v>
      </c>
      <c r="C457" s="175"/>
      <c r="D457" s="229" t="s">
        <v>31</v>
      </c>
      <c r="E457" s="83" t="s">
        <v>1326</v>
      </c>
      <c r="F457" s="82">
        <f>IFERROR(VLOOKUP(E457,客户!B:C,2,FALSE),"/")</f>
        <v>0</v>
      </c>
      <c r="G457" s="73" t="s">
        <v>1202</v>
      </c>
      <c r="H457" s="45" t="s">
        <v>123</v>
      </c>
      <c r="I457" s="45" t="s">
        <v>755</v>
      </c>
      <c r="J457" s="110">
        <v>44462</v>
      </c>
      <c r="K457" s="146">
        <v>44549</v>
      </c>
      <c r="L457" s="93">
        <v>44623</v>
      </c>
      <c r="M457" s="165" t="s">
        <v>1694</v>
      </c>
      <c r="N457" s="202" t="s">
        <v>1695</v>
      </c>
      <c r="O457" s="108" t="s">
        <v>523</v>
      </c>
      <c r="P457" s="107">
        <v>28371</v>
      </c>
      <c r="Q457" s="107">
        <v>5674</v>
      </c>
      <c r="R457" s="241"/>
      <c r="S457" s="242"/>
      <c r="T457" s="107">
        <v>22697</v>
      </c>
      <c r="U457" s="93"/>
      <c r="V457" s="128"/>
      <c r="W457" s="172"/>
    </row>
    <row r="458" s="39" customFormat="1" ht="22" customHeight="1" spans="1:23">
      <c r="A458" s="142" t="s">
        <v>1696</v>
      </c>
      <c r="B458" s="174" t="s">
        <v>30</v>
      </c>
      <c r="C458" s="175"/>
      <c r="D458" s="229" t="s">
        <v>31</v>
      </c>
      <c r="E458" s="83" t="s">
        <v>1265</v>
      </c>
      <c r="F458" s="82" t="str">
        <f>IFERROR(VLOOKUP(E458,客户!B:C,2,FALSE),"/")</f>
        <v>外送费用945人民币+装箱费用 加在发票里</v>
      </c>
      <c r="G458" s="73" t="s">
        <v>1286</v>
      </c>
      <c r="H458" s="45" t="s">
        <v>123</v>
      </c>
      <c r="I458" s="45" t="s">
        <v>1697</v>
      </c>
      <c r="J458" s="110">
        <v>44463</v>
      </c>
      <c r="K458" s="146">
        <v>44526</v>
      </c>
      <c r="L458" s="93">
        <v>44572</v>
      </c>
      <c r="M458" s="165" t="s">
        <v>1698</v>
      </c>
      <c r="N458" s="202" t="s">
        <v>1699</v>
      </c>
      <c r="O458" s="108" t="s">
        <v>680</v>
      </c>
      <c r="P458" s="107">
        <v>101350.27</v>
      </c>
      <c r="Q458" s="107"/>
      <c r="R458" s="241"/>
      <c r="S458" s="242"/>
      <c r="T458" s="107">
        <v>101350.27</v>
      </c>
      <c r="U458" s="93"/>
      <c r="V458" s="128"/>
      <c r="W458" s="172"/>
    </row>
    <row r="459" s="39" customFormat="1" ht="22" customHeight="1" spans="1:23">
      <c r="A459" s="142" t="s">
        <v>1700</v>
      </c>
      <c r="B459" s="174" t="s">
        <v>30</v>
      </c>
      <c r="C459" s="175"/>
      <c r="D459" s="229" t="s">
        <v>31</v>
      </c>
      <c r="E459" s="83" t="s">
        <v>1265</v>
      </c>
      <c r="F459" s="82" t="str">
        <f>IFERROR(VLOOKUP(E459,客户!B:C,2,FALSE),"/")</f>
        <v>外送费用945人民币+装箱费用 加在发票里</v>
      </c>
      <c r="G459" s="73" t="s">
        <v>1286</v>
      </c>
      <c r="H459" s="45" t="s">
        <v>123</v>
      </c>
      <c r="I459" s="45" t="s">
        <v>1697</v>
      </c>
      <c r="J459" s="110">
        <v>44463</v>
      </c>
      <c r="K459" s="146">
        <v>44570</v>
      </c>
      <c r="L459" s="93">
        <v>44602</v>
      </c>
      <c r="M459" s="165" t="s">
        <v>1701</v>
      </c>
      <c r="N459" s="202" t="s">
        <v>1702</v>
      </c>
      <c r="O459" s="108" t="s">
        <v>680</v>
      </c>
      <c r="P459" s="107">
        <v>104996.4</v>
      </c>
      <c r="Q459" s="107"/>
      <c r="R459" s="241"/>
      <c r="S459" s="242"/>
      <c r="T459" s="107">
        <v>104996.4</v>
      </c>
      <c r="U459" s="93"/>
      <c r="V459" s="128"/>
      <c r="W459" s="172"/>
    </row>
    <row r="460" s="39" customFormat="1" ht="22" customHeight="1" spans="1:23">
      <c r="A460" s="142" t="s">
        <v>1703</v>
      </c>
      <c r="B460" s="174" t="s">
        <v>30</v>
      </c>
      <c r="C460" s="175"/>
      <c r="D460" s="229" t="s">
        <v>31</v>
      </c>
      <c r="E460" s="83" t="s">
        <v>1265</v>
      </c>
      <c r="F460" s="82" t="str">
        <f>IFERROR(VLOOKUP(E460,客户!B:C,2,FALSE),"/")</f>
        <v>外送费用945人民币+装箱费用 加在发票里</v>
      </c>
      <c r="G460" s="73" t="s">
        <v>1704</v>
      </c>
      <c r="H460" s="45" t="s">
        <v>123</v>
      </c>
      <c r="I460" s="45" t="s">
        <v>1280</v>
      </c>
      <c r="J460" s="110">
        <v>44463</v>
      </c>
      <c r="K460" s="146">
        <v>44526</v>
      </c>
      <c r="L460" s="93">
        <v>44579</v>
      </c>
      <c r="M460" s="165" t="s">
        <v>1705</v>
      </c>
      <c r="N460" s="202" t="s">
        <v>1706</v>
      </c>
      <c r="O460" s="108" t="s">
        <v>680</v>
      </c>
      <c r="P460" s="107">
        <v>168956.7</v>
      </c>
      <c r="Q460" s="107"/>
      <c r="R460" s="241"/>
      <c r="S460" s="242"/>
      <c r="T460" s="107">
        <v>168956.7</v>
      </c>
      <c r="U460" s="93"/>
      <c r="V460" s="128"/>
      <c r="W460" s="172"/>
    </row>
    <row r="461" s="39" customFormat="1" ht="22" customHeight="1" spans="1:23">
      <c r="A461" s="142" t="s">
        <v>1707</v>
      </c>
      <c r="B461" s="174" t="s">
        <v>30</v>
      </c>
      <c r="C461" s="175"/>
      <c r="D461" s="229" t="s">
        <v>31</v>
      </c>
      <c r="E461" s="83" t="s">
        <v>1265</v>
      </c>
      <c r="F461" s="82" t="str">
        <f>IFERROR(VLOOKUP(E461,客户!B:C,2,FALSE),"/")</f>
        <v>外送费用945人民币+装箱费用 加在发票里</v>
      </c>
      <c r="G461" s="73" t="s">
        <v>1286</v>
      </c>
      <c r="H461" s="45" t="s">
        <v>123</v>
      </c>
      <c r="I461" s="45" t="s">
        <v>1280</v>
      </c>
      <c r="J461" s="110">
        <v>44463</v>
      </c>
      <c r="K461" s="146">
        <v>44561</v>
      </c>
      <c r="L461" s="93">
        <v>44597</v>
      </c>
      <c r="M461" s="165" t="s">
        <v>1708</v>
      </c>
      <c r="N461" s="202" t="s">
        <v>1709</v>
      </c>
      <c r="O461" s="108" t="s">
        <v>680</v>
      </c>
      <c r="P461" s="107">
        <v>104066.4</v>
      </c>
      <c r="Q461" s="107"/>
      <c r="R461" s="241"/>
      <c r="S461" s="242"/>
      <c r="T461" s="107">
        <v>104066.4</v>
      </c>
      <c r="U461" s="93"/>
      <c r="V461" s="128"/>
      <c r="W461" s="172"/>
    </row>
    <row r="462" s="39" customFormat="1" ht="22" customHeight="1" spans="1:23">
      <c r="A462" s="142" t="s">
        <v>1710</v>
      </c>
      <c r="B462" s="174" t="s">
        <v>30</v>
      </c>
      <c r="C462" s="175"/>
      <c r="D462" s="229" t="s">
        <v>31</v>
      </c>
      <c r="E462" s="83" t="s">
        <v>1265</v>
      </c>
      <c r="F462" s="82" t="str">
        <f>IFERROR(VLOOKUP(E462,客户!B:C,2,FALSE),"/")</f>
        <v>外送费用945人民币+装箱费用 加在发票里</v>
      </c>
      <c r="G462" s="73" t="s">
        <v>1191</v>
      </c>
      <c r="H462" s="45" t="s">
        <v>123</v>
      </c>
      <c r="I462" s="45" t="s">
        <v>1280</v>
      </c>
      <c r="J462" s="110">
        <v>44463</v>
      </c>
      <c r="K462" s="146">
        <v>44590</v>
      </c>
      <c r="L462" s="93">
        <v>44628</v>
      </c>
      <c r="M462" s="165" t="s">
        <v>1711</v>
      </c>
      <c r="N462" s="202" t="s">
        <v>1712</v>
      </c>
      <c r="O462" s="108" t="s">
        <v>680</v>
      </c>
      <c r="P462" s="107">
        <v>69569.65</v>
      </c>
      <c r="Q462" s="107"/>
      <c r="R462" s="241"/>
      <c r="S462" s="242"/>
      <c r="T462" s="107">
        <v>69569.65</v>
      </c>
      <c r="U462" s="93"/>
      <c r="V462" s="128"/>
      <c r="W462" s="172"/>
    </row>
    <row r="463" s="39" customFormat="1" ht="22" customHeight="1" spans="1:23">
      <c r="A463" s="142" t="s">
        <v>1713</v>
      </c>
      <c r="B463" s="174" t="s">
        <v>30</v>
      </c>
      <c r="C463" s="175"/>
      <c r="D463" s="229" t="s">
        <v>31</v>
      </c>
      <c r="E463" s="83" t="s">
        <v>1083</v>
      </c>
      <c r="F463" s="82">
        <f>IFERROR(VLOOKUP(E463,客户!B:C,2,FALSE),"/")</f>
        <v>0</v>
      </c>
      <c r="G463" s="73" t="s">
        <v>985</v>
      </c>
      <c r="H463" s="45" t="s">
        <v>123</v>
      </c>
      <c r="I463" s="45" t="s">
        <v>1523</v>
      </c>
      <c r="J463" s="110">
        <v>44464</v>
      </c>
      <c r="K463" s="146">
        <v>44540</v>
      </c>
      <c r="L463" s="93">
        <v>44557</v>
      </c>
      <c r="M463" s="165" t="s">
        <v>1714</v>
      </c>
      <c r="N463" s="202" t="s">
        <v>1715</v>
      </c>
      <c r="O463" s="108" t="s">
        <v>680</v>
      </c>
      <c r="P463" s="107">
        <v>31584.5</v>
      </c>
      <c r="Q463" s="107">
        <v>9014.85</v>
      </c>
      <c r="R463" s="241"/>
      <c r="S463" s="242"/>
      <c r="T463" s="107">
        <v>22570.4</v>
      </c>
      <c r="U463" s="93"/>
      <c r="V463" s="128"/>
      <c r="W463" s="172"/>
    </row>
    <row r="464" s="39" customFormat="1" ht="22" customHeight="1" spans="1:23">
      <c r="A464" s="142" t="s">
        <v>1716</v>
      </c>
      <c r="B464" s="174" t="s">
        <v>30</v>
      </c>
      <c r="C464" s="175"/>
      <c r="D464" s="229" t="s">
        <v>31</v>
      </c>
      <c r="E464" s="83" t="s">
        <v>1717</v>
      </c>
      <c r="F464" s="82">
        <f>IFERROR(VLOOKUP(E464,客户!B:C,2,FALSE),"/")</f>
        <v>0</v>
      </c>
      <c r="G464" s="73" t="s">
        <v>1718</v>
      </c>
      <c r="H464" s="45" t="s">
        <v>123</v>
      </c>
      <c r="I464" s="45" t="s">
        <v>1123</v>
      </c>
      <c r="J464" s="110">
        <v>44466</v>
      </c>
      <c r="K464" s="146">
        <v>44528</v>
      </c>
      <c r="L464" s="93">
        <v>44544</v>
      </c>
      <c r="M464" s="165" t="s">
        <v>1719</v>
      </c>
      <c r="N464" s="202" t="s">
        <v>1720</v>
      </c>
      <c r="O464" s="108" t="s">
        <v>523</v>
      </c>
      <c r="P464" s="107">
        <v>35094.94</v>
      </c>
      <c r="Q464" s="107">
        <v>6400</v>
      </c>
      <c r="R464" s="241"/>
      <c r="S464" s="242"/>
      <c r="T464" s="107">
        <f>5371+23324</f>
        <v>28695</v>
      </c>
      <c r="U464" s="93"/>
      <c r="V464" s="128"/>
      <c r="W464" s="172"/>
    </row>
    <row r="465" s="39" customFormat="1" ht="22" customHeight="1" spans="1:23">
      <c r="A465" s="142" t="s">
        <v>1721</v>
      </c>
      <c r="B465" s="174" t="s">
        <v>30</v>
      </c>
      <c r="C465" s="175"/>
      <c r="D465" s="229" t="s">
        <v>31</v>
      </c>
      <c r="E465" s="83" t="s">
        <v>1717</v>
      </c>
      <c r="F465" s="82">
        <f>IFERROR(VLOOKUP(E465,客户!B:C,2,FALSE),"/")</f>
        <v>0</v>
      </c>
      <c r="G465" s="73" t="s">
        <v>1718</v>
      </c>
      <c r="H465" s="45" t="s">
        <v>123</v>
      </c>
      <c r="I465" s="45" t="s">
        <v>1123</v>
      </c>
      <c r="J465" s="110">
        <v>44466</v>
      </c>
      <c r="K465" s="146">
        <v>44547</v>
      </c>
      <c r="L465" s="93">
        <v>44568</v>
      </c>
      <c r="M465" s="165" t="s">
        <v>1722</v>
      </c>
      <c r="N465" s="202" t="s">
        <v>1723</v>
      </c>
      <c r="O465" s="108" t="s">
        <v>523</v>
      </c>
      <c r="P465" s="107">
        <v>34554.94</v>
      </c>
      <c r="Q465" s="107">
        <v>6400</v>
      </c>
      <c r="R465" s="241"/>
      <c r="S465" s="242"/>
      <c r="T465" s="107">
        <v>24100</v>
      </c>
      <c r="U465" s="107">
        <v>4054.94</v>
      </c>
      <c r="V465" s="219" t="s">
        <v>1724</v>
      </c>
      <c r="W465" s="172"/>
    </row>
    <row r="466" s="39" customFormat="1" ht="22" customHeight="1" spans="1:23">
      <c r="A466" s="142" t="s">
        <v>1725</v>
      </c>
      <c r="B466" s="174" t="s">
        <v>30</v>
      </c>
      <c r="C466" s="175"/>
      <c r="D466" s="229" t="s">
        <v>31</v>
      </c>
      <c r="E466" s="83" t="s">
        <v>1389</v>
      </c>
      <c r="F466" s="82">
        <f>IFERROR(VLOOKUP(E466,客户!B:C,2,FALSE),"/")</f>
        <v>0</v>
      </c>
      <c r="G466" s="73" t="s">
        <v>1599</v>
      </c>
      <c r="H466" s="45" t="s">
        <v>1600</v>
      </c>
      <c r="I466" s="45" t="s">
        <v>1078</v>
      </c>
      <c r="J466" s="110">
        <v>44469</v>
      </c>
      <c r="K466" s="146">
        <v>44544</v>
      </c>
      <c r="L466" s="93">
        <v>44565</v>
      </c>
      <c r="M466" s="165" t="s">
        <v>1726</v>
      </c>
      <c r="N466" s="202" t="s">
        <v>1727</v>
      </c>
      <c r="O466" s="108" t="s">
        <v>523</v>
      </c>
      <c r="P466" s="107">
        <v>32758.81</v>
      </c>
      <c r="Q466" s="107">
        <v>9380.21</v>
      </c>
      <c r="R466" s="241"/>
      <c r="S466" s="242"/>
      <c r="T466" s="107">
        <v>23378.6</v>
      </c>
      <c r="U466" s="93"/>
      <c r="V466" s="128"/>
      <c r="W466" s="172"/>
    </row>
    <row r="467" s="39" customFormat="1" ht="22" customHeight="1" spans="1:23">
      <c r="A467" s="142" t="s">
        <v>1728</v>
      </c>
      <c r="B467" s="174" t="s">
        <v>30</v>
      </c>
      <c r="C467" s="175"/>
      <c r="D467" s="229" t="s">
        <v>31</v>
      </c>
      <c r="E467" s="83" t="s">
        <v>1257</v>
      </c>
      <c r="F467" s="82">
        <f>IFERROR(VLOOKUP(E467,客户!B:C,2,FALSE),"/")</f>
        <v>0</v>
      </c>
      <c r="G467" s="73" t="s">
        <v>985</v>
      </c>
      <c r="H467" s="45" t="s">
        <v>123</v>
      </c>
      <c r="I467" s="45" t="s">
        <v>751</v>
      </c>
      <c r="J467" s="110">
        <v>44475</v>
      </c>
      <c r="K467" s="146">
        <v>44547</v>
      </c>
      <c r="L467" s="93">
        <v>44585</v>
      </c>
      <c r="M467" s="165" t="s">
        <v>1729</v>
      </c>
      <c r="N467" s="202" t="s">
        <v>1730</v>
      </c>
      <c r="O467" s="108" t="s">
        <v>523</v>
      </c>
      <c r="P467" s="107">
        <v>34963.49</v>
      </c>
      <c r="Q467" s="205">
        <v>6022</v>
      </c>
      <c r="R467" s="241"/>
      <c r="S467" s="242"/>
      <c r="T467" s="107">
        <v>28941.49</v>
      </c>
      <c r="U467" s="93"/>
      <c r="V467" s="128"/>
      <c r="W467" s="172"/>
    </row>
    <row r="468" s="39" customFormat="1" ht="22" customHeight="1" spans="1:23">
      <c r="A468" s="142" t="s">
        <v>1731</v>
      </c>
      <c r="B468" s="174" t="s">
        <v>30</v>
      </c>
      <c r="C468" s="175"/>
      <c r="D468" s="229" t="s">
        <v>31</v>
      </c>
      <c r="E468" s="83" t="s">
        <v>1121</v>
      </c>
      <c r="F468" s="82"/>
      <c r="G468" s="73" t="s">
        <v>1732</v>
      </c>
      <c r="H468" s="45" t="s">
        <v>123</v>
      </c>
      <c r="I468" s="45" t="s">
        <v>215</v>
      </c>
      <c r="J468" s="110">
        <v>44477</v>
      </c>
      <c r="K468" s="146">
        <v>44535</v>
      </c>
      <c r="L468" s="93">
        <v>44550</v>
      </c>
      <c r="M468" s="165" t="s">
        <v>1733</v>
      </c>
      <c r="N468" s="202" t="s">
        <v>1734</v>
      </c>
      <c r="O468" s="108" t="s">
        <v>523</v>
      </c>
      <c r="P468" s="107">
        <v>63389.82</v>
      </c>
      <c r="R468" s="241"/>
      <c r="S468" s="242"/>
      <c r="T468" s="107">
        <v>63389.82</v>
      </c>
      <c r="U468" s="93"/>
      <c r="V468" s="128"/>
      <c r="W468" s="172"/>
    </row>
    <row r="469" s="39" customFormat="1" ht="22" customHeight="1" spans="1:23">
      <c r="A469" s="142" t="s">
        <v>1735</v>
      </c>
      <c r="B469" s="174" t="s">
        <v>30</v>
      </c>
      <c r="C469" s="175"/>
      <c r="D469" s="229" t="s">
        <v>31</v>
      </c>
      <c r="E469" s="83" t="s">
        <v>1121</v>
      </c>
      <c r="F469" s="82"/>
      <c r="G469" s="73" t="s">
        <v>1732</v>
      </c>
      <c r="H469" s="45" t="s">
        <v>123</v>
      </c>
      <c r="I469" s="45" t="s">
        <v>215</v>
      </c>
      <c r="J469" s="110">
        <v>44477</v>
      </c>
      <c r="K469" s="146">
        <v>44555</v>
      </c>
      <c r="L469" s="93">
        <v>44571</v>
      </c>
      <c r="M469" s="165" t="s">
        <v>1736</v>
      </c>
      <c r="N469" s="202" t="s">
        <v>1737</v>
      </c>
      <c r="O469" s="108" t="s">
        <v>523</v>
      </c>
      <c r="P469" s="107">
        <v>72093.59</v>
      </c>
      <c r="Q469" s="107">
        <v>10000</v>
      </c>
      <c r="R469" s="241"/>
      <c r="S469" s="242"/>
      <c r="T469" s="107">
        <v>62093.59</v>
      </c>
      <c r="U469" s="93"/>
      <c r="V469" s="128"/>
      <c r="W469" s="172"/>
    </row>
    <row r="470" s="39" customFormat="1" ht="22" customHeight="1" spans="1:23">
      <c r="A470" s="142" t="s">
        <v>1738</v>
      </c>
      <c r="B470" s="174" t="s">
        <v>30</v>
      </c>
      <c r="C470" s="175"/>
      <c r="D470" s="229" t="s">
        <v>31</v>
      </c>
      <c r="E470" s="83" t="s">
        <v>1578</v>
      </c>
      <c r="F470" s="82"/>
      <c r="G470" s="73" t="s">
        <v>1739</v>
      </c>
      <c r="H470" s="229" t="s">
        <v>970</v>
      </c>
      <c r="I470" s="45"/>
      <c r="J470" s="110">
        <v>44478</v>
      </c>
      <c r="K470" s="146"/>
      <c r="L470" s="93"/>
      <c r="M470" s="165" t="s">
        <v>1740</v>
      </c>
      <c r="N470" s="110"/>
      <c r="O470" s="108" t="s">
        <v>970</v>
      </c>
      <c r="P470" s="240">
        <v>139600</v>
      </c>
      <c r="Q470" s="240">
        <v>20000</v>
      </c>
      <c r="R470" s="241"/>
      <c r="S470" s="242"/>
      <c r="T470" s="107">
        <f>120600-1000</f>
        <v>119600</v>
      </c>
      <c r="U470" s="93"/>
      <c r="V470" s="128"/>
      <c r="W470" s="172"/>
    </row>
    <row r="471" s="39" customFormat="1" ht="22" customHeight="1" spans="1:23">
      <c r="A471" s="142" t="s">
        <v>1741</v>
      </c>
      <c r="B471" s="174" t="s">
        <v>30</v>
      </c>
      <c r="C471" s="175"/>
      <c r="D471" s="229" t="s">
        <v>31</v>
      </c>
      <c r="E471" s="83" t="s">
        <v>1117</v>
      </c>
      <c r="F471" s="82">
        <f>IFERROR(VLOOKUP(E471,客户!B:C,2,FALSE),"/")</f>
        <v>0</v>
      </c>
      <c r="G471" s="73" t="s">
        <v>1742</v>
      </c>
      <c r="H471" s="229" t="s">
        <v>970</v>
      </c>
      <c r="I471" s="45" t="s">
        <v>1533</v>
      </c>
      <c r="J471" s="110">
        <v>44481</v>
      </c>
      <c r="K471" s="146">
        <v>44510</v>
      </c>
      <c r="L471" s="93"/>
      <c r="M471" s="165" t="s">
        <v>1743</v>
      </c>
      <c r="N471" s="110"/>
      <c r="O471" s="108" t="s">
        <v>970</v>
      </c>
      <c r="P471" s="107">
        <v>12780.91</v>
      </c>
      <c r="Q471" s="205">
        <v>2800</v>
      </c>
      <c r="R471" s="241"/>
      <c r="S471" s="242"/>
      <c r="T471" s="107">
        <v>4134.91</v>
      </c>
      <c r="U471" s="93"/>
      <c r="V471" s="128"/>
      <c r="W471" s="172"/>
    </row>
    <row r="472" s="39" customFormat="1" ht="22" customHeight="1" spans="1:23">
      <c r="A472" s="142" t="s">
        <v>1744</v>
      </c>
      <c r="B472" s="174" t="s">
        <v>30</v>
      </c>
      <c r="C472" s="175"/>
      <c r="D472" s="229" t="s">
        <v>31</v>
      </c>
      <c r="E472" s="83" t="s">
        <v>1121</v>
      </c>
      <c r="F472" s="82">
        <f>IFERROR(VLOOKUP(E472,客户!B:C,2,FALSE),"/")</f>
        <v>0</v>
      </c>
      <c r="G472" s="73" t="s">
        <v>1732</v>
      </c>
      <c r="H472" s="45" t="s">
        <v>123</v>
      </c>
      <c r="I472" s="45" t="s">
        <v>215</v>
      </c>
      <c r="J472" s="110">
        <v>44496</v>
      </c>
      <c r="K472" s="110">
        <v>44560</v>
      </c>
      <c r="L472" s="93">
        <v>44578</v>
      </c>
      <c r="M472" s="165" t="s">
        <v>1745</v>
      </c>
      <c r="N472" s="202" t="s">
        <v>1746</v>
      </c>
      <c r="O472" s="108" t="s">
        <v>523</v>
      </c>
      <c r="P472" s="107">
        <v>63762.4</v>
      </c>
      <c r="R472" s="241"/>
      <c r="S472" s="242"/>
      <c r="T472" s="107">
        <v>63762.4</v>
      </c>
      <c r="U472" s="93"/>
      <c r="V472" s="128"/>
      <c r="W472" s="172"/>
    </row>
    <row r="473" s="39" customFormat="1" ht="22" customHeight="1" spans="1:23">
      <c r="A473" s="142" t="s">
        <v>1747</v>
      </c>
      <c r="B473" s="174" t="s">
        <v>30</v>
      </c>
      <c r="C473" s="175"/>
      <c r="D473" s="229" t="s">
        <v>31</v>
      </c>
      <c r="E473" s="83" t="s">
        <v>1121</v>
      </c>
      <c r="F473" s="82"/>
      <c r="G473" s="73" t="s">
        <v>1732</v>
      </c>
      <c r="H473" s="45" t="s">
        <v>123</v>
      </c>
      <c r="I473" s="45" t="s">
        <v>215</v>
      </c>
      <c r="J473" s="110">
        <v>44496</v>
      </c>
      <c r="K473" s="146">
        <v>44567</v>
      </c>
      <c r="L473" s="93">
        <v>44585</v>
      </c>
      <c r="M473" s="165" t="s">
        <v>1748</v>
      </c>
      <c r="N473" s="202" t="s">
        <v>1749</v>
      </c>
      <c r="O473" s="108" t="s">
        <v>523</v>
      </c>
      <c r="P473" s="107">
        <v>66273.5</v>
      </c>
      <c r="Q473" s="205">
        <v>10000</v>
      </c>
      <c r="R473" s="241"/>
      <c r="S473" s="242"/>
      <c r="T473" s="107">
        <v>56273.5</v>
      </c>
      <c r="U473" s="93"/>
      <c r="V473" s="128"/>
      <c r="W473" s="172"/>
    </row>
    <row r="474" s="39" customFormat="1" ht="22" customHeight="1" spans="1:23">
      <c r="A474" s="142" t="s">
        <v>1750</v>
      </c>
      <c r="B474" s="174" t="s">
        <v>30</v>
      </c>
      <c r="C474" s="175"/>
      <c r="D474" s="229" t="s">
        <v>31</v>
      </c>
      <c r="E474" s="83" t="s">
        <v>1117</v>
      </c>
      <c r="F474" s="82">
        <f>IFERROR(VLOOKUP(E474,客户!B:C,2,FALSE),"/")</f>
        <v>0</v>
      </c>
      <c r="G474" s="73" t="s">
        <v>1751</v>
      </c>
      <c r="H474" s="45" t="s">
        <v>186</v>
      </c>
      <c r="I474" s="45"/>
      <c r="J474" s="110">
        <v>44499</v>
      </c>
      <c r="K474" s="146">
        <v>44510</v>
      </c>
      <c r="L474" s="93"/>
      <c r="M474" s="165" t="s">
        <v>1752</v>
      </c>
      <c r="N474" s="110"/>
      <c r="O474" s="108" t="s">
        <v>970</v>
      </c>
      <c r="P474" s="240">
        <v>17400</v>
      </c>
      <c r="Q474" s="240">
        <v>6000</v>
      </c>
      <c r="R474" s="241"/>
      <c r="S474" s="242"/>
      <c r="T474" s="240">
        <v>11400</v>
      </c>
      <c r="U474" s="93"/>
      <c r="V474" s="128"/>
      <c r="W474" s="172"/>
    </row>
    <row r="475" s="39" customFormat="1" ht="22" customHeight="1" spans="1:23">
      <c r="A475" s="142" t="s">
        <v>1753</v>
      </c>
      <c r="B475" s="174" t="s">
        <v>30</v>
      </c>
      <c r="C475" s="175"/>
      <c r="D475" s="229" t="s">
        <v>31</v>
      </c>
      <c r="E475" s="83" t="s">
        <v>1754</v>
      </c>
      <c r="F475" s="82">
        <f>IFERROR(VLOOKUP(E475,客户!B:C,2,FALSE),"/")</f>
        <v>0</v>
      </c>
      <c r="G475" s="73" t="s">
        <v>1755</v>
      </c>
      <c r="H475" s="45" t="s">
        <v>123</v>
      </c>
      <c r="I475" s="45"/>
      <c r="J475" s="110">
        <v>44501</v>
      </c>
      <c r="K475" s="146">
        <v>44525</v>
      </c>
      <c r="L475" s="93"/>
      <c r="M475" s="165" t="s">
        <v>1756</v>
      </c>
      <c r="N475" s="110"/>
      <c r="O475" s="108" t="s">
        <v>970</v>
      </c>
      <c r="P475" s="107">
        <v>6649.35</v>
      </c>
      <c r="Q475" s="205"/>
      <c r="R475" s="241"/>
      <c r="S475" s="242"/>
      <c r="T475" s="107">
        <v>6649.35</v>
      </c>
      <c r="U475" s="93"/>
      <c r="V475" s="128"/>
      <c r="W475" s="172"/>
    </row>
    <row r="476" s="39" customFormat="1" ht="22" customHeight="1" spans="1:23">
      <c r="A476" s="142" t="s">
        <v>1757</v>
      </c>
      <c r="B476" s="174" t="s">
        <v>30</v>
      </c>
      <c r="C476" s="175"/>
      <c r="D476" s="229" t="s">
        <v>31</v>
      </c>
      <c r="E476" s="83" t="s">
        <v>1758</v>
      </c>
      <c r="F476" s="82">
        <f>IFERROR(VLOOKUP(E476,客户!B:C,2,FALSE),"/")</f>
        <v>0</v>
      </c>
      <c r="G476" s="73" t="s">
        <v>1759</v>
      </c>
      <c r="H476" s="45" t="s">
        <v>147</v>
      </c>
      <c r="I476" s="45" t="s">
        <v>215</v>
      </c>
      <c r="J476" s="110">
        <v>44504</v>
      </c>
      <c r="K476" s="146">
        <v>44579</v>
      </c>
      <c r="L476" s="93">
        <v>44592</v>
      </c>
      <c r="M476" s="165" t="s">
        <v>1760</v>
      </c>
      <c r="N476" s="202" t="s">
        <v>1761</v>
      </c>
      <c r="O476" s="108" t="s">
        <v>523</v>
      </c>
      <c r="P476" s="107">
        <v>34771.48</v>
      </c>
      <c r="Q476" s="205">
        <v>19119.07</v>
      </c>
      <c r="R476" s="241"/>
      <c r="S476" s="242"/>
      <c r="T476" s="107">
        <v>15652.41</v>
      </c>
      <c r="U476" s="93"/>
      <c r="V476" s="128"/>
      <c r="W476" s="172"/>
    </row>
    <row r="477" s="39" customFormat="1" ht="22" customHeight="1" spans="1:23">
      <c r="A477" s="142" t="s">
        <v>1762</v>
      </c>
      <c r="B477" s="174" t="s">
        <v>30</v>
      </c>
      <c r="C477" s="175"/>
      <c r="D477" s="229" t="s">
        <v>31</v>
      </c>
      <c r="E477" s="83" t="s">
        <v>1508</v>
      </c>
      <c r="F477" s="82">
        <f>IFERROR(VLOOKUP(E477,客户!B:C,2,FALSE),"/")</f>
        <v>0</v>
      </c>
      <c r="G477" s="73" t="s">
        <v>390</v>
      </c>
      <c r="H477" s="45" t="s">
        <v>123</v>
      </c>
      <c r="I477" s="45" t="s">
        <v>1763</v>
      </c>
      <c r="J477" s="110">
        <v>44509</v>
      </c>
      <c r="K477" s="146">
        <v>44552</v>
      </c>
      <c r="L477" s="93">
        <v>44602</v>
      </c>
      <c r="M477" s="165" t="s">
        <v>1764</v>
      </c>
      <c r="N477" s="202" t="s">
        <v>1765</v>
      </c>
      <c r="O477" s="108" t="s">
        <v>523</v>
      </c>
      <c r="P477" s="107">
        <v>31781.67</v>
      </c>
      <c r="Q477" s="205">
        <v>8000</v>
      </c>
      <c r="R477" s="241"/>
      <c r="S477" s="242"/>
      <c r="T477" s="107">
        <v>23781.67</v>
      </c>
      <c r="U477" s="93"/>
      <c r="V477" s="128"/>
      <c r="W477" s="172"/>
    </row>
    <row r="478" s="39" customFormat="1" ht="22" customHeight="1" spans="1:23">
      <c r="A478" s="142" t="s">
        <v>1766</v>
      </c>
      <c r="B478" s="174" t="s">
        <v>30</v>
      </c>
      <c r="C478" s="175"/>
      <c r="D478" s="229" t="s">
        <v>31</v>
      </c>
      <c r="E478" s="83" t="s">
        <v>1083</v>
      </c>
      <c r="F478" s="82">
        <f>IFERROR(VLOOKUP(E478,客户!B:C,2,FALSE),"/")</f>
        <v>0</v>
      </c>
      <c r="G478" s="73" t="s">
        <v>1767</v>
      </c>
      <c r="H478" s="45" t="s">
        <v>123</v>
      </c>
      <c r="I478" s="45" t="s">
        <v>1523</v>
      </c>
      <c r="J478" s="110">
        <v>44509</v>
      </c>
      <c r="K478" s="146">
        <v>44555</v>
      </c>
      <c r="L478" s="93">
        <v>44572</v>
      </c>
      <c r="M478" s="165" t="s">
        <v>1768</v>
      </c>
      <c r="N478" s="202" t="s">
        <v>1769</v>
      </c>
      <c r="O478" s="108" t="s">
        <v>523</v>
      </c>
      <c r="P478" s="107">
        <v>29324</v>
      </c>
      <c r="Q478" s="205"/>
      <c r="R478" s="241"/>
      <c r="S478" s="242"/>
      <c r="T478" s="107">
        <v>29324</v>
      </c>
      <c r="U478" s="93"/>
      <c r="V478" s="128"/>
      <c r="W478" s="172"/>
    </row>
    <row r="479" s="39" customFormat="1" ht="22" customHeight="1" spans="1:23">
      <c r="A479" s="142" t="s">
        <v>1770</v>
      </c>
      <c r="B479" s="174" t="s">
        <v>30</v>
      </c>
      <c r="C479" s="175"/>
      <c r="D479" s="229" t="s">
        <v>31</v>
      </c>
      <c r="E479" s="83" t="s">
        <v>1345</v>
      </c>
      <c r="F479" s="82" t="str">
        <f>IFERROR(VLOOKUP(E479,客户!B:C,2,FALSE),"/")</f>
        <v>J4159还差USD265.65没付齐 J4220还有定金5674.3 账上剩5408.65</v>
      </c>
      <c r="G479" s="73" t="s">
        <v>1771</v>
      </c>
      <c r="H479" s="45" t="s">
        <v>123</v>
      </c>
      <c r="I479" s="45" t="s">
        <v>1346</v>
      </c>
      <c r="J479" s="110">
        <v>44510</v>
      </c>
      <c r="K479" s="146">
        <v>44555</v>
      </c>
      <c r="L479" s="93">
        <v>44590</v>
      </c>
      <c r="M479" s="165" t="s">
        <v>1772</v>
      </c>
      <c r="N479" s="202" t="s">
        <v>1773</v>
      </c>
      <c r="O479" s="108" t="s">
        <v>523</v>
      </c>
      <c r="P479" s="107">
        <v>29057.95</v>
      </c>
      <c r="Q479" s="205">
        <v>5758.46</v>
      </c>
      <c r="R479" s="241"/>
      <c r="S479" s="242"/>
      <c r="T479" s="107">
        <v>23033.84</v>
      </c>
      <c r="U479" s="93"/>
      <c r="V479" s="128"/>
      <c r="W479" s="172"/>
    </row>
    <row r="480" s="39" customFormat="1" ht="22" customHeight="1" spans="1:23">
      <c r="A480" s="142" t="s">
        <v>1774</v>
      </c>
      <c r="B480" s="174" t="s">
        <v>30</v>
      </c>
      <c r="C480" s="175"/>
      <c r="D480" s="229" t="s">
        <v>31</v>
      </c>
      <c r="E480" s="83" t="s">
        <v>1167</v>
      </c>
      <c r="F480" s="82">
        <f>IFERROR(VLOOKUP(E480,客户!B:C,2,FALSE),"/")</f>
        <v>0</v>
      </c>
      <c r="G480" s="73" t="s">
        <v>1369</v>
      </c>
      <c r="H480" s="45" t="s">
        <v>123</v>
      </c>
      <c r="I480" s="45" t="s">
        <v>1370</v>
      </c>
      <c r="J480" s="110">
        <v>44516</v>
      </c>
      <c r="K480" s="146">
        <v>44588</v>
      </c>
      <c r="L480" s="93">
        <v>44628</v>
      </c>
      <c r="M480" s="165" t="s">
        <v>1775</v>
      </c>
      <c r="N480" s="202" t="s">
        <v>1776</v>
      </c>
      <c r="O480" s="108" t="s">
        <v>523</v>
      </c>
      <c r="P480" s="107">
        <v>33782.44</v>
      </c>
      <c r="Q480" s="205">
        <v>9400</v>
      </c>
      <c r="R480" s="241"/>
      <c r="S480" s="242"/>
      <c r="T480" s="107">
        <v>24382.44</v>
      </c>
      <c r="U480" s="93"/>
      <c r="V480" s="128"/>
      <c r="W480" s="172"/>
    </row>
    <row r="481" s="39" customFormat="1" ht="22" customHeight="1" spans="1:23">
      <c r="A481" s="142" t="s">
        <v>1777</v>
      </c>
      <c r="B481" s="174" t="s">
        <v>30</v>
      </c>
      <c r="C481" s="175"/>
      <c r="D481" s="229" t="s">
        <v>31</v>
      </c>
      <c r="E481" s="83" t="s">
        <v>1238</v>
      </c>
      <c r="F481" s="82">
        <f>IFERROR(VLOOKUP(E481,客户!B:C,2,FALSE),"/")</f>
        <v>0</v>
      </c>
      <c r="G481" s="73" t="s">
        <v>985</v>
      </c>
      <c r="H481" s="45" t="s">
        <v>123</v>
      </c>
      <c r="I481" s="45" t="s">
        <v>1662</v>
      </c>
      <c r="J481" s="110">
        <v>44516</v>
      </c>
      <c r="K481" s="146">
        <v>44565</v>
      </c>
      <c r="L481" s="93">
        <v>44607</v>
      </c>
      <c r="M481" s="165" t="s">
        <v>1778</v>
      </c>
      <c r="N481" s="202" t="s">
        <v>1779</v>
      </c>
      <c r="O481" s="108" t="s">
        <v>523</v>
      </c>
      <c r="P481" s="107">
        <v>31146.62</v>
      </c>
      <c r="Q481" s="205"/>
      <c r="R481" s="241"/>
      <c r="S481" s="242"/>
      <c r="T481" s="107">
        <v>20735</v>
      </c>
      <c r="U481" s="107">
        <v>10411.62</v>
      </c>
      <c r="V481" s="128"/>
      <c r="W481" s="172"/>
    </row>
    <row r="482" s="39" customFormat="1" ht="22" customHeight="1" spans="1:23">
      <c r="A482" s="142" t="s">
        <v>1780</v>
      </c>
      <c r="B482" s="174" t="s">
        <v>30</v>
      </c>
      <c r="C482" s="175"/>
      <c r="D482" s="229" t="s">
        <v>31</v>
      </c>
      <c r="E482" s="83" t="s">
        <v>1326</v>
      </c>
      <c r="F482" s="82">
        <f>IFERROR(VLOOKUP(E482,客户!B:C,2,FALSE),"/")</f>
        <v>0</v>
      </c>
      <c r="G482" s="73" t="s">
        <v>985</v>
      </c>
      <c r="H482" s="45" t="s">
        <v>123</v>
      </c>
      <c r="I482" s="45" t="s">
        <v>755</v>
      </c>
      <c r="J482" s="110">
        <v>44518</v>
      </c>
      <c r="K482" s="146">
        <v>44569</v>
      </c>
      <c r="L482" s="93">
        <v>44629</v>
      </c>
      <c r="M482" s="165" t="s">
        <v>1781</v>
      </c>
      <c r="N482" s="202" t="s">
        <v>1782</v>
      </c>
      <c r="O482" s="108" t="s">
        <v>523</v>
      </c>
      <c r="P482" s="107">
        <v>27015.75</v>
      </c>
      <c r="Q482" s="205">
        <v>5403.15</v>
      </c>
      <c r="R482" s="241"/>
      <c r="S482" s="242"/>
      <c r="T482" s="107">
        <v>21612.6</v>
      </c>
      <c r="U482" s="93"/>
      <c r="V482" s="128"/>
      <c r="W482" s="172"/>
    </row>
    <row r="483" s="39" customFormat="1" ht="22" customHeight="1" spans="1:23">
      <c r="A483" s="142" t="s">
        <v>1783</v>
      </c>
      <c r="B483" s="174" t="s">
        <v>30</v>
      </c>
      <c r="C483" s="175"/>
      <c r="D483" s="229" t="s">
        <v>31</v>
      </c>
      <c r="E483" s="83" t="s">
        <v>1265</v>
      </c>
      <c r="F483" s="82" t="str">
        <f>IFERROR(VLOOKUP(E483,客户!B:C,2,FALSE),"/")</f>
        <v>外送费用945人民币+装箱费用 加在发票里</v>
      </c>
      <c r="G483" s="73" t="s">
        <v>1482</v>
      </c>
      <c r="H483" s="45" t="s">
        <v>123</v>
      </c>
      <c r="I483" s="45" t="s">
        <v>205</v>
      </c>
      <c r="J483" s="110">
        <v>44532</v>
      </c>
      <c r="K483" s="146">
        <v>44650</v>
      </c>
      <c r="L483" s="93">
        <v>44681</v>
      </c>
      <c r="M483" s="165" t="s">
        <v>1784</v>
      </c>
      <c r="N483" s="202" t="s">
        <v>1785</v>
      </c>
      <c r="O483" s="108" t="s">
        <v>523</v>
      </c>
      <c r="P483" s="107">
        <v>125377.6</v>
      </c>
      <c r="Q483" s="205"/>
      <c r="R483" s="241"/>
      <c r="S483" s="242"/>
      <c r="T483" s="107">
        <v>125377.6</v>
      </c>
      <c r="U483" s="93"/>
      <c r="V483" s="128"/>
      <c r="W483" s="172"/>
    </row>
    <row r="484" s="39" customFormat="1" ht="22" customHeight="1" spans="1:23">
      <c r="A484" s="255" t="s">
        <v>1786</v>
      </c>
      <c r="B484" s="174" t="s">
        <v>30</v>
      </c>
      <c r="C484" s="175"/>
      <c r="D484" s="229" t="s">
        <v>3</v>
      </c>
      <c r="E484" s="83" t="s">
        <v>1265</v>
      </c>
      <c r="F484" s="82" t="str">
        <f>IFERROR(VLOOKUP(E484,客户!B:C,2,FALSE),"/")</f>
        <v>外送费用945人民币+装箱费用 加在发票里</v>
      </c>
      <c r="G484" s="73" t="s">
        <v>61</v>
      </c>
      <c r="H484" s="45" t="s">
        <v>123</v>
      </c>
      <c r="I484" s="45" t="s">
        <v>205</v>
      </c>
      <c r="J484" s="110">
        <v>44532</v>
      </c>
      <c r="K484" s="146"/>
      <c r="L484" s="93"/>
      <c r="M484" s="165" t="s">
        <v>1787</v>
      </c>
      <c r="N484" s="110"/>
      <c r="O484" s="108" t="s">
        <v>523</v>
      </c>
      <c r="P484" s="135">
        <v>137044</v>
      </c>
      <c r="Q484" s="205"/>
      <c r="R484" s="241"/>
      <c r="S484" s="242"/>
      <c r="T484" s="107"/>
      <c r="U484" s="93"/>
      <c r="V484" s="128"/>
      <c r="W484" s="172"/>
    </row>
    <row r="485" s="39" customFormat="1" ht="22" customHeight="1" spans="1:23">
      <c r="A485" s="142" t="s">
        <v>1788</v>
      </c>
      <c r="B485" s="174" t="s">
        <v>30</v>
      </c>
      <c r="C485" s="175"/>
      <c r="D485" s="229" t="s">
        <v>31</v>
      </c>
      <c r="E485" s="83" t="s">
        <v>1789</v>
      </c>
      <c r="F485" s="82">
        <f>IFERROR(VLOOKUP(E485,客户!B:C,2,FALSE),"/")</f>
        <v>0</v>
      </c>
      <c r="G485" s="83" t="s">
        <v>1790</v>
      </c>
      <c r="H485" s="45" t="s">
        <v>186</v>
      </c>
      <c r="I485" s="45"/>
      <c r="J485" s="110">
        <v>44537</v>
      </c>
      <c r="K485" s="146">
        <v>44537</v>
      </c>
      <c r="L485" s="93"/>
      <c r="M485" s="165" t="s">
        <v>1791</v>
      </c>
      <c r="N485" s="110"/>
      <c r="O485" s="108" t="s">
        <v>970</v>
      </c>
      <c r="P485" s="240">
        <v>229.6</v>
      </c>
      <c r="Q485" s="205"/>
      <c r="R485" s="241"/>
      <c r="S485" s="242"/>
      <c r="T485" s="240">
        <v>229.6</v>
      </c>
      <c r="U485" s="93"/>
      <c r="V485" s="128"/>
      <c r="W485" s="172"/>
    </row>
    <row r="486" s="39" customFormat="1" ht="22" customHeight="1" spans="1:23">
      <c r="A486" s="142" t="s">
        <v>1792</v>
      </c>
      <c r="B486" s="174" t="s">
        <v>30</v>
      </c>
      <c r="C486" s="175"/>
      <c r="D486" s="229" t="s">
        <v>31</v>
      </c>
      <c r="E486" s="83" t="s">
        <v>1117</v>
      </c>
      <c r="F486" s="82">
        <f>IFERROR(VLOOKUP(E486,客户!B:C,2,FALSE),"/")</f>
        <v>0</v>
      </c>
      <c r="G486" s="83" t="s">
        <v>1793</v>
      </c>
      <c r="H486" s="45" t="s">
        <v>186</v>
      </c>
      <c r="I486" s="45"/>
      <c r="J486" s="110">
        <v>44537</v>
      </c>
      <c r="K486" s="146">
        <v>44550</v>
      </c>
      <c r="L486" s="93"/>
      <c r="M486" s="165" t="s">
        <v>1794</v>
      </c>
      <c r="N486" s="110"/>
      <c r="O486" s="108" t="s">
        <v>970</v>
      </c>
      <c r="P486" s="240">
        <v>14700</v>
      </c>
      <c r="Q486" s="240">
        <v>5000</v>
      </c>
      <c r="R486" s="241"/>
      <c r="S486" s="242"/>
      <c r="T486" s="240">
        <v>9700</v>
      </c>
      <c r="U486" s="93"/>
      <c r="V486" s="128"/>
      <c r="W486" s="172"/>
    </row>
    <row r="487" s="39" customFormat="1" ht="22" customHeight="1" spans="1:23">
      <c r="A487" s="142" t="s">
        <v>1795</v>
      </c>
      <c r="B487" s="174" t="s">
        <v>30</v>
      </c>
      <c r="C487" s="175"/>
      <c r="D487" s="229" t="s">
        <v>31</v>
      </c>
      <c r="E487" s="83" t="s">
        <v>1249</v>
      </c>
      <c r="F487" s="82"/>
      <c r="G487" s="83" t="s">
        <v>1767</v>
      </c>
      <c r="H487" s="45" t="s">
        <v>123</v>
      </c>
      <c r="I487" s="45" t="s">
        <v>1250</v>
      </c>
      <c r="J487" s="110">
        <v>44539</v>
      </c>
      <c r="K487" s="146">
        <v>44589</v>
      </c>
      <c r="L487" s="93">
        <v>44618</v>
      </c>
      <c r="M487" s="165" t="s">
        <v>1796</v>
      </c>
      <c r="N487" s="202" t="s">
        <v>1797</v>
      </c>
      <c r="O487" s="108" t="s">
        <v>523</v>
      </c>
      <c r="P487" s="107">
        <v>20438.8</v>
      </c>
      <c r="Q487" s="205">
        <v>6329</v>
      </c>
      <c r="R487" s="241"/>
      <c r="S487" s="242"/>
      <c r="T487" s="205">
        <v>14109.8</v>
      </c>
      <c r="U487" s="93"/>
      <c r="V487" s="128"/>
      <c r="W487" s="172"/>
    </row>
    <row r="488" s="39" customFormat="1" ht="22" customHeight="1" spans="1:23">
      <c r="A488" s="142" t="s">
        <v>1798</v>
      </c>
      <c r="B488" s="174" t="s">
        <v>30</v>
      </c>
      <c r="C488" s="175"/>
      <c r="D488" s="229" t="s">
        <v>31</v>
      </c>
      <c r="E488" s="83" t="s">
        <v>1257</v>
      </c>
      <c r="F488" s="82">
        <f>IFERROR(VLOOKUP(E488,客户!B:C,2,FALSE),"/")</f>
        <v>0</v>
      </c>
      <c r="G488" s="83" t="s">
        <v>1767</v>
      </c>
      <c r="H488" s="45" t="s">
        <v>123</v>
      </c>
      <c r="I488" s="45" t="s">
        <v>751</v>
      </c>
      <c r="J488" s="110">
        <v>44540</v>
      </c>
      <c r="K488" s="146">
        <v>44589</v>
      </c>
      <c r="L488" s="93">
        <v>44617</v>
      </c>
      <c r="M488" s="165" t="s">
        <v>1799</v>
      </c>
      <c r="N488" s="202" t="s">
        <v>1800</v>
      </c>
      <c r="O488" s="108" t="s">
        <v>523</v>
      </c>
      <c r="P488" s="107">
        <v>32162.23</v>
      </c>
      <c r="Q488" s="205">
        <v>5396</v>
      </c>
      <c r="R488" s="241"/>
      <c r="S488" s="242"/>
      <c r="T488" s="205">
        <v>26766.23</v>
      </c>
      <c r="U488" s="93"/>
      <c r="V488" s="128"/>
      <c r="W488" s="172"/>
    </row>
    <row r="489" s="39" customFormat="1" ht="22" customHeight="1" spans="1:23">
      <c r="A489" s="142" t="s">
        <v>1801</v>
      </c>
      <c r="B489" s="174" t="s">
        <v>30</v>
      </c>
      <c r="C489" s="175"/>
      <c r="D489" s="229" t="s">
        <v>31</v>
      </c>
      <c r="E489" s="83" t="s">
        <v>1117</v>
      </c>
      <c r="F489" s="82">
        <f>IFERROR(VLOOKUP(E489,客户!B:C,2,FALSE),"/")</f>
        <v>0</v>
      </c>
      <c r="G489" s="83" t="s">
        <v>1802</v>
      </c>
      <c r="H489" s="45" t="s">
        <v>123</v>
      </c>
      <c r="I489" s="45" t="s">
        <v>1533</v>
      </c>
      <c r="J489" s="110">
        <v>44543</v>
      </c>
      <c r="K489" s="146">
        <v>44597</v>
      </c>
      <c r="L489" s="93">
        <v>44630</v>
      </c>
      <c r="M489" s="165" t="s">
        <v>1741</v>
      </c>
      <c r="N489" s="202" t="s">
        <v>1803</v>
      </c>
      <c r="O489" s="108" t="s">
        <v>970</v>
      </c>
      <c r="P489" s="107">
        <v>26008.3</v>
      </c>
      <c r="Q489" s="205">
        <v>10000</v>
      </c>
      <c r="R489" s="241"/>
      <c r="S489" s="242"/>
      <c r="T489" s="205">
        <f>P489-Q489</f>
        <v>16008.3</v>
      </c>
      <c r="U489" s="93"/>
      <c r="V489" s="128"/>
      <c r="W489" s="172"/>
    </row>
    <row r="490" s="39" customFormat="1" ht="22" customHeight="1" spans="1:23">
      <c r="A490" s="142" t="s">
        <v>1804</v>
      </c>
      <c r="B490" s="174" t="s">
        <v>30</v>
      </c>
      <c r="C490" s="175"/>
      <c r="D490" s="229" t="s">
        <v>31</v>
      </c>
      <c r="E490" s="83" t="s">
        <v>1167</v>
      </c>
      <c r="F490" s="82">
        <f>IFERROR(VLOOKUP(E490,客户!B:C,2,FALSE),"/")</f>
        <v>0</v>
      </c>
      <c r="G490" s="73" t="s">
        <v>1369</v>
      </c>
      <c r="H490" s="45" t="s">
        <v>123</v>
      </c>
      <c r="I490" s="45" t="s">
        <v>1370</v>
      </c>
      <c r="J490" s="110">
        <v>44546</v>
      </c>
      <c r="K490" s="146">
        <v>44586</v>
      </c>
      <c r="L490" s="93">
        <v>44640</v>
      </c>
      <c r="M490" s="165" t="s">
        <v>1805</v>
      </c>
      <c r="N490" s="202" t="s">
        <v>1806</v>
      </c>
      <c r="O490" s="108" t="s">
        <v>523</v>
      </c>
      <c r="P490" s="107">
        <v>33980.6</v>
      </c>
      <c r="Q490" s="205">
        <v>10200</v>
      </c>
      <c r="R490" s="241"/>
      <c r="S490" s="242"/>
      <c r="T490" s="205">
        <v>23780.6</v>
      </c>
      <c r="U490" s="93"/>
      <c r="V490" s="128"/>
      <c r="W490" s="172"/>
    </row>
    <row r="491" s="39" customFormat="1" ht="22" customHeight="1" spans="1:23">
      <c r="A491" s="142" t="s">
        <v>1807</v>
      </c>
      <c r="B491" s="174" t="s">
        <v>30</v>
      </c>
      <c r="C491" s="175"/>
      <c r="D491" s="229" t="s">
        <v>31</v>
      </c>
      <c r="E491" s="83" t="s">
        <v>1167</v>
      </c>
      <c r="F491" s="82">
        <f>IFERROR(VLOOKUP(E491,客户!B:C,2,FALSE),"/")</f>
        <v>0</v>
      </c>
      <c r="G491" s="73" t="s">
        <v>1369</v>
      </c>
      <c r="H491" s="45" t="s">
        <v>123</v>
      </c>
      <c r="I491" s="45" t="s">
        <v>1370</v>
      </c>
      <c r="J491" s="110">
        <v>44546</v>
      </c>
      <c r="K491" s="146">
        <v>44586</v>
      </c>
      <c r="L491" s="93">
        <v>44640</v>
      </c>
      <c r="M491" s="165" t="s">
        <v>1808</v>
      </c>
      <c r="N491" s="202" t="s">
        <v>1806</v>
      </c>
      <c r="O491" s="108" t="s">
        <v>523</v>
      </c>
      <c r="P491" s="107">
        <v>33285.9</v>
      </c>
      <c r="Q491" s="205">
        <f>19800-10200</f>
        <v>9600</v>
      </c>
      <c r="R491" s="241"/>
      <c r="S491" s="242"/>
      <c r="T491" s="205">
        <v>23685.9</v>
      </c>
      <c r="U491" s="93"/>
      <c r="V491" s="128"/>
      <c r="W491" s="172"/>
    </row>
    <row r="492" s="39" customFormat="1" ht="22" customHeight="1" spans="1:23">
      <c r="A492" s="142" t="s">
        <v>1809</v>
      </c>
      <c r="B492" s="174" t="s">
        <v>30</v>
      </c>
      <c r="C492" s="175"/>
      <c r="D492" s="229" t="s">
        <v>31</v>
      </c>
      <c r="E492" s="83" t="s">
        <v>1121</v>
      </c>
      <c r="F492" s="82"/>
      <c r="G492" s="73" t="s">
        <v>1810</v>
      </c>
      <c r="H492" s="45" t="s">
        <v>123</v>
      </c>
      <c r="I492" s="45" t="s">
        <v>215</v>
      </c>
      <c r="J492" s="110">
        <v>44551</v>
      </c>
      <c r="K492" s="146">
        <v>44579</v>
      </c>
      <c r="L492" s="93">
        <v>44592</v>
      </c>
      <c r="M492" s="165" t="s">
        <v>1811</v>
      </c>
      <c r="N492" s="202" t="s">
        <v>1812</v>
      </c>
      <c r="O492" s="108" t="s">
        <v>523</v>
      </c>
      <c r="P492" s="107">
        <v>32593.52</v>
      </c>
      <c r="Q492" s="205"/>
      <c r="R492" s="241"/>
      <c r="S492" s="242"/>
      <c r="T492" s="107">
        <v>32593.52</v>
      </c>
      <c r="U492" s="93"/>
      <c r="V492" s="128"/>
      <c r="W492" s="172"/>
    </row>
    <row r="493" s="39" customFormat="1" ht="22" customHeight="1" spans="1:23">
      <c r="A493" s="142" t="s">
        <v>1813</v>
      </c>
      <c r="B493" s="174" t="s">
        <v>30</v>
      </c>
      <c r="C493" s="175"/>
      <c r="D493" s="229" t="s">
        <v>31</v>
      </c>
      <c r="E493" s="83" t="s">
        <v>1117</v>
      </c>
      <c r="F493" s="82">
        <f>IFERROR(VLOOKUP(E493,客户!B:C,2,FALSE),"/")</f>
        <v>0</v>
      </c>
      <c r="G493" s="83" t="s">
        <v>1814</v>
      </c>
      <c r="H493" s="45" t="s">
        <v>123</v>
      </c>
      <c r="I493" s="45" t="s">
        <v>1533</v>
      </c>
      <c r="J493" s="110">
        <v>44553</v>
      </c>
      <c r="K493" s="146">
        <v>44666</v>
      </c>
      <c r="L493" s="93"/>
      <c r="M493" s="165" t="s">
        <v>1815</v>
      </c>
      <c r="N493" s="202" t="s">
        <v>1816</v>
      </c>
      <c r="O493" s="108" t="s">
        <v>970</v>
      </c>
      <c r="P493" s="107">
        <v>24797.25</v>
      </c>
      <c r="Q493" s="205">
        <f>10000+324.8</f>
        <v>10324.8</v>
      </c>
      <c r="R493" s="241"/>
      <c r="S493" s="242"/>
      <c r="T493" s="205">
        <v>14472.45</v>
      </c>
      <c r="U493" s="93"/>
      <c r="V493" s="128"/>
      <c r="W493" s="172"/>
    </row>
    <row r="494" s="39" customFormat="1" ht="22" customHeight="1" spans="1:23">
      <c r="A494" s="142" t="s">
        <v>1817</v>
      </c>
      <c r="B494" s="174" t="s">
        <v>30</v>
      </c>
      <c r="C494" s="175"/>
      <c r="D494" s="229" t="s">
        <v>31</v>
      </c>
      <c r="E494" s="83" t="s">
        <v>1717</v>
      </c>
      <c r="F494" s="82">
        <f>IFERROR(VLOOKUP(E494,客户!B:C,2,FALSE),"/")</f>
        <v>0</v>
      </c>
      <c r="G494" s="73" t="s">
        <v>1810</v>
      </c>
      <c r="H494" s="45" t="s">
        <v>123</v>
      </c>
      <c r="I494" s="45" t="s">
        <v>215</v>
      </c>
      <c r="J494" s="110">
        <v>44557</v>
      </c>
      <c r="K494" s="146">
        <v>44635</v>
      </c>
      <c r="L494" s="93">
        <v>44655</v>
      </c>
      <c r="M494" s="165" t="s">
        <v>1818</v>
      </c>
      <c r="N494" s="202" t="s">
        <v>1819</v>
      </c>
      <c r="O494" s="108" t="s">
        <v>523</v>
      </c>
      <c r="P494" s="107">
        <v>33687.44</v>
      </c>
      <c r="Q494" s="205">
        <f>25780.06/2</f>
        <v>12890.03</v>
      </c>
      <c r="R494" s="241"/>
      <c r="S494" s="242"/>
      <c r="T494" s="107">
        <v>20797.41</v>
      </c>
      <c r="U494" s="93"/>
      <c r="V494" s="128"/>
      <c r="W494" s="172"/>
    </row>
    <row r="495" s="39" customFormat="1" ht="22" customHeight="1" spans="1:23">
      <c r="A495" s="142" t="s">
        <v>1820</v>
      </c>
      <c r="B495" s="174" t="s">
        <v>30</v>
      </c>
      <c r="C495" s="175"/>
      <c r="D495" s="229" t="s">
        <v>31</v>
      </c>
      <c r="E495" s="83" t="s">
        <v>1717</v>
      </c>
      <c r="F495" s="82">
        <f>IFERROR(VLOOKUP(E495,客户!B:C,2,FALSE),"/")</f>
        <v>0</v>
      </c>
      <c r="G495" s="73" t="s">
        <v>1810</v>
      </c>
      <c r="H495" s="45" t="s">
        <v>123</v>
      </c>
      <c r="I495" s="45" t="s">
        <v>215</v>
      </c>
      <c r="J495" s="110">
        <v>44557</v>
      </c>
      <c r="K495" s="146">
        <v>44675</v>
      </c>
      <c r="L495" s="93">
        <v>44697</v>
      </c>
      <c r="M495" s="165" t="s">
        <v>1821</v>
      </c>
      <c r="N495" s="202" t="s">
        <v>1822</v>
      </c>
      <c r="O495" s="108" t="s">
        <v>523</v>
      </c>
      <c r="P495" s="107">
        <v>33726.44</v>
      </c>
      <c r="Q495" s="205">
        <f>25780.06/2</f>
        <v>12890.03</v>
      </c>
      <c r="R495" s="241"/>
      <c r="S495" s="242"/>
      <c r="T495" s="205">
        <v>20836.41</v>
      </c>
      <c r="U495" s="93"/>
      <c r="V495" s="128"/>
      <c r="W495" s="172"/>
    </row>
    <row r="496" s="39" customFormat="1" ht="22" customHeight="1" spans="1:23">
      <c r="A496" s="142" t="s">
        <v>1823</v>
      </c>
      <c r="B496" s="174" t="s">
        <v>30</v>
      </c>
      <c r="C496" s="175"/>
      <c r="D496" s="229" t="s">
        <v>31</v>
      </c>
      <c r="E496" s="83" t="s">
        <v>1824</v>
      </c>
      <c r="F496" s="82">
        <f>IFERROR(VLOOKUP(E496,客户!B:C,2,FALSE),"/")</f>
        <v>0</v>
      </c>
      <c r="G496" s="73" t="s">
        <v>1825</v>
      </c>
      <c r="H496" s="45"/>
      <c r="I496" s="45"/>
      <c r="J496" s="110">
        <v>44566</v>
      </c>
      <c r="K496" s="146">
        <v>44567</v>
      </c>
      <c r="L496" s="93"/>
      <c r="M496" s="165" t="s">
        <v>1826</v>
      </c>
      <c r="N496" s="110"/>
      <c r="O496" s="108" t="s">
        <v>970</v>
      </c>
      <c r="P496" s="240">
        <v>8600</v>
      </c>
      <c r="Q496" s="240">
        <v>1000</v>
      </c>
      <c r="R496" s="241"/>
      <c r="S496" s="242"/>
      <c r="T496" s="240">
        <v>7600</v>
      </c>
      <c r="U496" s="93"/>
      <c r="V496" s="128"/>
      <c r="W496" s="172"/>
    </row>
    <row r="497" s="39" customFormat="1" ht="22" customHeight="1" spans="1:23">
      <c r="A497" s="142" t="s">
        <v>1827</v>
      </c>
      <c r="B497" s="174" t="s">
        <v>30</v>
      </c>
      <c r="C497" s="175"/>
      <c r="D497" s="229" t="s">
        <v>31</v>
      </c>
      <c r="E497" s="83" t="s">
        <v>1828</v>
      </c>
      <c r="F497" s="82">
        <f>IFERROR(VLOOKUP(E497,客户!B:C,2,FALSE),"/")</f>
        <v>0</v>
      </c>
      <c r="G497" s="73" t="s">
        <v>985</v>
      </c>
      <c r="H497" s="45" t="s">
        <v>123</v>
      </c>
      <c r="I497" s="45" t="s">
        <v>1829</v>
      </c>
      <c r="J497" s="110">
        <v>44575</v>
      </c>
      <c r="K497" s="146">
        <v>44681</v>
      </c>
      <c r="L497" s="93">
        <v>44703</v>
      </c>
      <c r="M497" s="165" t="s">
        <v>1830</v>
      </c>
      <c r="N497" s="202" t="s">
        <v>1831</v>
      </c>
      <c r="O497" s="108" t="s">
        <v>523</v>
      </c>
      <c r="P497" s="107">
        <v>21712.8</v>
      </c>
      <c r="Q497" s="107">
        <v>6500</v>
      </c>
      <c r="R497" s="241"/>
      <c r="S497" s="242"/>
      <c r="T497" s="107">
        <v>15212.8</v>
      </c>
      <c r="U497" s="93"/>
      <c r="V497" s="128"/>
      <c r="W497" s="172"/>
    </row>
    <row r="498" s="39" customFormat="1" ht="22" customHeight="1" spans="1:23">
      <c r="A498" s="142" t="s">
        <v>1832</v>
      </c>
      <c r="B498" s="174" t="s">
        <v>30</v>
      </c>
      <c r="C498" s="175"/>
      <c r="D498" s="229" t="s">
        <v>31</v>
      </c>
      <c r="E498" s="83" t="s">
        <v>1167</v>
      </c>
      <c r="F498" s="82">
        <f>IFERROR(VLOOKUP(E498,客户!B:C,2,FALSE),"/")</f>
        <v>0</v>
      </c>
      <c r="G498" s="73" t="s">
        <v>1369</v>
      </c>
      <c r="H498" s="45" t="s">
        <v>123</v>
      </c>
      <c r="I498" s="45" t="s">
        <v>1370</v>
      </c>
      <c r="J498" s="110">
        <v>44582</v>
      </c>
      <c r="K498" s="146">
        <v>44623</v>
      </c>
      <c r="L498" s="93">
        <v>44662</v>
      </c>
      <c r="M498" s="165" t="s">
        <v>1833</v>
      </c>
      <c r="N498" s="202" t="s">
        <v>1142</v>
      </c>
      <c r="O498" s="108" t="s">
        <v>523</v>
      </c>
      <c r="P498" s="107">
        <v>34164.64</v>
      </c>
      <c r="Q498" s="107">
        <v>10300</v>
      </c>
      <c r="R498" s="241"/>
      <c r="S498" s="242"/>
      <c r="T498" s="107">
        <v>9900</v>
      </c>
      <c r="U498" s="107">
        <f>14064.64-100</f>
        <v>13964.64</v>
      </c>
      <c r="V498" s="128"/>
      <c r="W498" s="172"/>
    </row>
    <row r="499" s="39" customFormat="1" ht="22" customHeight="1" spans="1:23">
      <c r="A499" s="255" t="s">
        <v>1834</v>
      </c>
      <c r="B499" s="174" t="s">
        <v>30</v>
      </c>
      <c r="C499" s="175"/>
      <c r="D499" s="229" t="s">
        <v>1</v>
      </c>
      <c r="E499" s="83" t="s">
        <v>1274</v>
      </c>
      <c r="F499" s="82">
        <f>IFERROR(VLOOKUP(E499,客户!B:C,2,FALSE),"/")</f>
        <v>0</v>
      </c>
      <c r="G499" s="73" t="s">
        <v>1835</v>
      </c>
      <c r="H499" s="45" t="s">
        <v>123</v>
      </c>
      <c r="I499" s="45" t="s">
        <v>1836</v>
      </c>
      <c r="J499" s="110">
        <v>44585</v>
      </c>
      <c r="K499" s="146">
        <v>44725</v>
      </c>
      <c r="L499" s="93"/>
      <c r="M499" s="204" t="s">
        <v>1837</v>
      </c>
      <c r="N499" s="202" t="s">
        <v>1838</v>
      </c>
      <c r="O499" s="108" t="s">
        <v>523</v>
      </c>
      <c r="P499" s="135">
        <v>23265.43</v>
      </c>
      <c r="Q499" s="107">
        <v>5000</v>
      </c>
      <c r="R499" s="241"/>
      <c r="S499" s="242"/>
      <c r="T499" s="240"/>
      <c r="U499" s="93"/>
      <c r="V499" s="128"/>
      <c r="W499" s="172"/>
    </row>
    <row r="500" s="39" customFormat="1" ht="22" customHeight="1" spans="1:23">
      <c r="A500" s="142" t="s">
        <v>1839</v>
      </c>
      <c r="B500" s="174" t="s">
        <v>30</v>
      </c>
      <c r="C500" s="175"/>
      <c r="D500" s="229" t="s">
        <v>31</v>
      </c>
      <c r="E500" s="83" t="s">
        <v>1345</v>
      </c>
      <c r="F500" s="82" t="str">
        <f>IFERROR(VLOOKUP(E500,客户!B:C,2,FALSE),"/")</f>
        <v>J4159还差USD265.65没付齐 J4220还有定金5674.3 账上剩5408.65</v>
      </c>
      <c r="G500" s="73" t="s">
        <v>1198</v>
      </c>
      <c r="H500" s="45" t="s">
        <v>154</v>
      </c>
      <c r="I500" s="45" t="s">
        <v>1840</v>
      </c>
      <c r="J500" s="110">
        <v>44588</v>
      </c>
      <c r="K500" s="146">
        <v>44640</v>
      </c>
      <c r="L500" s="93">
        <v>44680</v>
      </c>
      <c r="M500" s="165" t="s">
        <v>1841</v>
      </c>
      <c r="N500" s="202" t="s">
        <v>1842</v>
      </c>
      <c r="O500" s="108" t="s">
        <v>523</v>
      </c>
      <c r="P500" s="107">
        <v>28696.46</v>
      </c>
      <c r="Q500" s="107">
        <v>5674.3</v>
      </c>
      <c r="R500" s="241"/>
      <c r="S500" s="242"/>
      <c r="T500" s="107">
        <v>28696.46</v>
      </c>
      <c r="U500" s="93"/>
      <c r="V500" s="128"/>
      <c r="W500" s="172"/>
    </row>
    <row r="501" s="39" customFormat="1" ht="22" customHeight="1" spans="1:23">
      <c r="A501" s="255" t="s">
        <v>1843</v>
      </c>
      <c r="B501" s="174" t="s">
        <v>30</v>
      </c>
      <c r="C501" s="175"/>
      <c r="D501" s="229" t="s">
        <v>3</v>
      </c>
      <c r="E501" s="83" t="s">
        <v>1121</v>
      </c>
      <c r="F501" s="82">
        <f>IFERROR(VLOOKUP(E501,客户!B:C,2,FALSE),"/")</f>
        <v>0</v>
      </c>
      <c r="G501" s="73" t="s">
        <v>1844</v>
      </c>
      <c r="H501" s="45" t="s">
        <v>123</v>
      </c>
      <c r="I501" s="45" t="s">
        <v>215</v>
      </c>
      <c r="J501" s="110">
        <v>44600</v>
      </c>
      <c r="K501" s="146"/>
      <c r="L501" s="93"/>
      <c r="M501" s="165" t="s">
        <v>1845</v>
      </c>
      <c r="N501" s="110"/>
      <c r="O501" s="108" t="s">
        <v>523</v>
      </c>
      <c r="P501" s="135">
        <v>117796.24</v>
      </c>
      <c r="Q501" s="107">
        <v>10000</v>
      </c>
      <c r="R501" s="241"/>
      <c r="S501" s="242"/>
      <c r="T501" s="240"/>
      <c r="U501" s="93"/>
      <c r="V501" s="128"/>
      <c r="W501" s="172"/>
    </row>
    <row r="502" s="39" customFormat="1" ht="23" customHeight="1" spans="1:23">
      <c r="A502" s="255" t="s">
        <v>1846</v>
      </c>
      <c r="B502" s="174" t="s">
        <v>30</v>
      </c>
      <c r="C502" s="175"/>
      <c r="D502" s="229" t="s">
        <v>1</v>
      </c>
      <c r="E502" s="83" t="s">
        <v>1121</v>
      </c>
      <c r="F502" s="82">
        <f>IFERROR(VLOOKUP(E502,客户!B:C,2,FALSE),"/")</f>
        <v>0</v>
      </c>
      <c r="G502" s="73" t="s">
        <v>1844</v>
      </c>
      <c r="H502" s="45" t="s">
        <v>123</v>
      </c>
      <c r="I502" s="45" t="s">
        <v>215</v>
      </c>
      <c r="J502" s="110">
        <v>44600</v>
      </c>
      <c r="K502" s="146">
        <v>44718</v>
      </c>
      <c r="L502" s="93">
        <v>44739</v>
      </c>
      <c r="M502" s="165" t="s">
        <v>1847</v>
      </c>
      <c r="N502" s="202" t="s">
        <v>1848</v>
      </c>
      <c r="O502" s="108" t="s">
        <v>523</v>
      </c>
      <c r="P502" s="107">
        <v>62692.2</v>
      </c>
      <c r="Q502" s="107"/>
      <c r="R502" s="241"/>
      <c r="S502" s="242"/>
      <c r="T502" s="240"/>
      <c r="U502" s="93"/>
      <c r="V502" s="128"/>
      <c r="W502" s="172"/>
    </row>
    <row r="503" s="39" customFormat="1" ht="22" customHeight="1" spans="1:23">
      <c r="A503" s="142" t="s">
        <v>1849</v>
      </c>
      <c r="B503" s="174" t="s">
        <v>30</v>
      </c>
      <c r="C503" s="175"/>
      <c r="D503" s="229" t="s">
        <v>31</v>
      </c>
      <c r="E503" s="83" t="s">
        <v>1117</v>
      </c>
      <c r="F503" s="82">
        <f>IFERROR(VLOOKUP(E503,客户!B:C,2,FALSE),"/")</f>
        <v>0</v>
      </c>
      <c r="G503" s="73" t="s">
        <v>1850</v>
      </c>
      <c r="H503" s="45" t="s">
        <v>186</v>
      </c>
      <c r="I503" s="45"/>
      <c r="J503" s="110">
        <v>44602</v>
      </c>
      <c r="K503" s="146">
        <v>44630</v>
      </c>
      <c r="L503" s="93"/>
      <c r="M503" s="165" t="s">
        <v>1851</v>
      </c>
      <c r="N503" s="110"/>
      <c r="O503" s="108" t="s">
        <v>970</v>
      </c>
      <c r="P503" s="240">
        <v>17490</v>
      </c>
      <c r="Q503" s="240">
        <v>6000</v>
      </c>
      <c r="R503" s="241"/>
      <c r="S503" s="242">
        <f>P503-Q503</f>
        <v>11490</v>
      </c>
      <c r="T503" s="240"/>
      <c r="U503" s="93"/>
      <c r="V503" s="128"/>
      <c r="W503" s="172"/>
    </row>
    <row r="504" s="39" customFormat="1" ht="22" customHeight="1" spans="1:23">
      <c r="A504" s="255" t="s">
        <v>1852</v>
      </c>
      <c r="B504" s="174" t="s">
        <v>30</v>
      </c>
      <c r="C504" s="175"/>
      <c r="D504" s="229" t="s">
        <v>3</v>
      </c>
      <c r="E504" s="83" t="s">
        <v>1717</v>
      </c>
      <c r="F504" s="82">
        <f>IFERROR(VLOOKUP(E504,客户!B:C,2,FALSE),"/")</f>
        <v>0</v>
      </c>
      <c r="G504" s="73" t="s">
        <v>1853</v>
      </c>
      <c r="H504" s="45" t="s">
        <v>123</v>
      </c>
      <c r="I504" s="45" t="s">
        <v>215</v>
      </c>
      <c r="J504" s="110">
        <v>44603</v>
      </c>
      <c r="K504" s="146"/>
      <c r="L504" s="93"/>
      <c r="M504" s="165" t="s">
        <v>1854</v>
      </c>
      <c r="N504" s="110"/>
      <c r="O504" s="108" t="s">
        <v>523</v>
      </c>
      <c r="P504" s="135">
        <v>31395.22</v>
      </c>
      <c r="Q504" s="107">
        <v>9419</v>
      </c>
      <c r="R504" s="241"/>
      <c r="S504" s="242"/>
      <c r="T504" s="240"/>
      <c r="U504" s="93"/>
      <c r="V504" s="128"/>
      <c r="W504" s="172"/>
    </row>
    <row r="505" s="39" customFormat="1" ht="22" customHeight="1" spans="1:23">
      <c r="A505" s="255" t="s">
        <v>1855</v>
      </c>
      <c r="B505" s="174" t="s">
        <v>30</v>
      </c>
      <c r="C505" s="175"/>
      <c r="D505" s="229" t="s">
        <v>1</v>
      </c>
      <c r="E505" s="83" t="s">
        <v>1415</v>
      </c>
      <c r="F505" s="82">
        <f>IFERROR(VLOOKUP(E505,客户!B:C,2,FALSE),"/")</f>
        <v>0</v>
      </c>
      <c r="G505" s="73" t="s">
        <v>1856</v>
      </c>
      <c r="H505" s="45" t="s">
        <v>123</v>
      </c>
      <c r="I505" s="45" t="s">
        <v>1203</v>
      </c>
      <c r="J505" s="110">
        <v>44605</v>
      </c>
      <c r="K505" s="146">
        <v>44715</v>
      </c>
      <c r="L505" s="93">
        <v>44744</v>
      </c>
      <c r="M505" s="165" t="s">
        <v>1857</v>
      </c>
      <c r="N505" s="202" t="s">
        <v>1858</v>
      </c>
      <c r="O505" s="108" t="s">
        <v>523</v>
      </c>
      <c r="P505" s="107">
        <v>32256.9</v>
      </c>
      <c r="Q505" s="107">
        <v>8000</v>
      </c>
      <c r="R505" s="241">
        <f>P505-Q505</f>
        <v>24256.9</v>
      </c>
      <c r="S505" s="242"/>
      <c r="T505" s="240"/>
      <c r="U505" s="93"/>
      <c r="V505" s="128"/>
      <c r="W505" s="172"/>
    </row>
    <row r="506" s="39" customFormat="1" ht="22" customHeight="1" spans="1:23">
      <c r="A506" s="142" t="s">
        <v>1859</v>
      </c>
      <c r="B506" s="174" t="s">
        <v>30</v>
      </c>
      <c r="C506" s="175"/>
      <c r="D506" s="229" t="s">
        <v>31</v>
      </c>
      <c r="E506" s="83" t="s">
        <v>1083</v>
      </c>
      <c r="F506" s="82"/>
      <c r="G506" s="73" t="s">
        <v>1856</v>
      </c>
      <c r="H506" s="45" t="s">
        <v>123</v>
      </c>
      <c r="I506" s="45" t="s">
        <v>232</v>
      </c>
      <c r="J506" s="110">
        <v>44610</v>
      </c>
      <c r="K506" s="146">
        <v>44679</v>
      </c>
      <c r="L506" s="93">
        <v>44699</v>
      </c>
      <c r="M506" s="165" t="s">
        <v>1860</v>
      </c>
      <c r="N506" s="202" t="s">
        <v>1861</v>
      </c>
      <c r="O506" s="108" t="s">
        <v>523</v>
      </c>
      <c r="P506" s="107">
        <v>28367.98</v>
      </c>
      <c r="Q506" s="107"/>
      <c r="R506" s="241"/>
      <c r="S506" s="242"/>
      <c r="T506" s="107">
        <v>28367.98</v>
      </c>
      <c r="U506" s="93"/>
      <c r="V506" s="219" t="s">
        <v>1862</v>
      </c>
      <c r="W506" s="172"/>
    </row>
    <row r="507" s="39" customFormat="1" ht="22" customHeight="1" spans="1:23">
      <c r="A507" s="142" t="s">
        <v>1863</v>
      </c>
      <c r="B507" s="174" t="s">
        <v>30</v>
      </c>
      <c r="C507" s="175"/>
      <c r="D507" s="229" t="s">
        <v>31</v>
      </c>
      <c r="E507" s="83" t="s">
        <v>1083</v>
      </c>
      <c r="F507" s="82">
        <f>IFERROR(VLOOKUP(E507,客户!B:C,2,FALSE),"/")</f>
        <v>0</v>
      </c>
      <c r="G507" s="73" t="s">
        <v>1856</v>
      </c>
      <c r="H507" s="45" t="s">
        <v>123</v>
      </c>
      <c r="I507" s="45" t="s">
        <v>232</v>
      </c>
      <c r="J507" s="110">
        <v>44610</v>
      </c>
      <c r="K507" s="146">
        <v>44675</v>
      </c>
      <c r="L507" s="93">
        <v>44702</v>
      </c>
      <c r="M507" s="165" t="s">
        <v>1864</v>
      </c>
      <c r="N507" s="202" t="s">
        <v>1865</v>
      </c>
      <c r="O507" s="108" t="s">
        <v>523</v>
      </c>
      <c r="P507" s="107">
        <v>28924</v>
      </c>
      <c r="Q507" s="107"/>
      <c r="R507" s="241"/>
      <c r="S507" s="242"/>
      <c r="T507" s="107">
        <v>28924</v>
      </c>
      <c r="U507" s="93"/>
      <c r="V507" s="128"/>
      <c r="W507" s="172"/>
    </row>
    <row r="508" s="39" customFormat="1" ht="22" customHeight="1" spans="1:23">
      <c r="A508" s="142" t="s">
        <v>1866</v>
      </c>
      <c r="B508" s="174" t="s">
        <v>30</v>
      </c>
      <c r="C508" s="175"/>
      <c r="D508" s="229" t="s">
        <v>31</v>
      </c>
      <c r="E508" s="83" t="s">
        <v>1167</v>
      </c>
      <c r="F508" s="82">
        <f>IFERROR(VLOOKUP(E508,客户!B:C,2,FALSE),"/")</f>
        <v>0</v>
      </c>
      <c r="G508" s="73" t="s">
        <v>1369</v>
      </c>
      <c r="H508" s="45" t="s">
        <v>123</v>
      </c>
      <c r="I508" s="45" t="s">
        <v>1370</v>
      </c>
      <c r="J508" s="110">
        <v>44613</v>
      </c>
      <c r="K508" s="146">
        <v>44678</v>
      </c>
      <c r="L508" s="93">
        <v>44707</v>
      </c>
      <c r="M508" s="165" t="s">
        <v>1867</v>
      </c>
      <c r="N508" s="202" t="s">
        <v>1372</v>
      </c>
      <c r="O508" s="108" t="s">
        <v>523</v>
      </c>
      <c r="P508" s="107">
        <v>37942.17</v>
      </c>
      <c r="Q508" s="107">
        <f>10400+100</f>
        <v>10500</v>
      </c>
      <c r="R508" s="241"/>
      <c r="S508" s="242"/>
      <c r="T508" s="107">
        <v>27442.17</v>
      </c>
      <c r="U508" s="93"/>
      <c r="V508" s="128"/>
      <c r="W508" s="172"/>
    </row>
    <row r="509" s="39" customFormat="1" ht="22" customHeight="1" spans="1:23">
      <c r="A509" s="255" t="s">
        <v>1868</v>
      </c>
      <c r="B509" s="174" t="s">
        <v>30</v>
      </c>
      <c r="C509" s="175"/>
      <c r="D509" s="229" t="s">
        <v>1</v>
      </c>
      <c r="E509" s="83" t="s">
        <v>1429</v>
      </c>
      <c r="F509" s="82">
        <f>IFERROR(VLOOKUP(E509,客户!B:C,2,FALSE),"/")</f>
        <v>0</v>
      </c>
      <c r="G509" s="73" t="s">
        <v>1869</v>
      </c>
      <c r="H509" s="45" t="s">
        <v>127</v>
      </c>
      <c r="I509" s="45" t="s">
        <v>1870</v>
      </c>
      <c r="J509" s="110">
        <v>44614</v>
      </c>
      <c r="K509" s="146">
        <v>44715</v>
      </c>
      <c r="L509" s="93">
        <v>44766</v>
      </c>
      <c r="M509" s="165" t="s">
        <v>1871</v>
      </c>
      <c r="N509" s="202" t="s">
        <v>1872</v>
      </c>
      <c r="O509" s="108" t="s">
        <v>523</v>
      </c>
      <c r="P509" s="107">
        <v>106237.35</v>
      </c>
      <c r="Q509" s="107">
        <v>8000</v>
      </c>
      <c r="R509" s="241"/>
      <c r="S509" s="242"/>
      <c r="T509" s="240"/>
      <c r="U509" s="93"/>
      <c r="V509" s="128"/>
      <c r="W509" s="172"/>
    </row>
    <row r="510" s="39" customFormat="1" ht="22" customHeight="1" spans="1:23">
      <c r="A510" s="142" t="s">
        <v>1873</v>
      </c>
      <c r="B510" s="174" t="s">
        <v>30</v>
      </c>
      <c r="C510" s="175"/>
      <c r="D510" s="229" t="s">
        <v>1</v>
      </c>
      <c r="E510" s="83" t="s">
        <v>1508</v>
      </c>
      <c r="F510" s="82">
        <f>IFERROR(VLOOKUP(E510,客户!B:C,2,FALSE),"/")</f>
        <v>0</v>
      </c>
      <c r="G510" s="73" t="s">
        <v>1856</v>
      </c>
      <c r="H510" s="45" t="s">
        <v>123</v>
      </c>
      <c r="I510" s="45" t="s">
        <v>1874</v>
      </c>
      <c r="J510" s="110">
        <v>44615</v>
      </c>
      <c r="K510" s="146">
        <v>44701</v>
      </c>
      <c r="L510" s="93">
        <v>44744</v>
      </c>
      <c r="M510" s="165" t="s">
        <v>1875</v>
      </c>
      <c r="N510" s="202" t="s">
        <v>1876</v>
      </c>
      <c r="O510" s="108" t="s">
        <v>523</v>
      </c>
      <c r="P510" s="107">
        <v>29576</v>
      </c>
      <c r="Q510" s="107">
        <v>10000</v>
      </c>
      <c r="R510" s="241"/>
      <c r="S510" s="242"/>
      <c r="T510" s="107">
        <v>19576</v>
      </c>
      <c r="U510" s="93"/>
      <c r="V510" s="128"/>
      <c r="W510" s="172"/>
    </row>
    <row r="511" s="39" customFormat="1" ht="22" customHeight="1" spans="1:23">
      <c r="A511" s="142" t="s">
        <v>1877</v>
      </c>
      <c r="B511" s="174" t="s">
        <v>30</v>
      </c>
      <c r="C511" s="175"/>
      <c r="D511" s="229" t="s">
        <v>31</v>
      </c>
      <c r="E511" s="83" t="s">
        <v>1789</v>
      </c>
      <c r="F511" s="82">
        <f>IFERROR(VLOOKUP(E511,客户!B:C,2,FALSE),"/")</f>
        <v>0</v>
      </c>
      <c r="G511" s="73" t="s">
        <v>1878</v>
      </c>
      <c r="H511" s="45" t="s">
        <v>186</v>
      </c>
      <c r="I511" s="45"/>
      <c r="J511" s="110">
        <v>44616</v>
      </c>
      <c r="K511" s="146">
        <v>44713</v>
      </c>
      <c r="L511" s="93"/>
      <c r="M511" s="165" t="s">
        <v>1879</v>
      </c>
      <c r="N511" s="110"/>
      <c r="O511" s="108" t="s">
        <v>970</v>
      </c>
      <c r="P511" s="240">
        <v>34216</v>
      </c>
      <c r="Q511" s="240">
        <v>10000</v>
      </c>
      <c r="R511" s="241"/>
      <c r="S511" s="242"/>
      <c r="T511" s="240">
        <v>24216</v>
      </c>
      <c r="U511" s="93"/>
      <c r="V511" s="128"/>
      <c r="W511" s="172"/>
    </row>
    <row r="512" s="39" customFormat="1" ht="22" customHeight="1" spans="1:23">
      <c r="A512" s="255" t="s">
        <v>1880</v>
      </c>
      <c r="B512" s="174" t="s">
        <v>30</v>
      </c>
      <c r="C512" s="175"/>
      <c r="D512" s="229" t="s">
        <v>3</v>
      </c>
      <c r="E512" s="83" t="s">
        <v>1717</v>
      </c>
      <c r="F512" s="82">
        <f>IFERROR(VLOOKUP(E512,客户!B:C,2,FALSE),"/")</f>
        <v>0</v>
      </c>
      <c r="G512" s="73" t="s">
        <v>1881</v>
      </c>
      <c r="H512" s="45" t="s">
        <v>123</v>
      </c>
      <c r="I512" s="45" t="s">
        <v>215</v>
      </c>
      <c r="J512" s="110">
        <v>44617</v>
      </c>
      <c r="K512" s="146"/>
      <c r="L512" s="93"/>
      <c r="M512" s="165" t="s">
        <v>1882</v>
      </c>
      <c r="N512" s="110"/>
      <c r="O512" s="108" t="s">
        <v>523</v>
      </c>
      <c r="P512" s="135"/>
      <c r="Q512" s="107">
        <f>28260/3</f>
        <v>9420</v>
      </c>
      <c r="R512" s="241"/>
      <c r="S512" s="242"/>
      <c r="T512" s="240"/>
      <c r="U512" s="93"/>
      <c r="V512" s="128"/>
      <c r="W512" s="172"/>
    </row>
    <row r="513" s="39" customFormat="1" ht="22" customHeight="1" spans="1:23">
      <c r="A513" s="142" t="s">
        <v>1883</v>
      </c>
      <c r="B513" s="174" t="s">
        <v>30</v>
      </c>
      <c r="C513" s="175"/>
      <c r="D513" s="229" t="s">
        <v>31</v>
      </c>
      <c r="E513" s="83" t="s">
        <v>1717</v>
      </c>
      <c r="F513" s="82"/>
      <c r="G513" s="73" t="s">
        <v>1881</v>
      </c>
      <c r="H513" s="45" t="s">
        <v>123</v>
      </c>
      <c r="I513" s="45" t="s">
        <v>215</v>
      </c>
      <c r="J513" s="110">
        <v>44617</v>
      </c>
      <c r="K513" s="146">
        <v>44706</v>
      </c>
      <c r="L513" s="93">
        <v>44725</v>
      </c>
      <c r="M513" s="165" t="s">
        <v>1884</v>
      </c>
      <c r="N513" s="202" t="s">
        <v>1885</v>
      </c>
      <c r="O513" s="108" t="s">
        <v>523</v>
      </c>
      <c r="P513" s="107">
        <v>33987.36</v>
      </c>
      <c r="Q513" s="107">
        <v>9420</v>
      </c>
      <c r="R513" s="241"/>
      <c r="S513" s="242"/>
      <c r="T513" s="265">
        <f>13984.8+14345.2</f>
        <v>28330</v>
      </c>
      <c r="U513" s="265">
        <v>21068</v>
      </c>
      <c r="V513" s="128"/>
      <c r="W513" s="172"/>
    </row>
    <row r="514" s="39" customFormat="1" ht="22" customHeight="1" spans="1:23">
      <c r="A514" s="142" t="s">
        <v>1886</v>
      </c>
      <c r="B514" s="174" t="s">
        <v>30</v>
      </c>
      <c r="C514" s="175"/>
      <c r="D514" s="229" t="s">
        <v>31</v>
      </c>
      <c r="E514" s="83" t="s">
        <v>1717</v>
      </c>
      <c r="F514" s="82"/>
      <c r="G514" s="73" t="s">
        <v>1881</v>
      </c>
      <c r="H514" s="45" t="s">
        <v>123</v>
      </c>
      <c r="I514" s="45" t="s">
        <v>215</v>
      </c>
      <c r="J514" s="110">
        <v>44617</v>
      </c>
      <c r="K514" s="146">
        <v>44710</v>
      </c>
      <c r="L514" s="93">
        <v>44725</v>
      </c>
      <c r="M514" s="165" t="s">
        <v>1887</v>
      </c>
      <c r="N514" s="202" t="s">
        <v>1888</v>
      </c>
      <c r="O514" s="108" t="s">
        <v>523</v>
      </c>
      <c r="P514" s="107">
        <v>34250.36</v>
      </c>
      <c r="Q514" s="107">
        <v>9420</v>
      </c>
      <c r="R514" s="241"/>
      <c r="S514" s="242"/>
      <c r="T514" s="266"/>
      <c r="U514" s="266"/>
      <c r="V514" s="128"/>
      <c r="W514" s="172"/>
    </row>
    <row r="515" s="39" customFormat="1" ht="22" customHeight="1" spans="1:23">
      <c r="A515" s="255" t="s">
        <v>1889</v>
      </c>
      <c r="B515" s="174" t="s">
        <v>30</v>
      </c>
      <c r="C515" s="175"/>
      <c r="D515" s="229" t="s">
        <v>2</v>
      </c>
      <c r="E515" s="83" t="s">
        <v>1238</v>
      </c>
      <c r="F515" s="82">
        <f>IFERROR(VLOOKUP(E515,客户!B:C,2,FALSE),"/")</f>
        <v>0</v>
      </c>
      <c r="G515" s="73" t="s">
        <v>985</v>
      </c>
      <c r="H515" s="45" t="s">
        <v>123</v>
      </c>
      <c r="I515" s="45" t="s">
        <v>1662</v>
      </c>
      <c r="J515" s="110">
        <v>44623</v>
      </c>
      <c r="K515" s="146">
        <v>44694</v>
      </c>
      <c r="L515" s="93">
        <v>44732</v>
      </c>
      <c r="M515" s="165" t="s">
        <v>1890</v>
      </c>
      <c r="N515" s="202" t="s">
        <v>1891</v>
      </c>
      <c r="O515" s="108" t="s">
        <v>523</v>
      </c>
      <c r="P515" s="107">
        <v>28796.03</v>
      </c>
      <c r="Q515" s="107">
        <v>3429</v>
      </c>
      <c r="R515" s="241">
        <f t="shared" ref="R513:R518" si="0">P515-Q515</f>
        <v>25367.03</v>
      </c>
      <c r="S515" s="242"/>
      <c r="T515" s="240"/>
      <c r="U515" s="93"/>
      <c r="V515" s="128"/>
      <c r="W515" s="172"/>
    </row>
    <row r="516" s="39" customFormat="1" ht="22" customHeight="1" spans="1:23">
      <c r="A516" s="142" t="s">
        <v>1892</v>
      </c>
      <c r="B516" s="174" t="s">
        <v>30</v>
      </c>
      <c r="C516" s="175"/>
      <c r="D516" s="229" t="s">
        <v>2</v>
      </c>
      <c r="E516" s="83" t="s">
        <v>1167</v>
      </c>
      <c r="F516" s="82">
        <f>IFERROR(VLOOKUP(E516,客户!B:C,2,FALSE),"/")</f>
        <v>0</v>
      </c>
      <c r="G516" s="73" t="s">
        <v>1893</v>
      </c>
      <c r="H516" s="45" t="s">
        <v>123</v>
      </c>
      <c r="I516" s="45" t="s">
        <v>550</v>
      </c>
      <c r="J516" s="110">
        <v>44628</v>
      </c>
      <c r="K516" s="146">
        <v>44718</v>
      </c>
      <c r="L516" s="93">
        <v>44741</v>
      </c>
      <c r="M516" s="165" t="s">
        <v>1894</v>
      </c>
      <c r="N516" s="202" t="s">
        <v>1895</v>
      </c>
      <c r="O516" s="108" t="s">
        <v>523</v>
      </c>
      <c r="P516" s="107">
        <v>38030.12</v>
      </c>
      <c r="Q516" s="107">
        <f>20500/2</f>
        <v>10250</v>
      </c>
      <c r="R516" s="241"/>
      <c r="S516" s="242"/>
      <c r="T516" s="107">
        <v>27780.12</v>
      </c>
      <c r="U516" s="93"/>
      <c r="V516" s="128"/>
      <c r="W516" s="172"/>
    </row>
    <row r="517" s="39" customFormat="1" ht="22" customHeight="1" spans="1:23">
      <c r="A517" s="255" t="s">
        <v>1896</v>
      </c>
      <c r="B517" s="174" t="s">
        <v>30</v>
      </c>
      <c r="C517" s="175"/>
      <c r="D517" s="229" t="s">
        <v>2</v>
      </c>
      <c r="E517" s="83" t="s">
        <v>1167</v>
      </c>
      <c r="F517" s="82">
        <f>IFERROR(VLOOKUP(E517,客户!B:C,2,FALSE),"/")</f>
        <v>0</v>
      </c>
      <c r="G517" s="73" t="s">
        <v>1893</v>
      </c>
      <c r="H517" s="45" t="s">
        <v>123</v>
      </c>
      <c r="I517" s="45" t="s">
        <v>550</v>
      </c>
      <c r="J517" s="110">
        <v>44628</v>
      </c>
      <c r="K517" s="146">
        <v>44718</v>
      </c>
      <c r="L517" s="93">
        <v>44741</v>
      </c>
      <c r="M517" s="165" t="s">
        <v>1897</v>
      </c>
      <c r="N517" s="202" t="s">
        <v>1895</v>
      </c>
      <c r="O517" s="108" t="s">
        <v>523</v>
      </c>
      <c r="P517" s="107">
        <v>35121.68</v>
      </c>
      <c r="Q517" s="107">
        <f>20500/2</f>
        <v>10250</v>
      </c>
      <c r="R517" s="241">
        <f t="shared" si="0"/>
        <v>24871.68</v>
      </c>
      <c r="S517" s="242"/>
      <c r="T517" s="240"/>
      <c r="U517" s="93"/>
      <c r="V517" s="128"/>
      <c r="W517" s="172"/>
    </row>
    <row r="518" s="39" customFormat="1" ht="22" customHeight="1" spans="1:23">
      <c r="A518" s="255" t="s">
        <v>1898</v>
      </c>
      <c r="B518" s="174" t="s">
        <v>30</v>
      </c>
      <c r="C518" s="175"/>
      <c r="D518" s="229" t="s">
        <v>1</v>
      </c>
      <c r="E518" s="83" t="s">
        <v>1899</v>
      </c>
      <c r="F518" s="82">
        <f>IFERROR(VLOOKUP(E518,客户!B:C,2,FALSE),"/")</f>
        <v>0</v>
      </c>
      <c r="G518" s="73" t="s">
        <v>1900</v>
      </c>
      <c r="H518" s="45" t="s">
        <v>123</v>
      </c>
      <c r="I518" s="45" t="s">
        <v>1901</v>
      </c>
      <c r="J518" s="110">
        <v>44633</v>
      </c>
      <c r="K518" s="146">
        <v>44722</v>
      </c>
      <c r="L518" s="93"/>
      <c r="M518" s="165" t="s">
        <v>1902</v>
      </c>
      <c r="N518" s="202" t="s">
        <v>1903</v>
      </c>
      <c r="O518" s="108" t="s">
        <v>523</v>
      </c>
      <c r="P518" s="107">
        <v>58389.48</v>
      </c>
      <c r="Q518" s="107">
        <v>18000</v>
      </c>
      <c r="R518" s="241">
        <f t="shared" si="0"/>
        <v>40389.48</v>
      </c>
      <c r="S518" s="242"/>
      <c r="T518" s="240"/>
      <c r="U518" s="93"/>
      <c r="V518" s="128"/>
      <c r="W518" s="172"/>
    </row>
    <row r="519" s="39" customFormat="1" ht="22" customHeight="1" spans="1:23">
      <c r="A519" s="255" t="s">
        <v>1904</v>
      </c>
      <c r="B519" s="174" t="s">
        <v>30</v>
      </c>
      <c r="C519" s="175"/>
      <c r="D519" s="229" t="s">
        <v>3</v>
      </c>
      <c r="E519" s="83" t="s">
        <v>1117</v>
      </c>
      <c r="F519" s="82">
        <f>IFERROR(VLOOKUP(E519,客户!B:C,2,FALSE),"/")</f>
        <v>0</v>
      </c>
      <c r="G519" s="73" t="s">
        <v>1905</v>
      </c>
      <c r="H519" s="45" t="s">
        <v>123</v>
      </c>
      <c r="I519" s="45" t="s">
        <v>1533</v>
      </c>
      <c r="J519" s="110">
        <v>44635</v>
      </c>
      <c r="K519" s="146"/>
      <c r="L519" s="93"/>
      <c r="M519" s="165" t="s">
        <v>1906</v>
      </c>
      <c r="N519" s="110"/>
      <c r="O519" s="108" t="s">
        <v>523</v>
      </c>
      <c r="P519" s="135">
        <v>28743.75</v>
      </c>
      <c r="Q519" s="107">
        <v>10000</v>
      </c>
      <c r="R519" s="241"/>
      <c r="S519" s="242"/>
      <c r="T519" s="240"/>
      <c r="U519" s="93"/>
      <c r="V519" s="128"/>
      <c r="W519" s="172"/>
    </row>
    <row r="520" s="39" customFormat="1" ht="22" customHeight="1" spans="1:23">
      <c r="A520" s="255" t="s">
        <v>1907</v>
      </c>
      <c r="B520" s="174" t="s">
        <v>30</v>
      </c>
      <c r="C520" s="175"/>
      <c r="D520" s="229" t="s">
        <v>0</v>
      </c>
      <c r="E520" s="83" t="s">
        <v>1508</v>
      </c>
      <c r="F520" s="82">
        <f>IFERROR(VLOOKUP(E520,客户!B:C,2,FALSE),"/")</f>
        <v>0</v>
      </c>
      <c r="G520" s="73" t="s">
        <v>913</v>
      </c>
      <c r="H520" s="45" t="s">
        <v>123</v>
      </c>
      <c r="I520" s="45" t="s">
        <v>1546</v>
      </c>
      <c r="J520" s="110">
        <v>44639</v>
      </c>
      <c r="K520" s="179"/>
      <c r="L520" s="93"/>
      <c r="M520" s="165" t="s">
        <v>1908</v>
      </c>
      <c r="N520" s="202" t="s">
        <v>1909</v>
      </c>
      <c r="O520" s="108" t="s">
        <v>523</v>
      </c>
      <c r="P520" s="135">
        <v>26612.53</v>
      </c>
      <c r="Q520" s="107">
        <v>10000</v>
      </c>
      <c r="R520" s="241"/>
      <c r="S520" s="242"/>
      <c r="T520" s="240"/>
      <c r="U520" s="93"/>
      <c r="V520" s="128"/>
      <c r="W520" s="172"/>
    </row>
    <row r="521" s="39" customFormat="1" ht="22" customHeight="1" spans="1:23">
      <c r="A521" s="142" t="s">
        <v>1910</v>
      </c>
      <c r="B521" s="174" t="s">
        <v>30</v>
      </c>
      <c r="C521" s="175"/>
      <c r="D521" s="229" t="s">
        <v>31</v>
      </c>
      <c r="E521" s="83" t="s">
        <v>1911</v>
      </c>
      <c r="F521" s="82">
        <f>IFERROR(VLOOKUP(E521,客户!B:C,2,FALSE),"/")</f>
        <v>0</v>
      </c>
      <c r="G521" s="73" t="s">
        <v>1912</v>
      </c>
      <c r="H521" s="45" t="s">
        <v>123</v>
      </c>
      <c r="I521" s="45" t="s">
        <v>1913</v>
      </c>
      <c r="J521" s="110">
        <v>44644</v>
      </c>
      <c r="K521" s="146">
        <v>44714</v>
      </c>
      <c r="L521" s="93">
        <v>44743</v>
      </c>
      <c r="M521" s="165" t="s">
        <v>1914</v>
      </c>
      <c r="N521" s="202" t="s">
        <v>1915</v>
      </c>
      <c r="O521" s="108" t="s">
        <v>523</v>
      </c>
      <c r="P521" s="261">
        <v>44513.03</v>
      </c>
      <c r="Q521" s="261">
        <v>10751.19</v>
      </c>
      <c r="R521" s="261"/>
      <c r="S521" s="242"/>
      <c r="T521" s="261">
        <v>33761.84</v>
      </c>
      <c r="U521" s="93"/>
      <c r="V521" s="128"/>
      <c r="W521" s="172"/>
    </row>
    <row r="522" s="39" customFormat="1" ht="22" customHeight="1" spans="1:23">
      <c r="A522" s="255" t="s">
        <v>1916</v>
      </c>
      <c r="B522" s="174" t="s">
        <v>30</v>
      </c>
      <c r="C522" s="175"/>
      <c r="D522" s="229" t="s">
        <v>0</v>
      </c>
      <c r="E522" s="83" t="s">
        <v>1257</v>
      </c>
      <c r="F522" s="82">
        <f>IFERROR(VLOOKUP(E522,客户!B:C,2,FALSE),"/")</f>
        <v>0</v>
      </c>
      <c r="G522" s="73" t="s">
        <v>1905</v>
      </c>
      <c r="H522" s="45" t="s">
        <v>123</v>
      </c>
      <c r="I522" s="45" t="s">
        <v>751</v>
      </c>
      <c r="J522" s="110">
        <v>44644</v>
      </c>
      <c r="K522" s="146"/>
      <c r="L522" s="93"/>
      <c r="M522" s="165" t="s">
        <v>1917</v>
      </c>
      <c r="N522" s="202" t="s">
        <v>1918</v>
      </c>
      <c r="O522" s="108" t="s">
        <v>523</v>
      </c>
      <c r="P522" s="135">
        <v>27879.94</v>
      </c>
      <c r="Q522" s="107">
        <v>5575</v>
      </c>
      <c r="R522" s="241"/>
      <c r="S522" s="242"/>
      <c r="T522" s="240"/>
      <c r="U522" s="93"/>
      <c r="V522" s="128"/>
      <c r="W522" s="172"/>
    </row>
    <row r="523" s="39" customFormat="1" ht="22" customHeight="1" spans="1:23">
      <c r="A523" s="255" t="s">
        <v>1919</v>
      </c>
      <c r="B523" s="174" t="s">
        <v>30</v>
      </c>
      <c r="C523" s="175"/>
      <c r="D523" s="229" t="s">
        <v>0</v>
      </c>
      <c r="E523" s="83" t="s">
        <v>1377</v>
      </c>
      <c r="F523" s="82">
        <f>IFERROR(VLOOKUP(E523,客户!B:C,2,FALSE),"/")</f>
        <v>0</v>
      </c>
      <c r="G523" s="73" t="s">
        <v>1517</v>
      </c>
      <c r="H523" s="45" t="s">
        <v>123</v>
      </c>
      <c r="I523" s="45" t="s">
        <v>1095</v>
      </c>
      <c r="J523" s="110">
        <v>44644</v>
      </c>
      <c r="K523" s="179">
        <v>44736</v>
      </c>
      <c r="L523" s="93"/>
      <c r="M523" s="165" t="s">
        <v>1920</v>
      </c>
      <c r="N523" s="202" t="s">
        <v>1921</v>
      </c>
      <c r="O523" s="108" t="s">
        <v>523</v>
      </c>
      <c r="P523" s="135">
        <v>28872</v>
      </c>
      <c r="Q523" s="107">
        <v>5775</v>
      </c>
      <c r="R523" s="241"/>
      <c r="S523" s="242"/>
      <c r="T523" s="240"/>
      <c r="U523" s="93"/>
      <c r="V523" s="128"/>
      <c r="W523" s="172"/>
    </row>
    <row r="524" s="39" customFormat="1" ht="22" customHeight="1" spans="1:23">
      <c r="A524" s="255" t="s">
        <v>1922</v>
      </c>
      <c r="B524" s="174" t="s">
        <v>30</v>
      </c>
      <c r="C524" s="175"/>
      <c r="D524" s="229" t="s">
        <v>3</v>
      </c>
      <c r="E524" s="83" t="s">
        <v>1911</v>
      </c>
      <c r="F524" s="82">
        <f>IFERROR(VLOOKUP(E524,客户!B:C,2,FALSE),"/")</f>
        <v>0</v>
      </c>
      <c r="G524" s="73" t="s">
        <v>1923</v>
      </c>
      <c r="H524" s="45" t="s">
        <v>123</v>
      </c>
      <c r="I524" s="45" t="s">
        <v>1913</v>
      </c>
      <c r="J524" s="110">
        <v>44646</v>
      </c>
      <c r="K524" s="146"/>
      <c r="L524" s="93"/>
      <c r="M524" s="165" t="s">
        <v>1924</v>
      </c>
      <c r="N524" s="110"/>
      <c r="O524" s="108" t="s">
        <v>523</v>
      </c>
      <c r="P524" s="135" t="s">
        <v>1925</v>
      </c>
      <c r="Q524" s="261">
        <v>9710.28</v>
      </c>
      <c r="R524" s="241"/>
      <c r="S524" s="242"/>
      <c r="T524" s="240"/>
      <c r="U524" s="93"/>
      <c r="V524" s="128"/>
      <c r="W524" s="172"/>
    </row>
    <row r="525" s="39" customFormat="1" ht="22" customHeight="1" spans="1:23">
      <c r="A525" s="255" t="s">
        <v>1926</v>
      </c>
      <c r="B525" s="174" t="s">
        <v>30</v>
      </c>
      <c r="C525" s="175"/>
      <c r="D525" s="229" t="s">
        <v>3</v>
      </c>
      <c r="E525" s="83" t="s">
        <v>1911</v>
      </c>
      <c r="F525" s="82">
        <f>IFERROR(VLOOKUP(E525,客户!B:C,2,FALSE),"/")</f>
        <v>0</v>
      </c>
      <c r="G525" s="73" t="s">
        <v>1927</v>
      </c>
      <c r="H525" s="45" t="s">
        <v>123</v>
      </c>
      <c r="I525" s="45" t="s">
        <v>1913</v>
      </c>
      <c r="J525" s="110">
        <v>44650</v>
      </c>
      <c r="K525" s="146"/>
      <c r="L525" s="93"/>
      <c r="M525" s="165" t="s">
        <v>1928</v>
      </c>
      <c r="N525" s="110"/>
      <c r="O525" s="108" t="s">
        <v>523</v>
      </c>
      <c r="P525" s="262">
        <v>39205.1</v>
      </c>
      <c r="Q525" s="261"/>
      <c r="R525" s="241"/>
      <c r="S525" s="242"/>
      <c r="T525" s="240"/>
      <c r="U525" s="93"/>
      <c r="V525" s="128"/>
      <c r="W525" s="172"/>
    </row>
    <row r="526" s="39" customFormat="1" ht="22" customHeight="1" spans="1:23">
      <c r="A526" s="142" t="s">
        <v>1929</v>
      </c>
      <c r="B526" s="174" t="s">
        <v>30</v>
      </c>
      <c r="C526" s="175"/>
      <c r="D526" s="229" t="s">
        <v>2</v>
      </c>
      <c r="E526" s="83" t="s">
        <v>1911</v>
      </c>
      <c r="F526" s="82">
        <f>IFERROR(VLOOKUP(E526,客户!B:C,2,FALSE),"/")</f>
        <v>0</v>
      </c>
      <c r="G526" s="83" t="s">
        <v>1930</v>
      </c>
      <c r="H526" s="45" t="s">
        <v>123</v>
      </c>
      <c r="I526" s="45" t="s">
        <v>1913</v>
      </c>
      <c r="J526" s="110">
        <v>44653</v>
      </c>
      <c r="K526" s="146">
        <v>44714</v>
      </c>
      <c r="L526" s="93">
        <v>44743</v>
      </c>
      <c r="M526" s="165" t="s">
        <v>1931</v>
      </c>
      <c r="N526" s="202" t="s">
        <v>1932</v>
      </c>
      <c r="O526" s="108" t="s">
        <v>523</v>
      </c>
      <c r="P526" s="261">
        <v>48426.2</v>
      </c>
      <c r="Q526" s="261">
        <v>3869.72</v>
      </c>
      <c r="R526" s="261"/>
      <c r="S526" s="242"/>
      <c r="T526" s="261">
        <f>77246.61-T521</f>
        <v>43484.77</v>
      </c>
      <c r="U526" s="261">
        <v>1071.71</v>
      </c>
      <c r="V526" s="219" t="s">
        <v>1933</v>
      </c>
      <c r="W526" s="172"/>
    </row>
    <row r="527" s="39" customFormat="1" ht="22" customHeight="1" spans="1:23">
      <c r="A527" s="142" t="s">
        <v>1934</v>
      </c>
      <c r="B527" s="174" t="s">
        <v>30</v>
      </c>
      <c r="C527" s="175"/>
      <c r="D527" s="229" t="s">
        <v>31</v>
      </c>
      <c r="E527" s="83" t="s">
        <v>1121</v>
      </c>
      <c r="F527" s="82">
        <f>IFERROR(VLOOKUP(E527,客户!B:C,2,FALSE),"/")</f>
        <v>0</v>
      </c>
      <c r="G527" s="83" t="s">
        <v>1935</v>
      </c>
      <c r="H527" s="45" t="s">
        <v>123</v>
      </c>
      <c r="I527" s="45" t="s">
        <v>215</v>
      </c>
      <c r="J527" s="110">
        <v>44665</v>
      </c>
      <c r="K527" s="146">
        <v>44696</v>
      </c>
      <c r="L527" s="93">
        <v>44718</v>
      </c>
      <c r="M527" s="165" t="s">
        <v>1936</v>
      </c>
      <c r="N527" s="202" t="s">
        <v>1937</v>
      </c>
      <c r="O527" s="108" t="s">
        <v>523</v>
      </c>
      <c r="P527" s="107">
        <v>67510.46</v>
      </c>
      <c r="Q527" s="107">
        <f>15000+15000</f>
        <v>30000</v>
      </c>
      <c r="R527" s="241"/>
      <c r="S527" s="242"/>
      <c r="T527" s="107">
        <v>37510.46</v>
      </c>
      <c r="U527" s="93"/>
      <c r="V527" s="128"/>
      <c r="W527" s="172"/>
    </row>
    <row r="528" s="39" customFormat="1" ht="22" customHeight="1" spans="1:23">
      <c r="A528" s="255" t="s">
        <v>1938</v>
      </c>
      <c r="B528" s="174" t="s">
        <v>30</v>
      </c>
      <c r="C528" s="175"/>
      <c r="D528" s="229" t="s">
        <v>3</v>
      </c>
      <c r="E528" s="83" t="s">
        <v>1117</v>
      </c>
      <c r="F528" s="82">
        <f>IFERROR(VLOOKUP(E528,客户!B:C,2,FALSE),"/")</f>
        <v>0</v>
      </c>
      <c r="G528" s="83" t="s">
        <v>1939</v>
      </c>
      <c r="H528" s="45" t="s">
        <v>123</v>
      </c>
      <c r="I528" s="45" t="s">
        <v>1533</v>
      </c>
      <c r="J528" s="110">
        <v>44668</v>
      </c>
      <c r="K528" s="146"/>
      <c r="L528" s="93"/>
      <c r="M528" s="165" t="s">
        <v>1940</v>
      </c>
      <c r="N528" s="110"/>
      <c r="O528" s="108" t="s">
        <v>970</v>
      </c>
      <c r="P528" s="135">
        <v>83647.35</v>
      </c>
      <c r="Q528" s="107">
        <v>25000</v>
      </c>
      <c r="R528" s="241"/>
      <c r="S528" s="242"/>
      <c r="T528" s="240"/>
      <c r="U528" s="93"/>
      <c r="V528" s="128"/>
      <c r="W528" s="172"/>
    </row>
    <row r="529" s="39" customFormat="1" ht="22" customHeight="1" spans="1:23">
      <c r="A529" s="142" t="s">
        <v>1941</v>
      </c>
      <c r="B529" s="174" t="s">
        <v>30</v>
      </c>
      <c r="C529" s="175"/>
      <c r="D529" s="229" t="s">
        <v>31</v>
      </c>
      <c r="E529" s="83" t="s">
        <v>1942</v>
      </c>
      <c r="F529" s="82">
        <f>IFERROR(VLOOKUP(E529,客户!B:C,2,FALSE),"/")</f>
        <v>0</v>
      </c>
      <c r="G529" s="83" t="s">
        <v>1943</v>
      </c>
      <c r="H529" s="45" t="s">
        <v>186</v>
      </c>
      <c r="I529" s="45"/>
      <c r="J529" s="110">
        <v>44670</v>
      </c>
      <c r="K529" s="146">
        <v>44679</v>
      </c>
      <c r="L529" s="93"/>
      <c r="M529" s="165"/>
      <c r="N529" s="110"/>
      <c r="O529" s="108" t="s">
        <v>970</v>
      </c>
      <c r="P529" s="240">
        <v>18155.82</v>
      </c>
      <c r="Q529" s="240">
        <v>16319.41</v>
      </c>
      <c r="R529" s="241"/>
      <c r="S529" s="242"/>
      <c r="T529" s="240">
        <v>1836.41</v>
      </c>
      <c r="U529" s="93"/>
      <c r="V529" s="128"/>
      <c r="W529" s="172"/>
    </row>
    <row r="530" s="39" customFormat="1" ht="22" customHeight="1" spans="1:23">
      <c r="A530" s="255" t="s">
        <v>1944</v>
      </c>
      <c r="B530" s="174" t="s">
        <v>30</v>
      </c>
      <c r="C530" s="175"/>
      <c r="D530" s="229" t="s">
        <v>3</v>
      </c>
      <c r="E530" s="83" t="s">
        <v>1911</v>
      </c>
      <c r="F530" s="82"/>
      <c r="G530" s="83" t="s">
        <v>1945</v>
      </c>
      <c r="H530" s="45" t="s">
        <v>123</v>
      </c>
      <c r="I530" s="45" t="s">
        <v>1913</v>
      </c>
      <c r="J530" s="110">
        <v>44671</v>
      </c>
      <c r="K530" s="146"/>
      <c r="L530" s="93"/>
      <c r="M530" s="165" t="s">
        <v>1946</v>
      </c>
      <c r="N530" s="110"/>
      <c r="O530" s="108" t="s">
        <v>523</v>
      </c>
      <c r="P530" s="262">
        <v>39133.5</v>
      </c>
      <c r="Q530" s="261">
        <f>11740.05/3</f>
        <v>3913.35</v>
      </c>
      <c r="R530" s="241"/>
      <c r="S530" s="242"/>
      <c r="T530" s="240"/>
      <c r="U530" s="93"/>
      <c r="V530" s="128"/>
      <c r="W530" s="172"/>
    </row>
    <row r="531" s="39" customFormat="1" ht="22" customHeight="1" spans="1:23">
      <c r="A531" s="255" t="s">
        <v>1947</v>
      </c>
      <c r="B531" s="174" t="s">
        <v>30</v>
      </c>
      <c r="C531" s="175"/>
      <c r="D531" s="229" t="s">
        <v>3</v>
      </c>
      <c r="E531" s="83" t="s">
        <v>1911</v>
      </c>
      <c r="F531" s="82"/>
      <c r="G531" s="83" t="s">
        <v>1945</v>
      </c>
      <c r="H531" s="45" t="s">
        <v>123</v>
      </c>
      <c r="I531" s="45" t="s">
        <v>1913</v>
      </c>
      <c r="J531" s="110">
        <v>44671</v>
      </c>
      <c r="K531" s="146"/>
      <c r="L531" s="93"/>
      <c r="M531" s="165" t="s">
        <v>1948</v>
      </c>
      <c r="N531" s="110"/>
      <c r="O531" s="108" t="s">
        <v>523</v>
      </c>
      <c r="P531" s="262">
        <v>39133.5</v>
      </c>
      <c r="Q531" s="261">
        <f>11740.05/3</f>
        <v>3913.35</v>
      </c>
      <c r="R531" s="241"/>
      <c r="S531" s="242"/>
      <c r="T531" s="240"/>
      <c r="U531" s="93"/>
      <c r="V531" s="128"/>
      <c r="W531" s="172"/>
    </row>
    <row r="532" s="39" customFormat="1" ht="22" customHeight="1" spans="1:23">
      <c r="A532" s="255" t="s">
        <v>1949</v>
      </c>
      <c r="B532" s="174" t="s">
        <v>30</v>
      </c>
      <c r="C532" s="175"/>
      <c r="D532" s="229" t="s">
        <v>3</v>
      </c>
      <c r="E532" s="83" t="s">
        <v>1911</v>
      </c>
      <c r="F532" s="82"/>
      <c r="G532" s="83" t="s">
        <v>1945</v>
      </c>
      <c r="H532" s="45" t="s">
        <v>123</v>
      </c>
      <c r="I532" s="45" t="s">
        <v>1913</v>
      </c>
      <c r="J532" s="110">
        <v>44671</v>
      </c>
      <c r="K532" s="146"/>
      <c r="L532" s="93"/>
      <c r="M532" s="165" t="s">
        <v>1946</v>
      </c>
      <c r="N532" s="110"/>
      <c r="O532" s="108" t="s">
        <v>523</v>
      </c>
      <c r="P532" s="262">
        <v>39133.5</v>
      </c>
      <c r="Q532" s="261">
        <f>11740.05/3</f>
        <v>3913.35</v>
      </c>
      <c r="R532" s="241"/>
      <c r="S532" s="242"/>
      <c r="T532" s="240"/>
      <c r="U532" s="93"/>
      <c r="V532" s="128"/>
      <c r="W532" s="172"/>
    </row>
    <row r="533" s="39" customFormat="1" ht="22" customHeight="1" spans="1:23">
      <c r="A533" s="142" t="s">
        <v>1950</v>
      </c>
      <c r="B533" s="174" t="s">
        <v>30</v>
      </c>
      <c r="C533" s="175"/>
      <c r="D533" s="229" t="s">
        <v>31</v>
      </c>
      <c r="E533" s="83" t="s">
        <v>1951</v>
      </c>
      <c r="F533" s="82">
        <f>IFERROR(VLOOKUP(E533,客户!B:C,2,FALSE),"/")</f>
        <v>0</v>
      </c>
      <c r="G533" s="83" t="s">
        <v>1952</v>
      </c>
      <c r="H533" s="45" t="s">
        <v>186</v>
      </c>
      <c r="I533" s="45"/>
      <c r="J533" s="110">
        <v>44671</v>
      </c>
      <c r="K533" s="146">
        <v>44707</v>
      </c>
      <c r="L533" s="93"/>
      <c r="M533" s="165" t="s">
        <v>1953</v>
      </c>
      <c r="N533" s="110"/>
      <c r="O533" s="108" t="s">
        <v>970</v>
      </c>
      <c r="P533" s="240">
        <f>67500+3825</f>
        <v>71325</v>
      </c>
      <c r="Q533" s="240">
        <v>20250</v>
      </c>
      <c r="R533" s="241"/>
      <c r="S533" s="242"/>
      <c r="T533" s="240">
        <v>51075</v>
      </c>
      <c r="U533" s="93"/>
      <c r="V533" s="128"/>
      <c r="W533" s="172"/>
    </row>
    <row r="534" s="39" customFormat="1" ht="22" customHeight="1" spans="1:23">
      <c r="A534" s="142" t="s">
        <v>1954</v>
      </c>
      <c r="B534" s="174" t="s">
        <v>30</v>
      </c>
      <c r="C534" s="175"/>
      <c r="D534" s="229" t="s">
        <v>31</v>
      </c>
      <c r="E534" s="83" t="s">
        <v>1955</v>
      </c>
      <c r="F534" s="82">
        <f>IFERROR(VLOOKUP(E534,客户!B:C,2,FALSE),"/")</f>
        <v>0</v>
      </c>
      <c r="G534" s="83" t="s">
        <v>1956</v>
      </c>
      <c r="H534" s="45" t="s">
        <v>186</v>
      </c>
      <c r="I534" s="45"/>
      <c r="J534" s="110">
        <v>44676</v>
      </c>
      <c r="K534" s="146">
        <v>44676</v>
      </c>
      <c r="L534" s="93"/>
      <c r="M534" s="165"/>
      <c r="N534" s="110"/>
      <c r="O534" s="108" t="s">
        <v>970</v>
      </c>
      <c r="P534" s="240">
        <v>1980</v>
      </c>
      <c r="Q534" s="240"/>
      <c r="R534" s="241"/>
      <c r="S534" s="242"/>
      <c r="T534" s="240"/>
      <c r="U534" s="93"/>
      <c r="V534" s="128"/>
      <c r="W534" s="172"/>
    </row>
    <row r="535" s="39" customFormat="1" ht="22" customHeight="1" spans="1:23">
      <c r="A535" s="255" t="s">
        <v>1957</v>
      </c>
      <c r="B535" s="174" t="s">
        <v>30</v>
      </c>
      <c r="C535" s="175"/>
      <c r="D535" s="229" t="s">
        <v>3</v>
      </c>
      <c r="E535" s="83" t="s">
        <v>1238</v>
      </c>
      <c r="F535" s="82">
        <f>IFERROR(VLOOKUP(E535,客户!B:C,2,FALSE),"/")</f>
        <v>0</v>
      </c>
      <c r="G535" s="83" t="s">
        <v>1958</v>
      </c>
      <c r="H535" s="45" t="s">
        <v>123</v>
      </c>
      <c r="I535" s="45" t="s">
        <v>1662</v>
      </c>
      <c r="J535" s="110">
        <v>44678</v>
      </c>
      <c r="K535" s="146"/>
      <c r="L535" s="93"/>
      <c r="M535" s="165" t="s">
        <v>1959</v>
      </c>
      <c r="N535" s="110"/>
      <c r="O535" s="108" t="s">
        <v>523</v>
      </c>
      <c r="P535" s="135">
        <v>26797.41</v>
      </c>
      <c r="Q535" s="107">
        <v>1571</v>
      </c>
      <c r="R535" s="241"/>
      <c r="S535" s="242"/>
      <c r="T535" s="240"/>
      <c r="U535" s="93"/>
      <c r="V535" s="128"/>
      <c r="W535" s="172"/>
    </row>
    <row r="536" s="39" customFormat="1" ht="22" customHeight="1" spans="1:23">
      <c r="A536" s="255" t="s">
        <v>1960</v>
      </c>
      <c r="B536" s="174" t="s">
        <v>30</v>
      </c>
      <c r="C536" s="175"/>
      <c r="D536" s="229" t="s">
        <v>1</v>
      </c>
      <c r="E536" s="83" t="s">
        <v>1167</v>
      </c>
      <c r="F536" s="82">
        <f>IFERROR(VLOOKUP(E536,客户!B:C,2,FALSE),"/")</f>
        <v>0</v>
      </c>
      <c r="G536" s="73" t="s">
        <v>1893</v>
      </c>
      <c r="H536" s="45" t="s">
        <v>123</v>
      </c>
      <c r="I536" s="45" t="s">
        <v>550</v>
      </c>
      <c r="J536" s="110">
        <v>44683</v>
      </c>
      <c r="K536" s="146">
        <v>44723</v>
      </c>
      <c r="L536" s="93"/>
      <c r="M536" s="165" t="s">
        <v>1961</v>
      </c>
      <c r="N536" s="202" t="s">
        <v>1962</v>
      </c>
      <c r="O536" s="108" t="s">
        <v>523</v>
      </c>
      <c r="P536" s="107">
        <v>49634.07</v>
      </c>
      <c r="Q536" s="107">
        <v>14200</v>
      </c>
      <c r="R536" s="241">
        <f>P536-Q536</f>
        <v>35434.07</v>
      </c>
      <c r="S536" s="242"/>
      <c r="T536" s="240"/>
      <c r="U536" s="93"/>
      <c r="V536" s="128"/>
      <c r="W536" s="172"/>
    </row>
    <row r="537" s="39" customFormat="1" ht="22" customHeight="1" spans="1:23">
      <c r="A537" s="255" t="s">
        <v>1963</v>
      </c>
      <c r="B537" s="174" t="s">
        <v>30</v>
      </c>
      <c r="C537" s="175"/>
      <c r="D537" s="229" t="s">
        <v>0</v>
      </c>
      <c r="E537" s="83" t="s">
        <v>1345</v>
      </c>
      <c r="F537" s="82" t="str">
        <f>IFERROR(VLOOKUP(E537,客户!B:C,2,FALSE),"/")</f>
        <v>J4159还差USD265.65没付齐 J4220还有定金5674.3 账上剩5408.65</v>
      </c>
      <c r="G537" s="73" t="s">
        <v>1517</v>
      </c>
      <c r="H537" s="45" t="s">
        <v>123</v>
      </c>
      <c r="I537" s="45" t="s">
        <v>1840</v>
      </c>
      <c r="J537" s="110">
        <v>44683</v>
      </c>
      <c r="K537" s="179">
        <v>44736</v>
      </c>
      <c r="L537" s="93"/>
      <c r="M537" s="165" t="s">
        <v>1964</v>
      </c>
      <c r="N537" s="202" t="s">
        <v>1965</v>
      </c>
      <c r="O537" s="108" t="s">
        <v>523</v>
      </c>
      <c r="P537" s="135">
        <v>29316.8</v>
      </c>
      <c r="Q537" s="107">
        <v>5856.36</v>
      </c>
      <c r="R537" s="241"/>
      <c r="S537" s="242"/>
      <c r="T537" s="240"/>
      <c r="U537" s="93"/>
      <c r="V537" s="128"/>
      <c r="W537" s="172"/>
    </row>
    <row r="538" s="39" customFormat="1" ht="22" customHeight="1" spans="1:23">
      <c r="A538" s="255" t="s">
        <v>1966</v>
      </c>
      <c r="B538" s="174" t="s">
        <v>30</v>
      </c>
      <c r="C538" s="175"/>
      <c r="D538" s="229" t="s">
        <v>3</v>
      </c>
      <c r="E538" s="83" t="s">
        <v>1326</v>
      </c>
      <c r="F538" s="82">
        <f>IFERROR(VLOOKUP(E538,客户!B:C,2,FALSE),"/")</f>
        <v>0</v>
      </c>
      <c r="G538" s="73" t="s">
        <v>1967</v>
      </c>
      <c r="H538" s="45" t="s">
        <v>123</v>
      </c>
      <c r="I538" s="45" t="s">
        <v>1327</v>
      </c>
      <c r="J538" s="110">
        <v>44687</v>
      </c>
      <c r="K538" s="146"/>
      <c r="L538" s="93"/>
      <c r="M538" s="165" t="s">
        <v>1968</v>
      </c>
      <c r="N538" s="110"/>
      <c r="O538" s="108" t="s">
        <v>523</v>
      </c>
      <c r="P538" s="135">
        <v>27978</v>
      </c>
      <c r="Q538" s="107">
        <v>5586.21</v>
      </c>
      <c r="R538" s="241"/>
      <c r="S538" s="242"/>
      <c r="T538" s="240"/>
      <c r="U538" s="93"/>
      <c r="V538" s="128"/>
      <c r="W538" s="172"/>
    </row>
    <row r="539" s="39" customFormat="1" ht="22" customHeight="1" spans="1:23">
      <c r="A539" s="255" t="s">
        <v>1969</v>
      </c>
      <c r="B539" s="174" t="s">
        <v>30</v>
      </c>
      <c r="C539" s="175"/>
      <c r="D539" s="229" t="s">
        <v>3</v>
      </c>
      <c r="E539" s="83" t="s">
        <v>1326</v>
      </c>
      <c r="F539" s="82">
        <f>IFERROR(VLOOKUP(E539,客户!B:C,2,FALSE),"/")</f>
        <v>0</v>
      </c>
      <c r="G539" s="73" t="s">
        <v>1967</v>
      </c>
      <c r="H539" s="45" t="s">
        <v>123</v>
      </c>
      <c r="I539" s="45" t="s">
        <v>1327</v>
      </c>
      <c r="J539" s="110">
        <v>44687</v>
      </c>
      <c r="K539" s="146"/>
      <c r="L539" s="93"/>
      <c r="M539" s="165" t="s">
        <v>1968</v>
      </c>
      <c r="N539" s="110"/>
      <c r="O539" s="108" t="s">
        <v>523</v>
      </c>
      <c r="P539" s="135">
        <v>27844.03</v>
      </c>
      <c r="Q539" s="107">
        <f>11172.41-5586.21</f>
        <v>5586.2</v>
      </c>
      <c r="R539" s="241"/>
      <c r="S539" s="242"/>
      <c r="T539" s="240"/>
      <c r="U539" s="93"/>
      <c r="V539" s="128"/>
      <c r="W539" s="172"/>
    </row>
    <row r="540" s="39" customFormat="1" ht="22" customHeight="1" spans="1:23">
      <c r="A540" s="255" t="s">
        <v>1970</v>
      </c>
      <c r="B540" s="174" t="s">
        <v>30</v>
      </c>
      <c r="C540" s="175"/>
      <c r="D540" s="229" t="s">
        <v>3</v>
      </c>
      <c r="E540" s="83" t="s">
        <v>1167</v>
      </c>
      <c r="F540" s="82">
        <f>IFERROR(VLOOKUP(E540,客户!B:C,2,FALSE),"/")</f>
        <v>0</v>
      </c>
      <c r="G540" s="73" t="s">
        <v>1893</v>
      </c>
      <c r="H540" s="45" t="s">
        <v>123</v>
      </c>
      <c r="I540" s="45" t="s">
        <v>550</v>
      </c>
      <c r="J540" s="110">
        <v>44698</v>
      </c>
      <c r="K540" s="146"/>
      <c r="L540" s="93"/>
      <c r="M540" s="165" t="s">
        <v>1971</v>
      </c>
      <c r="N540" s="110"/>
      <c r="O540" s="108" t="s">
        <v>523</v>
      </c>
      <c r="P540" s="135">
        <v>32362.26</v>
      </c>
      <c r="Q540" s="265">
        <v>20000</v>
      </c>
      <c r="R540" s="241"/>
      <c r="S540" s="242"/>
      <c r="T540" s="240"/>
      <c r="U540" s="93"/>
      <c r="V540" s="128"/>
      <c r="W540" s="172"/>
    </row>
    <row r="541" s="39" customFormat="1" ht="22" customHeight="1" spans="1:23">
      <c r="A541" s="255" t="s">
        <v>1972</v>
      </c>
      <c r="B541" s="174" t="s">
        <v>30</v>
      </c>
      <c r="C541" s="175"/>
      <c r="D541" s="229" t="s">
        <v>3</v>
      </c>
      <c r="E541" s="83" t="s">
        <v>1167</v>
      </c>
      <c r="F541" s="82">
        <f>IFERROR(VLOOKUP(E541,客户!B:C,2,FALSE),"/")</f>
        <v>0</v>
      </c>
      <c r="G541" s="73" t="s">
        <v>1893</v>
      </c>
      <c r="H541" s="45" t="s">
        <v>123</v>
      </c>
      <c r="I541" s="45" t="s">
        <v>550</v>
      </c>
      <c r="J541" s="110">
        <v>44698</v>
      </c>
      <c r="K541" s="146"/>
      <c r="L541" s="93"/>
      <c r="M541" s="165" t="s">
        <v>1973</v>
      </c>
      <c r="N541" s="110"/>
      <c r="O541" s="108" t="s">
        <v>523</v>
      </c>
      <c r="P541" s="135">
        <v>33653.61</v>
      </c>
      <c r="Q541" s="266"/>
      <c r="R541" s="241"/>
      <c r="S541" s="242"/>
      <c r="T541" s="240"/>
      <c r="U541" s="93"/>
      <c r="V541" s="128"/>
      <c r="W541" s="172"/>
    </row>
    <row r="542" s="39" customFormat="1" ht="22" customHeight="1" spans="1:23">
      <c r="A542" s="255" t="s">
        <v>1974</v>
      </c>
      <c r="B542" s="174" t="s">
        <v>30</v>
      </c>
      <c r="C542" s="175"/>
      <c r="D542" s="229" t="s">
        <v>3</v>
      </c>
      <c r="E542" s="83" t="s">
        <v>1717</v>
      </c>
      <c r="F542" s="82">
        <f>IFERROR(VLOOKUP(E542,客户!B:C,2,FALSE),"/")</f>
        <v>0</v>
      </c>
      <c r="G542" s="73" t="s">
        <v>1975</v>
      </c>
      <c r="H542" s="45" t="s">
        <v>123</v>
      </c>
      <c r="I542" s="45" t="s">
        <v>215</v>
      </c>
      <c r="J542" s="110">
        <v>44701</v>
      </c>
      <c r="K542" s="146"/>
      <c r="L542" s="93"/>
      <c r="M542" s="165" t="s">
        <v>1976</v>
      </c>
      <c r="N542" s="110"/>
      <c r="O542" s="108" t="s">
        <v>523</v>
      </c>
      <c r="P542" s="135">
        <v>122088.96</v>
      </c>
      <c r="Q542" s="107">
        <v>36626</v>
      </c>
      <c r="R542" s="241"/>
      <c r="S542" s="242"/>
      <c r="T542" s="240"/>
      <c r="U542" s="93"/>
      <c r="V542" s="128"/>
      <c r="W542" s="172"/>
    </row>
    <row r="543" s="39" customFormat="1" ht="22" customHeight="1" spans="1:23">
      <c r="A543" s="255" t="s">
        <v>1977</v>
      </c>
      <c r="B543" s="174" t="s">
        <v>30</v>
      </c>
      <c r="C543" s="175"/>
      <c r="D543" s="229" t="s">
        <v>3</v>
      </c>
      <c r="E543" s="83" t="s">
        <v>1117</v>
      </c>
      <c r="F543" s="82">
        <f>IFERROR(VLOOKUP(E543,客户!B:C,2,FALSE),"/")</f>
        <v>0</v>
      </c>
      <c r="G543" s="73" t="s">
        <v>222</v>
      </c>
      <c r="H543" s="45" t="s">
        <v>123</v>
      </c>
      <c r="I543" s="45" t="s">
        <v>1533</v>
      </c>
      <c r="J543" s="110">
        <v>44701</v>
      </c>
      <c r="K543" s="146"/>
      <c r="L543" s="93"/>
      <c r="M543" s="165" t="s">
        <v>1978</v>
      </c>
      <c r="N543" s="110"/>
      <c r="O543" s="108" t="s">
        <v>970</v>
      </c>
      <c r="P543" s="135">
        <v>25362.23</v>
      </c>
      <c r="Q543" s="107">
        <v>8000</v>
      </c>
      <c r="R543" s="241"/>
      <c r="S543" s="242"/>
      <c r="T543" s="240"/>
      <c r="U543" s="93"/>
      <c r="V543" s="128"/>
      <c r="W543" s="172"/>
    </row>
    <row r="544" s="39" customFormat="1" ht="22" customHeight="1" spans="1:23">
      <c r="A544" s="255" t="s">
        <v>1979</v>
      </c>
      <c r="B544" s="174" t="s">
        <v>30</v>
      </c>
      <c r="C544" s="175"/>
      <c r="D544" s="229" t="s">
        <v>3</v>
      </c>
      <c r="E544" s="83" t="s">
        <v>1265</v>
      </c>
      <c r="F544" s="82" t="str">
        <f>IFERROR(VLOOKUP(E544,客户!B:C,2,FALSE),"/")</f>
        <v>外送费用945人民币+装箱费用 加在发票里</v>
      </c>
      <c r="G544" s="73" t="s">
        <v>1980</v>
      </c>
      <c r="H544" s="45" t="s">
        <v>123</v>
      </c>
      <c r="I544" s="45" t="s">
        <v>1697</v>
      </c>
      <c r="J544" s="110">
        <v>44702</v>
      </c>
      <c r="K544" s="146"/>
      <c r="L544" s="93"/>
      <c r="M544" s="165" t="s">
        <v>1981</v>
      </c>
      <c r="N544" s="110"/>
      <c r="O544" s="108" t="s">
        <v>680</v>
      </c>
      <c r="P544" s="135">
        <v>79958.4</v>
      </c>
      <c r="Q544" s="107"/>
      <c r="R544" s="241"/>
      <c r="S544" s="242"/>
      <c r="T544" s="240"/>
      <c r="U544" s="93"/>
      <c r="V544" s="128"/>
      <c r="W544" s="172"/>
    </row>
    <row r="545" s="39" customFormat="1" ht="22" customHeight="1" spans="1:23">
      <c r="A545" s="255" t="s">
        <v>1982</v>
      </c>
      <c r="B545" s="174" t="s">
        <v>30</v>
      </c>
      <c r="C545" s="175"/>
      <c r="D545" s="229" t="s">
        <v>3</v>
      </c>
      <c r="E545" s="83" t="s">
        <v>1265</v>
      </c>
      <c r="F545" s="82" t="str">
        <f>IFERROR(VLOOKUP(E545,客户!B:C,2,FALSE),"/")</f>
        <v>外送费用945人民币+装箱费用 加在发票里</v>
      </c>
      <c r="G545" s="73" t="s">
        <v>1983</v>
      </c>
      <c r="H545" s="45" t="s">
        <v>123</v>
      </c>
      <c r="I545" s="45" t="s">
        <v>205</v>
      </c>
      <c r="J545" s="110">
        <v>44702</v>
      </c>
      <c r="K545" s="146"/>
      <c r="L545" s="93"/>
      <c r="M545" s="165" t="s">
        <v>1984</v>
      </c>
      <c r="N545" s="110"/>
      <c r="O545" s="108" t="s">
        <v>680</v>
      </c>
      <c r="P545" s="135">
        <v>106611.2</v>
      </c>
      <c r="Q545" s="107"/>
      <c r="R545" s="241"/>
      <c r="S545" s="242"/>
      <c r="T545" s="240"/>
      <c r="U545" s="93"/>
      <c r="V545" s="128"/>
      <c r="W545" s="172"/>
    </row>
    <row r="546" s="39" customFormat="1" ht="22" customHeight="1" spans="1:23">
      <c r="A546" s="255" t="s">
        <v>1985</v>
      </c>
      <c r="B546" s="174" t="s">
        <v>30</v>
      </c>
      <c r="C546" s="175"/>
      <c r="D546" s="229" t="s">
        <v>3</v>
      </c>
      <c r="E546" s="83" t="s">
        <v>1257</v>
      </c>
      <c r="F546" s="82">
        <f>IFERROR(VLOOKUP(E546,客户!B:C,2,FALSE),"/")</f>
        <v>0</v>
      </c>
      <c r="G546" s="73" t="s">
        <v>222</v>
      </c>
      <c r="H546" s="45" t="s">
        <v>123</v>
      </c>
      <c r="I546" s="45" t="s">
        <v>1149</v>
      </c>
      <c r="J546" s="110">
        <v>44710</v>
      </c>
      <c r="K546" s="146"/>
      <c r="L546" s="93"/>
      <c r="M546" s="165" t="s">
        <v>1986</v>
      </c>
      <c r="N546" s="110"/>
      <c r="O546" s="108" t="s">
        <v>523</v>
      </c>
      <c r="P546" s="135">
        <v>25762.57</v>
      </c>
      <c r="Q546" s="107"/>
      <c r="R546" s="241"/>
      <c r="S546" s="242"/>
      <c r="T546" s="240"/>
      <c r="U546" s="93"/>
      <c r="V546" s="128"/>
      <c r="W546" s="172"/>
    </row>
    <row r="547" s="39" customFormat="1" ht="22" customHeight="1" spans="1:23">
      <c r="A547" s="255" t="s">
        <v>1987</v>
      </c>
      <c r="B547" s="174" t="s">
        <v>30</v>
      </c>
      <c r="C547" s="175"/>
      <c r="D547" s="229" t="s">
        <v>3</v>
      </c>
      <c r="E547" s="83" t="s">
        <v>1167</v>
      </c>
      <c r="F547" s="82">
        <f>IFERROR(VLOOKUP(E547,客户!B:C,2,FALSE),"/")</f>
        <v>0</v>
      </c>
      <c r="G547" s="73" t="s">
        <v>1893</v>
      </c>
      <c r="H547" s="45" t="s">
        <v>123</v>
      </c>
      <c r="I547" s="45" t="s">
        <v>550</v>
      </c>
      <c r="J547" s="110">
        <v>44711</v>
      </c>
      <c r="K547" s="146"/>
      <c r="L547" s="93"/>
      <c r="M547" s="165" t="s">
        <v>1988</v>
      </c>
      <c r="N547" s="110"/>
      <c r="O547" s="108" t="s">
        <v>523</v>
      </c>
      <c r="P547" s="135">
        <v>31126.3</v>
      </c>
      <c r="Q547" s="107">
        <v>9400</v>
      </c>
      <c r="R547" s="241"/>
      <c r="S547" s="242"/>
      <c r="T547" s="240"/>
      <c r="U547" s="93"/>
      <c r="V547" s="128"/>
      <c r="W547" s="172"/>
    </row>
    <row r="548" s="39" customFormat="1" ht="22" customHeight="1" spans="1:23">
      <c r="A548" s="255" t="s">
        <v>1989</v>
      </c>
      <c r="B548" s="174" t="s">
        <v>30</v>
      </c>
      <c r="C548" s="175"/>
      <c r="D548" s="229" t="s">
        <v>3</v>
      </c>
      <c r="E548" s="83" t="s">
        <v>1249</v>
      </c>
      <c r="F548" s="82">
        <f>IFERROR(VLOOKUP(E548,客户!B:C,2,FALSE),"/")</f>
        <v>0</v>
      </c>
      <c r="G548" s="73" t="s">
        <v>222</v>
      </c>
      <c r="H548" s="45" t="s">
        <v>123</v>
      </c>
      <c r="I548" s="45" t="s">
        <v>1250</v>
      </c>
      <c r="J548" s="110">
        <v>44718</v>
      </c>
      <c r="K548" s="146"/>
      <c r="L548" s="93"/>
      <c r="M548" s="165" t="s">
        <v>1990</v>
      </c>
      <c r="N548" s="110"/>
      <c r="O548" s="108" t="s">
        <v>523</v>
      </c>
      <c r="P548" s="135">
        <v>25164.89</v>
      </c>
      <c r="Q548" s="107">
        <v>7550</v>
      </c>
      <c r="R548" s="241"/>
      <c r="S548" s="242"/>
      <c r="T548" s="240"/>
      <c r="U548" s="93"/>
      <c r="V548" s="128"/>
      <c r="W548" s="172"/>
    </row>
    <row r="549" s="39" customFormat="1" ht="22" customHeight="1" spans="1:23">
      <c r="A549" s="255" t="s">
        <v>1991</v>
      </c>
      <c r="B549" s="174" t="s">
        <v>30</v>
      </c>
      <c r="C549" s="175"/>
      <c r="D549" s="229" t="s">
        <v>3</v>
      </c>
      <c r="E549" s="83" t="s">
        <v>1083</v>
      </c>
      <c r="F549" s="82">
        <f>IFERROR(VLOOKUP(E549,客户!B:C,2,FALSE),"/")</f>
        <v>0</v>
      </c>
      <c r="G549" s="73" t="s">
        <v>222</v>
      </c>
      <c r="H549" s="45" t="s">
        <v>123</v>
      </c>
      <c r="I549" s="45" t="s">
        <v>232</v>
      </c>
      <c r="J549" s="110">
        <v>44720</v>
      </c>
      <c r="K549" s="146"/>
      <c r="L549" s="93"/>
      <c r="M549" s="165" t="s">
        <v>1992</v>
      </c>
      <c r="N549" s="110"/>
      <c r="O549" s="108" t="s">
        <v>523</v>
      </c>
      <c r="P549" s="135">
        <v>27296</v>
      </c>
      <c r="Q549" s="107"/>
      <c r="R549" s="241"/>
      <c r="S549" s="242"/>
      <c r="T549" s="240"/>
      <c r="U549" s="93"/>
      <c r="V549" s="128"/>
      <c r="W549" s="172"/>
    </row>
    <row r="550" s="39" customFormat="1" ht="22" customHeight="1" spans="1:23">
      <c r="A550" s="255" t="s">
        <v>1993</v>
      </c>
      <c r="B550" s="174" t="s">
        <v>30</v>
      </c>
      <c r="C550" s="175"/>
      <c r="D550" s="229" t="s">
        <v>3</v>
      </c>
      <c r="E550" s="83" t="s">
        <v>1121</v>
      </c>
      <c r="F550" s="82">
        <f>IFERROR(VLOOKUP(E550,客户!B:C,2,FALSE),"/")</f>
        <v>0</v>
      </c>
      <c r="G550" s="73" t="s">
        <v>1994</v>
      </c>
      <c r="H550" s="45" t="s">
        <v>123</v>
      </c>
      <c r="I550" s="45" t="s">
        <v>215</v>
      </c>
      <c r="J550" s="110">
        <v>44720</v>
      </c>
      <c r="K550" s="146"/>
      <c r="L550" s="93"/>
      <c r="M550" s="165" t="s">
        <v>1995</v>
      </c>
      <c r="N550" s="110"/>
      <c r="O550" s="108" t="s">
        <v>523</v>
      </c>
      <c r="P550" s="135">
        <v>140009.4</v>
      </c>
      <c r="Q550" s="107"/>
      <c r="R550" s="241"/>
      <c r="S550" s="242"/>
      <c r="T550" s="240"/>
      <c r="U550" s="93"/>
      <c r="V550" s="128"/>
      <c r="W550" s="172"/>
    </row>
    <row r="551" s="39" customFormat="1" ht="22" customHeight="1" spans="1:23">
      <c r="A551" s="255"/>
      <c r="B551" s="174"/>
      <c r="C551" s="175"/>
      <c r="D551" s="229"/>
      <c r="E551" s="83"/>
      <c r="F551" s="82" t="str">
        <f>IFERROR(VLOOKUP(E551,客户!B:C,2,FALSE),"/")</f>
        <v>/</v>
      </c>
      <c r="G551" s="73"/>
      <c r="H551" s="45"/>
      <c r="I551" s="45"/>
      <c r="J551" s="110"/>
      <c r="K551" s="146"/>
      <c r="L551" s="93"/>
      <c r="M551" s="165"/>
      <c r="N551" s="110"/>
      <c r="O551" s="108"/>
      <c r="P551" s="135"/>
      <c r="Q551" s="107"/>
      <c r="R551" s="241"/>
      <c r="S551" s="242"/>
      <c r="T551" s="240"/>
      <c r="U551" s="93"/>
      <c r="V551" s="128"/>
      <c r="W551" s="172"/>
    </row>
    <row r="552" s="39" customFormat="1" ht="22" customHeight="1" spans="1:23">
      <c r="A552" s="255"/>
      <c r="B552" s="174" t="s">
        <v>30</v>
      </c>
      <c r="C552" s="175"/>
      <c r="D552" s="229"/>
      <c r="E552" s="83"/>
      <c r="F552" s="82" t="str">
        <f>IFERROR(VLOOKUP(E552,客户!B:C,2,FALSE),"/")</f>
        <v>/</v>
      </c>
      <c r="G552" s="73"/>
      <c r="H552" s="45"/>
      <c r="I552" s="45"/>
      <c r="J552" s="110"/>
      <c r="K552" s="146"/>
      <c r="L552" s="93"/>
      <c r="M552" s="165"/>
      <c r="N552" s="110"/>
      <c r="O552" s="108"/>
      <c r="P552" s="135"/>
      <c r="Q552" s="107"/>
      <c r="R552" s="241"/>
      <c r="S552" s="242"/>
      <c r="T552" s="240"/>
      <c r="U552" s="93"/>
      <c r="V552" s="128"/>
      <c r="W552" s="172"/>
    </row>
    <row r="553" s="39" customFormat="1" ht="22" customHeight="1" spans="1:23">
      <c r="A553" s="142"/>
      <c r="B553" s="174"/>
      <c r="C553" s="175"/>
      <c r="D553" s="45"/>
      <c r="E553" s="73"/>
      <c r="F553" s="82" t="str">
        <f>IFERROR(VLOOKUP(E553,客户!B:C,2,FALSE),"/")</f>
        <v>/</v>
      </c>
      <c r="G553" s="73"/>
      <c r="H553" s="45"/>
      <c r="I553" s="45"/>
      <c r="J553" s="110"/>
      <c r="K553" s="110"/>
      <c r="L553" s="93"/>
      <c r="M553" s="146"/>
      <c r="N553" s="110"/>
      <c r="O553" s="108"/>
      <c r="P553" s="135"/>
      <c r="Q553" s="107"/>
      <c r="R553" s="241"/>
      <c r="S553" s="242"/>
      <c r="T553" s="107"/>
      <c r="U553" s="93"/>
      <c r="V553" s="128"/>
      <c r="W553" s="172"/>
    </row>
    <row r="554" s="39" customFormat="1" ht="22" customHeight="1" spans="1:23">
      <c r="A554" s="142" t="s">
        <v>1996</v>
      </c>
      <c r="B554" s="174" t="s">
        <v>30</v>
      </c>
      <c r="C554" s="175"/>
      <c r="D554" s="45" t="s">
        <v>31</v>
      </c>
      <c r="E554" s="83" t="s">
        <v>422</v>
      </c>
      <c r="F554" s="82" t="str">
        <f>IFERROR(VLOOKUP(E554,客户!B:C,2,FALSE),"/")</f>
        <v>埃及红线客户配件 样品都要单独显示在箱单发票上</v>
      </c>
      <c r="G554" s="73" t="s">
        <v>378</v>
      </c>
      <c r="H554" s="45" t="s">
        <v>123</v>
      </c>
      <c r="I554" s="45" t="s">
        <v>1997</v>
      </c>
      <c r="J554" s="110">
        <v>43642</v>
      </c>
      <c r="K554" s="110">
        <v>43696</v>
      </c>
      <c r="L554" s="93">
        <v>43727</v>
      </c>
      <c r="M554" s="181" t="s">
        <v>1998</v>
      </c>
      <c r="N554" s="110" t="s">
        <v>1999</v>
      </c>
      <c r="O554" s="108" t="s">
        <v>523</v>
      </c>
      <c r="P554" s="107">
        <v>13791.59</v>
      </c>
      <c r="Q554" s="107">
        <v>0</v>
      </c>
      <c r="R554" s="241"/>
      <c r="S554" s="242"/>
      <c r="T554" s="107" t="s">
        <v>2000</v>
      </c>
      <c r="U554" s="93">
        <v>43816</v>
      </c>
      <c r="V554" s="128"/>
      <c r="W554" s="172"/>
    </row>
    <row r="555" s="39" customFormat="1" ht="22" customHeight="1" spans="1:23">
      <c r="A555" s="142" t="s">
        <v>2001</v>
      </c>
      <c r="B555" s="174" t="s">
        <v>30</v>
      </c>
      <c r="C555" s="175"/>
      <c r="D555" s="45" t="s">
        <v>31</v>
      </c>
      <c r="E555" s="73" t="s">
        <v>60</v>
      </c>
      <c r="F555" s="82" t="str">
        <f>IFERROR(VLOOKUP(E555,客户!B:C,2,FALSE),"/")</f>
        <v>外送费用945人民币+装箱费用 加在发票里</v>
      </c>
      <c r="G555" s="73" t="s">
        <v>866</v>
      </c>
      <c r="H555" s="45" t="s">
        <v>123</v>
      </c>
      <c r="I555" s="45" t="s">
        <v>837</v>
      </c>
      <c r="J555" s="110">
        <v>43650</v>
      </c>
      <c r="K555" s="110">
        <v>43684</v>
      </c>
      <c r="L555" s="93">
        <v>43725</v>
      </c>
      <c r="M555" s="181" t="s">
        <v>2002</v>
      </c>
      <c r="N555" s="110" t="s">
        <v>2003</v>
      </c>
      <c r="O555" s="108"/>
      <c r="P555" s="107">
        <v>54602.96</v>
      </c>
      <c r="Q555" s="107">
        <v>0</v>
      </c>
      <c r="R555" s="241">
        <v>0</v>
      </c>
      <c r="S555" s="242"/>
      <c r="T555" s="107">
        <v>54462</v>
      </c>
      <c r="U555" s="93">
        <v>43726</v>
      </c>
      <c r="V555" s="128"/>
      <c r="W555" s="172"/>
    </row>
    <row r="556" s="39" customFormat="1" ht="22" customHeight="1" spans="1:23">
      <c r="A556" s="142" t="s">
        <v>2004</v>
      </c>
      <c r="B556" s="174" t="s">
        <v>30</v>
      </c>
      <c r="C556" s="175"/>
      <c r="D556" s="45" t="s">
        <v>31</v>
      </c>
      <c r="E556" s="73" t="s">
        <v>60</v>
      </c>
      <c r="F556" s="82" t="str">
        <f>IFERROR(VLOOKUP(E556,客户!B:C,2,FALSE),"/")</f>
        <v>外送费用945人民币+装箱费用 加在发票里</v>
      </c>
      <c r="G556" s="73" t="s">
        <v>2005</v>
      </c>
      <c r="H556" s="45" t="s">
        <v>123</v>
      </c>
      <c r="I556" s="45" t="s">
        <v>2006</v>
      </c>
      <c r="J556" s="110">
        <v>43675</v>
      </c>
      <c r="K556" s="110">
        <v>43697</v>
      </c>
      <c r="L556" s="93">
        <v>43726</v>
      </c>
      <c r="M556" s="181" t="s">
        <v>2007</v>
      </c>
      <c r="N556" s="110" t="s">
        <v>2008</v>
      </c>
      <c r="O556" s="108"/>
      <c r="P556" s="107">
        <v>43259.19</v>
      </c>
      <c r="Q556" s="107">
        <v>0</v>
      </c>
      <c r="R556" s="241"/>
      <c r="S556" s="242"/>
      <c r="T556" s="107">
        <v>42997</v>
      </c>
      <c r="U556" s="93">
        <v>43732</v>
      </c>
      <c r="V556" s="128"/>
      <c r="W556" s="172"/>
    </row>
    <row r="557" s="39" customFormat="1" ht="22" customHeight="1" spans="1:23">
      <c r="A557" s="142" t="s">
        <v>2009</v>
      </c>
      <c r="B557" s="174" t="s">
        <v>30</v>
      </c>
      <c r="C557" s="175"/>
      <c r="D557" s="45" t="s">
        <v>31</v>
      </c>
      <c r="E557" s="73" t="s">
        <v>2010</v>
      </c>
      <c r="F557" s="82">
        <f>IFERROR(VLOOKUP(E557,客户!B:C,2,FALSE),"/")</f>
        <v>0</v>
      </c>
      <c r="G557" s="73" t="s">
        <v>2011</v>
      </c>
      <c r="H557" s="45" t="s">
        <v>123</v>
      </c>
      <c r="I557" s="45" t="s">
        <v>2012</v>
      </c>
      <c r="J557" s="110">
        <v>43699</v>
      </c>
      <c r="K557" s="110">
        <v>43716</v>
      </c>
      <c r="L557" s="93">
        <v>43742</v>
      </c>
      <c r="M557" s="146" t="s">
        <v>2013</v>
      </c>
      <c r="N557" s="110" t="s">
        <v>2014</v>
      </c>
      <c r="O557" s="108"/>
      <c r="P557" s="107">
        <v>7532.19</v>
      </c>
      <c r="Q557" s="210">
        <v>3345</v>
      </c>
      <c r="R557" s="129"/>
      <c r="S557" s="130"/>
      <c r="T557" s="107">
        <v>7821</v>
      </c>
      <c r="U557" s="93">
        <v>43734</v>
      </c>
      <c r="V557" s="128"/>
      <c r="W557" s="172"/>
    </row>
    <row r="558" s="39" customFormat="1" ht="22" customHeight="1" spans="1:23">
      <c r="A558" s="142" t="s">
        <v>2015</v>
      </c>
      <c r="B558" s="174" t="s">
        <v>30</v>
      </c>
      <c r="C558" s="175"/>
      <c r="D558" s="45" t="s">
        <v>31</v>
      </c>
      <c r="E558" s="73" t="s">
        <v>2010</v>
      </c>
      <c r="F558" s="82">
        <f>IFERROR(VLOOKUP(E558,客户!B:C,2,FALSE),"/")</f>
        <v>0</v>
      </c>
      <c r="G558" s="73" t="s">
        <v>2016</v>
      </c>
      <c r="H558" s="45" t="s">
        <v>123</v>
      </c>
      <c r="I558" s="45" t="s">
        <v>2017</v>
      </c>
      <c r="J558" s="110">
        <v>43699</v>
      </c>
      <c r="K558" s="110">
        <v>43721</v>
      </c>
      <c r="L558" s="93">
        <v>43742</v>
      </c>
      <c r="M558" s="146" t="s">
        <v>2013</v>
      </c>
      <c r="N558" s="110" t="s">
        <v>2018</v>
      </c>
      <c r="O558" s="108"/>
      <c r="P558" s="107">
        <v>3668.15</v>
      </c>
      <c r="Q558" s="210"/>
      <c r="R558" s="129"/>
      <c r="S558" s="130"/>
      <c r="T558" s="107"/>
      <c r="U558" s="93">
        <v>43734</v>
      </c>
      <c r="V558" s="128"/>
      <c r="W558" s="172"/>
    </row>
    <row r="559" s="39" customFormat="1" ht="22" customHeight="1" spans="1:23">
      <c r="A559" s="142" t="s">
        <v>2019</v>
      </c>
      <c r="B559" s="174" t="s">
        <v>30</v>
      </c>
      <c r="C559" s="175"/>
      <c r="D559" s="45" t="s">
        <v>31</v>
      </c>
      <c r="E559" s="73" t="s">
        <v>60</v>
      </c>
      <c r="F559" s="82" t="str">
        <f>IFERROR(VLOOKUP(E559,客户!B:C,2,FALSE),"/")</f>
        <v>外送费用945人民币+装箱费用 加在发票里</v>
      </c>
      <c r="G559" s="73" t="s">
        <v>866</v>
      </c>
      <c r="H559" s="45" t="s">
        <v>123</v>
      </c>
      <c r="I559" s="45" t="s">
        <v>837</v>
      </c>
      <c r="J559" s="110">
        <v>43719</v>
      </c>
      <c r="K559" s="110">
        <v>43741</v>
      </c>
      <c r="L559" s="93">
        <v>43771</v>
      </c>
      <c r="M559" s="146" t="s">
        <v>2020</v>
      </c>
      <c r="N559" s="110" t="s">
        <v>2021</v>
      </c>
      <c r="O559" s="108"/>
      <c r="P559" s="263">
        <v>49378.24</v>
      </c>
      <c r="Q559" s="107">
        <v>0</v>
      </c>
      <c r="R559" s="129"/>
      <c r="S559" s="130"/>
      <c r="T559" s="107">
        <v>49244</v>
      </c>
      <c r="U559" s="93">
        <v>43768</v>
      </c>
      <c r="V559" s="128"/>
      <c r="W559" s="172"/>
    </row>
    <row r="560" s="39" customFormat="1" ht="22" customHeight="1" spans="1:23">
      <c r="A560" s="256" t="s">
        <v>2022</v>
      </c>
      <c r="B560" s="257" t="s">
        <v>30</v>
      </c>
      <c r="C560" s="258"/>
      <c r="D560" s="45" t="s">
        <v>31</v>
      </c>
      <c r="E560" s="73" t="s">
        <v>2023</v>
      </c>
      <c r="F560" s="82">
        <f>IFERROR(VLOOKUP(E560,客户!B:C,2,FALSE),"/")</f>
        <v>0</v>
      </c>
      <c r="G560" s="195" t="s">
        <v>2024</v>
      </c>
      <c r="H560" s="192" t="s">
        <v>123</v>
      </c>
      <c r="I560" s="192" t="s">
        <v>2025</v>
      </c>
      <c r="J560" s="108">
        <v>43719</v>
      </c>
      <c r="K560" s="108">
        <v>43768</v>
      </c>
      <c r="L560" s="199">
        <v>43806</v>
      </c>
      <c r="M560" s="208" t="s">
        <v>2026</v>
      </c>
      <c r="N560" s="264" t="s">
        <v>2027</v>
      </c>
      <c r="O560" s="108" t="s">
        <v>523</v>
      </c>
      <c r="P560" s="207">
        <v>36250.54</v>
      </c>
      <c r="Q560" s="267">
        <v>9000</v>
      </c>
      <c r="R560" s="241"/>
      <c r="S560" s="242"/>
      <c r="T560" s="207">
        <v>27195.54</v>
      </c>
      <c r="U560" s="199">
        <v>43791</v>
      </c>
      <c r="V560" s="216"/>
      <c r="W560" s="217"/>
    </row>
    <row r="561" s="39" customFormat="1" ht="22" customHeight="1" spans="1:23">
      <c r="A561" s="259" t="s">
        <v>2028</v>
      </c>
      <c r="B561" s="257" t="s">
        <v>30</v>
      </c>
      <c r="C561" s="258"/>
      <c r="D561" s="45" t="s">
        <v>31</v>
      </c>
      <c r="E561" s="195" t="s">
        <v>481</v>
      </c>
      <c r="F561" s="82" t="str">
        <f>IFERROR(VLOOKUP(E561,客户!B:C,2,FALSE),"/")</f>
        <v>$53.50 TUV Austria administration cost 革力减掉150代理费</v>
      </c>
      <c r="G561" s="195" t="s">
        <v>2029</v>
      </c>
      <c r="H561" s="192" t="s">
        <v>123</v>
      </c>
      <c r="I561" s="192" t="s">
        <v>226</v>
      </c>
      <c r="J561" s="108">
        <v>43738</v>
      </c>
      <c r="K561" s="108">
        <v>43778</v>
      </c>
      <c r="L561" s="199">
        <v>43822</v>
      </c>
      <c r="M561" s="208" t="s">
        <v>2030</v>
      </c>
      <c r="N561" s="108" t="s">
        <v>2031</v>
      </c>
      <c r="O561" s="108" t="s">
        <v>523</v>
      </c>
      <c r="P561" s="207">
        <v>46175.79</v>
      </c>
      <c r="Q561" s="267">
        <v>13213</v>
      </c>
      <c r="R561" s="241"/>
      <c r="S561" s="242"/>
      <c r="T561" s="207">
        <v>32899.48</v>
      </c>
      <c r="U561" s="199">
        <v>43804</v>
      </c>
      <c r="V561" s="216"/>
      <c r="W561" s="217"/>
    </row>
    <row r="562" s="39" customFormat="1" ht="22" customHeight="1" spans="1:23">
      <c r="A562" s="260" t="s">
        <v>2032</v>
      </c>
      <c r="B562" s="257" t="s">
        <v>30</v>
      </c>
      <c r="C562" s="258"/>
      <c r="D562" s="45" t="s">
        <v>31</v>
      </c>
      <c r="E562" s="195" t="s">
        <v>60</v>
      </c>
      <c r="F562" s="82" t="str">
        <f>IFERROR(VLOOKUP(E562,客户!B:C,2,FALSE),"/")</f>
        <v>外送费用945人民币+装箱费用 加在发票里</v>
      </c>
      <c r="G562" s="195" t="s">
        <v>2033</v>
      </c>
      <c r="H562" s="192" t="s">
        <v>123</v>
      </c>
      <c r="I562" s="192" t="s">
        <v>837</v>
      </c>
      <c r="J562" s="108">
        <v>43770</v>
      </c>
      <c r="K562" s="108">
        <v>43808</v>
      </c>
      <c r="L562" s="199">
        <v>43841</v>
      </c>
      <c r="M562" s="206" t="s">
        <v>2034</v>
      </c>
      <c r="N562" s="108" t="s">
        <v>2035</v>
      </c>
      <c r="O562" s="108" t="s">
        <v>680</v>
      </c>
      <c r="P562" s="207">
        <v>43919.03</v>
      </c>
      <c r="Q562" s="267"/>
      <c r="R562" s="241"/>
      <c r="S562" s="242"/>
      <c r="T562" s="207">
        <v>43753.71</v>
      </c>
      <c r="U562" s="199">
        <v>43846</v>
      </c>
      <c r="V562" s="216"/>
      <c r="W562" s="217"/>
    </row>
    <row r="563" s="39" customFormat="1" ht="22" customHeight="1" spans="1:23">
      <c r="A563" s="142" t="s">
        <v>2036</v>
      </c>
      <c r="B563" s="174" t="s">
        <v>30</v>
      </c>
      <c r="C563" s="175"/>
      <c r="D563" s="229" t="s">
        <v>31</v>
      </c>
      <c r="E563" s="84" t="s">
        <v>2037</v>
      </c>
      <c r="F563" s="82" t="str">
        <f>IFERROR(VLOOKUP(E563,客户!B:C,2,FALSE),"/")</f>
        <v>外送费用945人民币+装箱费用 加在发票里</v>
      </c>
      <c r="G563" s="73" t="s">
        <v>373</v>
      </c>
      <c r="H563" s="45" t="s">
        <v>123</v>
      </c>
      <c r="I563" s="45" t="s">
        <v>837</v>
      </c>
      <c r="J563" s="110">
        <v>43791</v>
      </c>
      <c r="K563" s="110">
        <v>43891</v>
      </c>
      <c r="L563" s="93">
        <v>43926</v>
      </c>
      <c r="M563" s="165" t="s">
        <v>2038</v>
      </c>
      <c r="N563" s="110" t="s">
        <v>2039</v>
      </c>
      <c r="O563" s="108" t="s">
        <v>680</v>
      </c>
      <c r="P563" s="107">
        <v>65835.31</v>
      </c>
      <c r="Q563" s="107"/>
      <c r="R563" s="129"/>
      <c r="S563" s="130"/>
      <c r="T563" s="107">
        <v>65634.71</v>
      </c>
      <c r="U563" s="93"/>
      <c r="V563" s="128"/>
      <c r="W563" s="172"/>
    </row>
    <row r="564" s="39" customFormat="1" ht="22" customHeight="1" spans="1:23">
      <c r="A564" s="142" t="s">
        <v>2040</v>
      </c>
      <c r="B564" s="174" t="s">
        <v>30</v>
      </c>
      <c r="C564" s="175"/>
      <c r="D564" s="45" t="s">
        <v>31</v>
      </c>
      <c r="E564" s="73" t="s">
        <v>481</v>
      </c>
      <c r="F564" s="82" t="str">
        <f>IFERROR(VLOOKUP(E564,客户!B:C,2,FALSE),"/")</f>
        <v>$53.50 TUV Austria administration cost 革力减掉150代理费</v>
      </c>
      <c r="G564" s="73" t="s">
        <v>2041</v>
      </c>
      <c r="H564" s="45" t="s">
        <v>123</v>
      </c>
      <c r="I564" s="45" t="s">
        <v>226</v>
      </c>
      <c r="J564" s="110">
        <v>43803</v>
      </c>
      <c r="K564" s="110">
        <v>43848</v>
      </c>
      <c r="L564" s="93">
        <v>43884</v>
      </c>
      <c r="M564" s="146" t="s">
        <v>2042</v>
      </c>
      <c r="N564" s="202" t="s">
        <v>2043</v>
      </c>
      <c r="O564" s="108" t="s">
        <v>523</v>
      </c>
      <c r="P564" s="107">
        <v>48236.13</v>
      </c>
      <c r="Q564" s="107">
        <v>13111</v>
      </c>
      <c r="R564" s="129"/>
      <c r="S564" s="130"/>
      <c r="T564" s="107">
        <v>35061</v>
      </c>
      <c r="U564" s="93">
        <v>43863</v>
      </c>
      <c r="V564" s="128"/>
      <c r="W564" s="172"/>
    </row>
    <row r="565" s="39" customFormat="1" ht="22" customHeight="1" spans="1:23">
      <c r="A565" s="142" t="s">
        <v>2044</v>
      </c>
      <c r="B565" s="174" t="s">
        <v>30</v>
      </c>
      <c r="C565" s="175"/>
      <c r="D565" s="45" t="s">
        <v>31</v>
      </c>
      <c r="E565" s="73" t="s">
        <v>2045</v>
      </c>
      <c r="F565" s="82">
        <f>IFERROR(VLOOKUP(E565,客户!B:C,2,FALSE),"/")</f>
        <v>0</v>
      </c>
      <c r="G565" s="73" t="s">
        <v>2046</v>
      </c>
      <c r="H565" s="45" t="s">
        <v>123</v>
      </c>
      <c r="I565" s="45" t="s">
        <v>2047</v>
      </c>
      <c r="J565" s="110">
        <v>43803</v>
      </c>
      <c r="K565" s="110">
        <v>43816</v>
      </c>
      <c r="L565" s="93">
        <v>43873</v>
      </c>
      <c r="M565" s="146" t="s">
        <v>2048</v>
      </c>
      <c r="N565" s="202" t="s">
        <v>2049</v>
      </c>
      <c r="O565" s="108" t="s">
        <v>523</v>
      </c>
      <c r="P565" s="107">
        <v>25140</v>
      </c>
      <c r="Q565" s="107">
        <v>5100</v>
      </c>
      <c r="R565" s="129"/>
      <c r="S565" s="130"/>
      <c r="T565" s="107">
        <v>20040</v>
      </c>
      <c r="U565" s="93">
        <v>43847</v>
      </c>
      <c r="V565" s="128"/>
      <c r="W565" s="172"/>
    </row>
    <row r="566" s="39" customFormat="1" ht="22" customHeight="1" spans="1:23">
      <c r="A566" s="142" t="s">
        <v>2050</v>
      </c>
      <c r="B566" s="174" t="s">
        <v>30</v>
      </c>
      <c r="C566" s="175"/>
      <c r="D566" s="45" t="s">
        <v>31</v>
      </c>
      <c r="E566" s="73" t="s">
        <v>2045</v>
      </c>
      <c r="F566" s="82">
        <f>IFERROR(VLOOKUP(E566,客户!B:C,2,FALSE),"/")</f>
        <v>0</v>
      </c>
      <c r="G566" s="73" t="s">
        <v>2051</v>
      </c>
      <c r="H566" s="45" t="s">
        <v>123</v>
      </c>
      <c r="I566" s="45" t="s">
        <v>2052</v>
      </c>
      <c r="J566" s="110">
        <v>43803</v>
      </c>
      <c r="K566" s="110">
        <v>43831</v>
      </c>
      <c r="L566" s="93">
        <v>43850</v>
      </c>
      <c r="M566" s="146" t="s">
        <v>2053</v>
      </c>
      <c r="N566" s="110" t="s">
        <v>2054</v>
      </c>
      <c r="O566" s="108" t="s">
        <v>523</v>
      </c>
      <c r="P566" s="107">
        <v>19006.8</v>
      </c>
      <c r="Q566" s="107">
        <v>5100</v>
      </c>
      <c r="R566" s="129"/>
      <c r="S566" s="130"/>
      <c r="T566" s="107">
        <v>13906.8</v>
      </c>
      <c r="U566" s="93">
        <v>43847</v>
      </c>
      <c r="V566" s="128"/>
      <c r="W566" s="172"/>
    </row>
    <row r="567" s="39" customFormat="1" ht="22" customHeight="1" spans="1:23">
      <c r="A567" s="142" t="s">
        <v>2055</v>
      </c>
      <c r="B567" s="174" t="s">
        <v>30</v>
      </c>
      <c r="C567" s="175"/>
      <c r="D567" s="45" t="s">
        <v>31</v>
      </c>
      <c r="E567" s="73" t="s">
        <v>2056</v>
      </c>
      <c r="F567" s="82">
        <f>IFERROR(VLOOKUP(E567,客户!B:C,2,FALSE),"/")</f>
        <v>0</v>
      </c>
      <c r="G567" s="73" t="s">
        <v>2057</v>
      </c>
      <c r="H567" s="45" t="s">
        <v>123</v>
      </c>
      <c r="I567" s="45" t="s">
        <v>862</v>
      </c>
      <c r="J567" s="110"/>
      <c r="K567" s="110">
        <v>43827</v>
      </c>
      <c r="L567" s="93">
        <v>43859</v>
      </c>
      <c r="M567" s="165" t="s">
        <v>2058</v>
      </c>
      <c r="N567" s="110" t="s">
        <v>2059</v>
      </c>
      <c r="O567" s="108" t="s">
        <v>970</v>
      </c>
      <c r="P567" s="107">
        <v>72463.14</v>
      </c>
      <c r="Q567" s="107"/>
      <c r="R567" s="129"/>
      <c r="S567" s="130"/>
      <c r="T567" s="107">
        <v>39442.85</v>
      </c>
      <c r="U567" s="93">
        <v>43815</v>
      </c>
      <c r="V567" s="128"/>
      <c r="W567" s="172"/>
    </row>
    <row r="568" s="39" customFormat="1" ht="22" customHeight="1" spans="1:23">
      <c r="A568" s="142" t="s">
        <v>2060</v>
      </c>
      <c r="B568" s="174" t="s">
        <v>30</v>
      </c>
      <c r="C568" s="175"/>
      <c r="D568" s="45" t="s">
        <v>31</v>
      </c>
      <c r="E568" s="73" t="s">
        <v>2056</v>
      </c>
      <c r="F568" s="82">
        <f>IFERROR(VLOOKUP(E568,客户!B:C,2,FALSE),"/")</f>
        <v>0</v>
      </c>
      <c r="G568" s="73" t="s">
        <v>2057</v>
      </c>
      <c r="H568" s="45" t="s">
        <v>123</v>
      </c>
      <c r="I568" s="45" t="s">
        <v>862</v>
      </c>
      <c r="J568" s="110"/>
      <c r="K568" s="110">
        <v>43469</v>
      </c>
      <c r="L568" s="93">
        <v>43866</v>
      </c>
      <c r="M568" s="110" t="s">
        <v>2061</v>
      </c>
      <c r="N568" s="110" t="s">
        <v>2062</v>
      </c>
      <c r="O568" s="108" t="s">
        <v>970</v>
      </c>
      <c r="P568" s="107">
        <v>82576.73</v>
      </c>
      <c r="Q568" s="107"/>
      <c r="R568" s="129"/>
      <c r="S568" s="130"/>
      <c r="T568" s="107">
        <v>42735.05</v>
      </c>
      <c r="U568" s="93">
        <v>43825</v>
      </c>
      <c r="V568" s="128"/>
      <c r="W568" s="172"/>
    </row>
    <row r="569" s="39" customFormat="1" ht="22" customHeight="1" spans="1:23">
      <c r="A569" s="142" t="s">
        <v>2063</v>
      </c>
      <c r="B569" s="174" t="s">
        <v>30</v>
      </c>
      <c r="C569" s="175"/>
      <c r="D569" s="45" t="s">
        <v>31</v>
      </c>
      <c r="E569" s="73" t="s">
        <v>2056</v>
      </c>
      <c r="F569" s="82">
        <f>IFERROR(VLOOKUP(E569,客户!B:C,2,FALSE),"/")</f>
        <v>0</v>
      </c>
      <c r="G569" s="73" t="s">
        <v>2057</v>
      </c>
      <c r="H569" s="45" t="s">
        <v>123</v>
      </c>
      <c r="I569" s="45" t="s">
        <v>862</v>
      </c>
      <c r="J569" s="110"/>
      <c r="K569" s="110">
        <v>44058</v>
      </c>
      <c r="L569" s="93">
        <v>44087</v>
      </c>
      <c r="M569" s="164" t="s">
        <v>2064</v>
      </c>
      <c r="N569" s="202" t="s">
        <v>2065</v>
      </c>
      <c r="O569" s="108" t="s">
        <v>970</v>
      </c>
      <c r="P569" s="107">
        <v>98230.94</v>
      </c>
      <c r="Q569" s="107"/>
      <c r="R569" s="129"/>
      <c r="S569" s="130"/>
      <c r="T569" s="107"/>
      <c r="U569" s="93"/>
      <c r="V569" s="128"/>
      <c r="W569" s="172"/>
    </row>
    <row r="570" s="39" customFormat="1" ht="22" customHeight="1" spans="1:23">
      <c r="A570" s="142" t="s">
        <v>2066</v>
      </c>
      <c r="B570" s="174" t="s">
        <v>30</v>
      </c>
      <c r="C570" s="175"/>
      <c r="D570" s="45" t="s">
        <v>31</v>
      </c>
      <c r="E570" s="83" t="s">
        <v>2067</v>
      </c>
      <c r="F570" s="82">
        <f>IFERROR(VLOOKUP(E570,客户!B:C,2,FALSE),"/")</f>
        <v>0</v>
      </c>
      <c r="G570" s="73" t="s">
        <v>2068</v>
      </c>
      <c r="H570" s="45" t="s">
        <v>123</v>
      </c>
      <c r="I570" s="45" t="s">
        <v>2069</v>
      </c>
      <c r="J570" s="110">
        <v>43830</v>
      </c>
      <c r="K570" s="146">
        <v>43912</v>
      </c>
      <c r="L570" s="93">
        <v>43946</v>
      </c>
      <c r="M570" s="165" t="s">
        <v>2070</v>
      </c>
      <c r="N570" s="202" t="s">
        <v>2071</v>
      </c>
      <c r="O570" s="108" t="s">
        <v>523</v>
      </c>
      <c r="P570" s="107">
        <v>12534.956</v>
      </c>
      <c r="Q570" s="107">
        <v>3500</v>
      </c>
      <c r="R570" s="129">
        <f>P570-Q570</f>
        <v>9034.956</v>
      </c>
      <c r="S570" s="130"/>
      <c r="T570" s="107">
        <v>8981.61</v>
      </c>
      <c r="U570" s="93"/>
      <c r="V570" s="219" t="s">
        <v>2072</v>
      </c>
      <c r="W570" s="172"/>
    </row>
    <row r="571" s="39" customFormat="1" ht="22" customHeight="1" spans="1:23">
      <c r="A571" s="142" t="s">
        <v>2073</v>
      </c>
      <c r="B571" s="174" t="s">
        <v>30</v>
      </c>
      <c r="C571" s="175"/>
      <c r="D571" s="45" t="s">
        <v>31</v>
      </c>
      <c r="E571" s="73" t="s">
        <v>481</v>
      </c>
      <c r="F571" s="82" t="str">
        <f>IFERROR(VLOOKUP(E571,客户!B:C,2,FALSE),"/")</f>
        <v>$53.50 TUV Austria administration cost 革力减掉150代理费</v>
      </c>
      <c r="G571" s="73" t="s">
        <v>2074</v>
      </c>
      <c r="H571" s="45" t="s">
        <v>123</v>
      </c>
      <c r="I571" s="45" t="s">
        <v>340</v>
      </c>
      <c r="J571" s="110">
        <v>43887</v>
      </c>
      <c r="K571" s="93">
        <v>43946</v>
      </c>
      <c r="L571" s="93">
        <v>43975</v>
      </c>
      <c r="M571" s="165" t="s">
        <v>2075</v>
      </c>
      <c r="N571" s="202" t="s">
        <v>2076</v>
      </c>
      <c r="O571" s="108" t="s">
        <v>523</v>
      </c>
      <c r="P571" s="107">
        <v>47220.71</v>
      </c>
      <c r="Q571" s="107">
        <v>12996</v>
      </c>
      <c r="R571" s="129"/>
      <c r="S571" s="130"/>
      <c r="T571" s="107">
        <v>34171.31</v>
      </c>
      <c r="U571" s="93"/>
      <c r="V571" s="244" t="s">
        <v>2077</v>
      </c>
      <c r="W571" s="172"/>
    </row>
    <row r="572" s="39" customFormat="1" ht="22" customHeight="1" spans="1:23">
      <c r="A572" s="142" t="s">
        <v>2078</v>
      </c>
      <c r="B572" s="174" t="s">
        <v>30</v>
      </c>
      <c r="C572" s="175"/>
      <c r="D572" s="45" t="s">
        <v>31</v>
      </c>
      <c r="E572" s="83" t="s">
        <v>2079</v>
      </c>
      <c r="F572" s="82">
        <f>IFERROR(VLOOKUP(E572,客户!B:C,2,FALSE),"/")</f>
        <v>0</v>
      </c>
      <c r="G572" s="73" t="s">
        <v>2080</v>
      </c>
      <c r="H572" s="45" t="s">
        <v>123</v>
      </c>
      <c r="I572" s="45" t="s">
        <v>862</v>
      </c>
      <c r="J572" s="110"/>
      <c r="K572" s="146">
        <v>43905</v>
      </c>
      <c r="L572" s="93">
        <v>43930</v>
      </c>
      <c r="M572" s="165" t="s">
        <v>2081</v>
      </c>
      <c r="N572" s="202" t="s">
        <v>2082</v>
      </c>
      <c r="O572" s="108" t="s">
        <v>970</v>
      </c>
      <c r="P572" s="107">
        <v>22595</v>
      </c>
      <c r="Q572" s="107">
        <v>23181.69</v>
      </c>
      <c r="R572" s="129"/>
      <c r="S572" s="130"/>
      <c r="T572" s="107"/>
      <c r="U572" s="93">
        <v>43900</v>
      </c>
      <c r="V572" s="128"/>
      <c r="W572" s="172"/>
    </row>
    <row r="573" s="39" customFormat="1" ht="22" customHeight="1" spans="1:23">
      <c r="A573" s="142" t="s">
        <v>2083</v>
      </c>
      <c r="B573" s="174" t="s">
        <v>30</v>
      </c>
      <c r="C573" s="175"/>
      <c r="D573" s="45" t="s">
        <v>31</v>
      </c>
      <c r="E573" s="83" t="s">
        <v>2079</v>
      </c>
      <c r="F573" s="82">
        <f>IFERROR(VLOOKUP(E573,客户!B:C,2,FALSE),"/")</f>
        <v>0</v>
      </c>
      <c r="G573" s="73" t="s">
        <v>2080</v>
      </c>
      <c r="H573" s="45" t="s">
        <v>123</v>
      </c>
      <c r="I573" s="45" t="s">
        <v>862</v>
      </c>
      <c r="J573" s="110"/>
      <c r="K573" s="110">
        <v>43992</v>
      </c>
      <c r="L573" s="231">
        <v>44016</v>
      </c>
      <c r="M573" s="165" t="s">
        <v>2084</v>
      </c>
      <c r="N573" s="202" t="s">
        <v>2085</v>
      </c>
      <c r="O573" s="108" t="s">
        <v>970</v>
      </c>
      <c r="P573" s="107">
        <v>55500</v>
      </c>
      <c r="Q573" s="107">
        <v>30097.61</v>
      </c>
      <c r="R573" s="129"/>
      <c r="S573" s="130"/>
      <c r="T573" s="107"/>
      <c r="U573" s="93"/>
      <c r="V573" s="128"/>
      <c r="W573" s="172"/>
    </row>
    <row r="574" s="39" customFormat="1" ht="22" customHeight="1" spans="1:23">
      <c r="A574" s="142" t="s">
        <v>2086</v>
      </c>
      <c r="B574" s="174" t="s">
        <v>30</v>
      </c>
      <c r="C574" s="175"/>
      <c r="D574" s="45" t="s">
        <v>31</v>
      </c>
      <c r="E574" s="83" t="s">
        <v>2087</v>
      </c>
      <c r="F574" s="82">
        <f>IFERROR(VLOOKUP(E574,客户!B:C,2,FALSE),"/")</f>
        <v>0</v>
      </c>
      <c r="G574" s="73" t="s">
        <v>2088</v>
      </c>
      <c r="H574" s="45" t="s">
        <v>123</v>
      </c>
      <c r="I574" s="45" t="s">
        <v>2089</v>
      </c>
      <c r="J574" s="110">
        <v>43953</v>
      </c>
      <c r="K574" s="146">
        <v>44012</v>
      </c>
      <c r="L574" s="93">
        <v>44035</v>
      </c>
      <c r="M574" s="164" t="s">
        <v>2090</v>
      </c>
      <c r="N574" s="202" t="s">
        <v>2091</v>
      </c>
      <c r="O574" s="108" t="s">
        <v>523</v>
      </c>
      <c r="P574" s="107">
        <v>24533.88</v>
      </c>
      <c r="Q574" s="107">
        <v>5000</v>
      </c>
      <c r="R574" s="129"/>
      <c r="S574" s="130"/>
      <c r="T574" s="265">
        <v>40463.44</v>
      </c>
      <c r="U574" s="93"/>
      <c r="V574" s="247" t="s">
        <v>2092</v>
      </c>
      <c r="W574" s="172"/>
    </row>
    <row r="575" s="39" customFormat="1" ht="22" customHeight="1" spans="1:23">
      <c r="A575" s="142" t="s">
        <v>2093</v>
      </c>
      <c r="B575" s="174" t="s">
        <v>30</v>
      </c>
      <c r="C575" s="175"/>
      <c r="D575" s="45" t="s">
        <v>31</v>
      </c>
      <c r="E575" s="83" t="s">
        <v>2087</v>
      </c>
      <c r="F575" s="82"/>
      <c r="G575" s="73" t="s">
        <v>2094</v>
      </c>
      <c r="H575" s="45" t="s">
        <v>123</v>
      </c>
      <c r="I575" s="45" t="s">
        <v>2047</v>
      </c>
      <c r="J575" s="110">
        <v>43953</v>
      </c>
      <c r="K575" s="110">
        <v>43999</v>
      </c>
      <c r="L575" s="93">
        <v>44036</v>
      </c>
      <c r="M575" s="165" t="s">
        <v>2095</v>
      </c>
      <c r="N575" s="202" t="s">
        <v>2096</v>
      </c>
      <c r="O575" s="108" t="s">
        <v>523</v>
      </c>
      <c r="P575" s="107">
        <v>26227.96</v>
      </c>
      <c r="Q575" s="107">
        <v>5250</v>
      </c>
      <c r="R575" s="129"/>
      <c r="S575" s="130"/>
      <c r="T575" s="266"/>
      <c r="U575" s="93"/>
      <c r="V575" s="247" t="s">
        <v>2097</v>
      </c>
      <c r="W575" s="172"/>
    </row>
    <row r="576" s="39" customFormat="1" ht="22" customHeight="1" spans="1:23">
      <c r="A576" s="142" t="s">
        <v>2098</v>
      </c>
      <c r="B576" s="174" t="s">
        <v>30</v>
      </c>
      <c r="C576" s="175"/>
      <c r="D576" s="45" t="s">
        <v>31</v>
      </c>
      <c r="E576" s="83" t="s">
        <v>1128</v>
      </c>
      <c r="F576" s="82">
        <f>IFERROR(VLOOKUP(E576,客户!B:C,2,FALSE),"/")</f>
        <v>0</v>
      </c>
      <c r="G576" s="73" t="s">
        <v>2099</v>
      </c>
      <c r="H576" s="45" t="s">
        <v>123</v>
      </c>
      <c r="I576" s="45" t="s">
        <v>2100</v>
      </c>
      <c r="J576" s="110">
        <v>43966</v>
      </c>
      <c r="K576" s="146">
        <v>43990</v>
      </c>
      <c r="L576" s="231">
        <v>44016</v>
      </c>
      <c r="M576" s="165" t="s">
        <v>2101</v>
      </c>
      <c r="N576" s="202" t="s">
        <v>2102</v>
      </c>
      <c r="O576" s="108" t="s">
        <v>523</v>
      </c>
      <c r="P576" s="107">
        <v>62745.89</v>
      </c>
      <c r="Q576" s="107">
        <v>10000</v>
      </c>
      <c r="R576" s="129">
        <f>P576-Q576</f>
        <v>52745.89</v>
      </c>
      <c r="S576" s="130"/>
      <c r="T576" s="107"/>
      <c r="U576" s="93"/>
      <c r="V576" s="128"/>
      <c r="W576" s="172"/>
    </row>
    <row r="577" s="39" customFormat="1" ht="22" customHeight="1" spans="1:23">
      <c r="A577" s="190" t="s">
        <v>2103</v>
      </c>
      <c r="B577" s="174" t="s">
        <v>30</v>
      </c>
      <c r="C577" s="175"/>
      <c r="D577" s="45" t="s">
        <v>31</v>
      </c>
      <c r="E577" s="83" t="s">
        <v>2104</v>
      </c>
      <c r="F577" s="82"/>
      <c r="G577" s="73" t="s">
        <v>2105</v>
      </c>
      <c r="H577" s="45" t="s">
        <v>123</v>
      </c>
      <c r="I577" s="45" t="s">
        <v>862</v>
      </c>
      <c r="J577" s="110">
        <v>44021</v>
      </c>
      <c r="K577" s="146">
        <v>44153</v>
      </c>
      <c r="L577" s="93">
        <v>44177</v>
      </c>
      <c r="M577" s="165" t="s">
        <v>2106</v>
      </c>
      <c r="N577" s="202" t="s">
        <v>2107</v>
      </c>
      <c r="O577" s="108" t="s">
        <v>970</v>
      </c>
      <c r="P577" s="107">
        <v>88101.62</v>
      </c>
      <c r="Q577" s="107"/>
      <c r="R577" s="129"/>
      <c r="S577" s="130"/>
      <c r="T577" s="107"/>
      <c r="U577" s="93"/>
      <c r="V577" s="128"/>
      <c r="W577" s="172"/>
    </row>
    <row r="578" s="39" customFormat="1" ht="22" customHeight="1" spans="1:23">
      <c r="A578" s="142" t="s">
        <v>2108</v>
      </c>
      <c r="B578" s="174" t="s">
        <v>30</v>
      </c>
      <c r="C578" s="175"/>
      <c r="D578" s="229" t="s">
        <v>3</v>
      </c>
      <c r="E578" s="83" t="s">
        <v>1128</v>
      </c>
      <c r="F578" s="82">
        <f>IFERROR(VLOOKUP(E578,客户!B:C,2,FALSE),"/")</f>
        <v>0</v>
      </c>
      <c r="G578" s="73" t="s">
        <v>2109</v>
      </c>
      <c r="H578" s="45" t="s">
        <v>123</v>
      </c>
      <c r="I578" s="45" t="s">
        <v>2100</v>
      </c>
      <c r="J578" s="110">
        <v>44108</v>
      </c>
      <c r="K578" s="146"/>
      <c r="L578" s="231"/>
      <c r="M578" s="165" t="s">
        <v>2110</v>
      </c>
      <c r="N578" s="202"/>
      <c r="O578" s="108" t="s">
        <v>523</v>
      </c>
      <c r="P578" s="107">
        <v>67458.71</v>
      </c>
      <c r="Q578" s="107">
        <v>13500</v>
      </c>
      <c r="R578" s="129"/>
      <c r="S578" s="130"/>
      <c r="T578" s="107"/>
      <c r="U578" s="93"/>
      <c r="V578" s="128"/>
      <c r="W578" s="172"/>
    </row>
    <row r="579" s="39" customFormat="1" ht="22" customHeight="1" spans="1:23">
      <c r="A579" s="142" t="s">
        <v>2111</v>
      </c>
      <c r="B579" s="174" t="s">
        <v>30</v>
      </c>
      <c r="C579" s="175"/>
      <c r="D579" s="45" t="s">
        <v>31</v>
      </c>
      <c r="E579" s="83" t="s">
        <v>2112</v>
      </c>
      <c r="F579" s="82">
        <v>0</v>
      </c>
      <c r="G579" s="73" t="s">
        <v>2113</v>
      </c>
      <c r="H579" s="45" t="s">
        <v>123</v>
      </c>
      <c r="I579" s="45" t="s">
        <v>2069</v>
      </c>
      <c r="J579" s="110">
        <v>44108</v>
      </c>
      <c r="K579" s="146">
        <v>44135</v>
      </c>
      <c r="L579" s="93">
        <v>44164</v>
      </c>
      <c r="M579" s="165" t="s">
        <v>2114</v>
      </c>
      <c r="N579" s="202" t="s">
        <v>2115</v>
      </c>
      <c r="O579" s="108" t="s">
        <v>523</v>
      </c>
      <c r="P579" s="107">
        <v>6931.97</v>
      </c>
      <c r="Q579" s="265">
        <v>4500</v>
      </c>
      <c r="R579" s="278"/>
      <c r="S579" s="130"/>
      <c r="T579" s="265">
        <v>14704.69</v>
      </c>
      <c r="U579" s="93"/>
      <c r="V579" s="128"/>
      <c r="W579" s="172"/>
    </row>
    <row r="580" s="39" customFormat="1" ht="22" customHeight="1" spans="1:23">
      <c r="A580" s="142" t="s">
        <v>2116</v>
      </c>
      <c r="B580" s="174" t="s">
        <v>30</v>
      </c>
      <c r="C580" s="175"/>
      <c r="D580" s="45" t="s">
        <v>31</v>
      </c>
      <c r="E580" s="83" t="s">
        <v>2112</v>
      </c>
      <c r="F580" s="82">
        <f>IFERROR(VLOOKUP(E580,客户!B:C,2,FALSE),"/")</f>
        <v>0</v>
      </c>
      <c r="G580" s="73" t="s">
        <v>2117</v>
      </c>
      <c r="H580" s="45" t="s">
        <v>123</v>
      </c>
      <c r="I580" s="45" t="s">
        <v>2069</v>
      </c>
      <c r="J580" s="110">
        <v>44108</v>
      </c>
      <c r="K580" s="146">
        <v>44135</v>
      </c>
      <c r="L580" s="93">
        <v>44164</v>
      </c>
      <c r="M580" s="165" t="s">
        <v>2118</v>
      </c>
      <c r="N580" s="202" t="s">
        <v>2119</v>
      </c>
      <c r="O580" s="108" t="s">
        <v>523</v>
      </c>
      <c r="P580" s="107">
        <v>12272.72</v>
      </c>
      <c r="Q580" s="266"/>
      <c r="R580" s="279"/>
      <c r="S580" s="130"/>
      <c r="T580" s="266"/>
      <c r="U580" s="93"/>
      <c r="V580" s="128"/>
      <c r="W580" s="172"/>
    </row>
    <row r="581" s="39" customFormat="1" ht="22" customHeight="1" spans="1:23">
      <c r="A581" s="142" t="s">
        <v>2120</v>
      </c>
      <c r="B581" s="174" t="s">
        <v>30</v>
      </c>
      <c r="C581" s="175"/>
      <c r="D581" s="45" t="s">
        <v>31</v>
      </c>
      <c r="E581" s="83" t="s">
        <v>2121</v>
      </c>
      <c r="F581" s="82"/>
      <c r="G581" s="83" t="s">
        <v>2122</v>
      </c>
      <c r="H581" s="45" t="s">
        <v>123</v>
      </c>
      <c r="I581" s="253" t="s">
        <v>2123</v>
      </c>
      <c r="J581" s="110">
        <v>44165</v>
      </c>
      <c r="K581" s="146">
        <v>44247</v>
      </c>
      <c r="L581" s="93">
        <v>44288</v>
      </c>
      <c r="M581" s="165" t="s">
        <v>2124</v>
      </c>
      <c r="N581" s="202" t="s">
        <v>2125</v>
      </c>
      <c r="O581" s="108" t="s">
        <v>523</v>
      </c>
      <c r="P581" s="107">
        <v>37335.08</v>
      </c>
      <c r="Q581" s="266">
        <f>8000+10000</f>
        <v>18000</v>
      </c>
      <c r="R581" s="279"/>
      <c r="S581" s="130"/>
      <c r="T581" s="266">
        <f>9000+9962.62</f>
        <v>18962.62</v>
      </c>
      <c r="U581" s="266">
        <v>391.62</v>
      </c>
      <c r="V581" s="128"/>
      <c r="W581" s="172"/>
    </row>
    <row r="582" s="39" customFormat="1" ht="22" customHeight="1" spans="1:23">
      <c r="A582" s="142" t="s">
        <v>2126</v>
      </c>
      <c r="B582" s="174" t="s">
        <v>30</v>
      </c>
      <c r="C582" s="175"/>
      <c r="D582" s="45" t="s">
        <v>31</v>
      </c>
      <c r="E582" s="83" t="s">
        <v>2127</v>
      </c>
      <c r="F582" s="82">
        <f>IFERROR(VLOOKUP(E582,客户!B:C,2,FALSE),"/")</f>
        <v>0</v>
      </c>
      <c r="G582" s="83" t="s">
        <v>2128</v>
      </c>
      <c r="H582" s="45" t="s">
        <v>123</v>
      </c>
      <c r="I582" s="253" t="s">
        <v>2129</v>
      </c>
      <c r="J582" s="110">
        <v>44166</v>
      </c>
      <c r="K582" s="146">
        <v>44205</v>
      </c>
      <c r="L582" s="93">
        <v>44253</v>
      </c>
      <c r="M582" s="165" t="s">
        <v>2130</v>
      </c>
      <c r="N582" s="202" t="s">
        <v>2131</v>
      </c>
      <c r="O582" s="108" t="s">
        <v>523</v>
      </c>
      <c r="P582" s="107">
        <v>7228.05</v>
      </c>
      <c r="Q582" s="266">
        <v>2170</v>
      </c>
      <c r="R582" s="279"/>
      <c r="S582" s="130"/>
      <c r="T582" s="266">
        <v>5058.05</v>
      </c>
      <c r="U582" s="93"/>
      <c r="V582" s="219" t="s">
        <v>2132</v>
      </c>
      <c r="W582" s="172"/>
    </row>
    <row r="583" s="39" customFormat="1" ht="22" customHeight="1" spans="1:23">
      <c r="A583" s="142" t="s">
        <v>2133</v>
      </c>
      <c r="B583" s="174" t="s">
        <v>30</v>
      </c>
      <c r="C583" s="175"/>
      <c r="D583" s="45" t="s">
        <v>31</v>
      </c>
      <c r="E583" s="83" t="s">
        <v>2104</v>
      </c>
      <c r="F583" s="82"/>
      <c r="G583" s="83" t="s">
        <v>2134</v>
      </c>
      <c r="H583" s="45" t="s">
        <v>123</v>
      </c>
      <c r="I583" s="253" t="s">
        <v>862</v>
      </c>
      <c r="J583" s="110">
        <v>44183</v>
      </c>
      <c r="K583" s="146">
        <v>44201</v>
      </c>
      <c r="L583" s="93">
        <v>44226</v>
      </c>
      <c r="M583" s="165" t="s">
        <v>2135</v>
      </c>
      <c r="N583" s="202" t="s">
        <v>2136</v>
      </c>
      <c r="O583" s="108" t="s">
        <v>970</v>
      </c>
      <c r="P583" s="107">
        <v>79578.88</v>
      </c>
      <c r="Q583" s="266"/>
      <c r="R583" s="279"/>
      <c r="S583" s="130"/>
      <c r="T583" s="266"/>
      <c r="U583" s="93"/>
      <c r="V583" s="128"/>
      <c r="W583" s="172"/>
    </row>
    <row r="584" s="39" customFormat="1" ht="22" customHeight="1" spans="1:23">
      <c r="A584" s="142" t="s">
        <v>2137</v>
      </c>
      <c r="B584" s="174" t="s">
        <v>30</v>
      </c>
      <c r="C584" s="175"/>
      <c r="D584" s="45" t="s">
        <v>31</v>
      </c>
      <c r="E584" s="83" t="s">
        <v>2104</v>
      </c>
      <c r="F584" s="82">
        <f>IFERROR(VLOOKUP(E584,客户!B:C,2,FALSE),"/")</f>
        <v>0</v>
      </c>
      <c r="G584" s="83" t="s">
        <v>2138</v>
      </c>
      <c r="H584" s="45" t="s">
        <v>123</v>
      </c>
      <c r="I584" s="253" t="s">
        <v>862</v>
      </c>
      <c r="J584" s="110">
        <v>44191</v>
      </c>
      <c r="K584" s="146">
        <v>44215</v>
      </c>
      <c r="L584" s="93">
        <v>44240</v>
      </c>
      <c r="M584" s="204" t="s">
        <v>2139</v>
      </c>
      <c r="N584" s="202" t="s">
        <v>2140</v>
      </c>
      <c r="O584" s="264" t="s">
        <v>970</v>
      </c>
      <c r="P584" s="107">
        <f>23946.57+53419.64</f>
        <v>77366.21</v>
      </c>
      <c r="Q584" s="266"/>
      <c r="R584" s="279"/>
      <c r="S584" s="130"/>
      <c r="T584" s="266"/>
      <c r="U584" s="93"/>
      <c r="V584" s="128"/>
      <c r="W584" s="172"/>
    </row>
    <row r="585" s="39" customFormat="1" ht="22" customHeight="1" spans="1:23">
      <c r="A585" s="142" t="s">
        <v>2141</v>
      </c>
      <c r="B585" s="174" t="s">
        <v>30</v>
      </c>
      <c r="C585" s="175"/>
      <c r="D585" s="45" t="s">
        <v>31</v>
      </c>
      <c r="E585" s="83" t="s">
        <v>2104</v>
      </c>
      <c r="F585" s="82">
        <f>IFERROR(VLOOKUP(E585,客户!B:C,2,FALSE),"/")</f>
        <v>0</v>
      </c>
      <c r="G585" s="83" t="s">
        <v>2142</v>
      </c>
      <c r="H585" s="45" t="s">
        <v>123</v>
      </c>
      <c r="I585" s="253" t="s">
        <v>862</v>
      </c>
      <c r="J585" s="110">
        <v>44191</v>
      </c>
      <c r="K585" s="146">
        <v>44209</v>
      </c>
      <c r="L585" s="93">
        <v>44235</v>
      </c>
      <c r="M585" s="165" t="s">
        <v>2143</v>
      </c>
      <c r="N585" s="202" t="s">
        <v>2144</v>
      </c>
      <c r="O585" s="264" t="s">
        <v>970</v>
      </c>
      <c r="P585" s="107">
        <v>56805.66</v>
      </c>
      <c r="Q585" s="266"/>
      <c r="R585" s="279"/>
      <c r="S585" s="130"/>
      <c r="T585" s="266"/>
      <c r="U585" s="93"/>
      <c r="V585" s="128"/>
      <c r="W585" s="172"/>
    </row>
    <row r="586" s="39" customFormat="1" ht="22" customHeight="1" spans="1:23">
      <c r="A586" s="142" t="s">
        <v>2145</v>
      </c>
      <c r="B586" s="174" t="s">
        <v>30</v>
      </c>
      <c r="C586" s="175"/>
      <c r="D586" s="45" t="s">
        <v>31</v>
      </c>
      <c r="E586" s="83" t="s">
        <v>2112</v>
      </c>
      <c r="F586" s="82">
        <f>IFERROR(VLOOKUP(E586,客户!B:C,2,FALSE),"/")</f>
        <v>0</v>
      </c>
      <c r="G586" s="83" t="s">
        <v>2146</v>
      </c>
      <c r="H586" s="45" t="s">
        <v>123</v>
      </c>
      <c r="I586" s="45" t="s">
        <v>2069</v>
      </c>
      <c r="J586" s="110">
        <v>44258</v>
      </c>
      <c r="K586" s="146">
        <v>44290</v>
      </c>
      <c r="L586" s="93">
        <v>44338</v>
      </c>
      <c r="M586" s="165" t="s">
        <v>2147</v>
      </c>
      <c r="N586" s="202" t="s">
        <v>2148</v>
      </c>
      <c r="O586" s="264" t="s">
        <v>523</v>
      </c>
      <c r="P586" s="107">
        <v>15145.48</v>
      </c>
      <c r="Q586" s="266">
        <v>3613</v>
      </c>
      <c r="R586" s="279"/>
      <c r="S586" s="130"/>
      <c r="T586" s="266">
        <v>11532.48</v>
      </c>
      <c r="U586" s="93"/>
      <c r="V586" s="128"/>
      <c r="W586" s="172"/>
    </row>
    <row r="587" s="39" customFormat="1" ht="22" customHeight="1" spans="1:23">
      <c r="A587" s="143" t="s">
        <v>2149</v>
      </c>
      <c r="B587" s="174" t="s">
        <v>30</v>
      </c>
      <c r="C587" s="175"/>
      <c r="D587" s="45" t="s">
        <v>31</v>
      </c>
      <c r="E587" s="83" t="s">
        <v>2150</v>
      </c>
      <c r="F587" s="82"/>
      <c r="G587" s="83" t="s">
        <v>2151</v>
      </c>
      <c r="H587" s="45" t="s">
        <v>123</v>
      </c>
      <c r="I587" s="45" t="s">
        <v>2152</v>
      </c>
      <c r="J587" s="110">
        <v>44265</v>
      </c>
      <c r="K587" s="146">
        <v>44316</v>
      </c>
      <c r="L587" s="93">
        <v>44358</v>
      </c>
      <c r="M587" s="165" t="s">
        <v>2153</v>
      </c>
      <c r="N587" s="202" t="s">
        <v>2154</v>
      </c>
      <c r="O587" s="264" t="s">
        <v>523</v>
      </c>
      <c r="P587" s="107">
        <v>51545.45</v>
      </c>
      <c r="Q587" s="266">
        <v>15000</v>
      </c>
      <c r="R587" s="279"/>
      <c r="S587" s="130"/>
      <c r="T587" s="266">
        <v>36545.45</v>
      </c>
      <c r="U587" s="93"/>
      <c r="V587" s="128"/>
      <c r="W587" s="172"/>
    </row>
    <row r="588" s="39" customFormat="1" ht="22" customHeight="1" spans="1:23">
      <c r="A588" s="142" t="s">
        <v>2155</v>
      </c>
      <c r="B588" s="174" t="s">
        <v>30</v>
      </c>
      <c r="C588" s="175"/>
      <c r="D588" s="229" t="s">
        <v>31</v>
      </c>
      <c r="E588" s="83" t="s">
        <v>2121</v>
      </c>
      <c r="F588" s="82">
        <f>IFERROR(VLOOKUP(E588,客户!B:C,2,FALSE),"/")</f>
        <v>0</v>
      </c>
      <c r="G588" s="83" t="s">
        <v>2156</v>
      </c>
      <c r="H588" s="45" t="s">
        <v>123</v>
      </c>
      <c r="I588" s="253" t="s">
        <v>2123</v>
      </c>
      <c r="J588" s="110">
        <v>44293</v>
      </c>
      <c r="K588" s="146">
        <v>44394</v>
      </c>
      <c r="L588" s="93">
        <v>44431</v>
      </c>
      <c r="M588" s="165" t="s">
        <v>2157</v>
      </c>
      <c r="N588" s="202" t="s">
        <v>2158</v>
      </c>
      <c r="O588" s="264" t="s">
        <v>523</v>
      </c>
      <c r="P588" s="107">
        <v>73134.45</v>
      </c>
      <c r="Q588" s="266">
        <v>69000</v>
      </c>
      <c r="R588" s="279"/>
      <c r="S588" s="130"/>
      <c r="T588" s="266">
        <v>4162.08</v>
      </c>
      <c r="U588" s="93"/>
      <c r="V588" s="128"/>
      <c r="W588" s="172"/>
    </row>
    <row r="589" s="39" customFormat="1" ht="22" customHeight="1" spans="1:23">
      <c r="A589" s="142" t="s">
        <v>2159</v>
      </c>
      <c r="B589" s="174" t="s">
        <v>30</v>
      </c>
      <c r="C589" s="175"/>
      <c r="D589" s="229" t="s">
        <v>31</v>
      </c>
      <c r="E589" s="83" t="s">
        <v>2087</v>
      </c>
      <c r="F589" s="82">
        <f>IFERROR(VLOOKUP(E589,客户!B:C,2,FALSE),"/")</f>
        <v>0</v>
      </c>
      <c r="G589" s="73" t="s">
        <v>2094</v>
      </c>
      <c r="H589" s="45" t="s">
        <v>123</v>
      </c>
      <c r="I589" s="45" t="s">
        <v>2047</v>
      </c>
      <c r="J589" s="110">
        <v>44301</v>
      </c>
      <c r="K589" s="146">
        <v>44350</v>
      </c>
      <c r="L589" s="93">
        <v>44389</v>
      </c>
      <c r="M589" s="165" t="s">
        <v>2160</v>
      </c>
      <c r="N589" s="202" t="s">
        <v>2161</v>
      </c>
      <c r="O589" s="264" t="s">
        <v>523</v>
      </c>
      <c r="P589" s="107">
        <v>31796</v>
      </c>
      <c r="Q589" s="280">
        <v>17300</v>
      </c>
      <c r="R589" s="279"/>
      <c r="S589" s="130"/>
      <c r="T589" s="280">
        <v>40251.8</v>
      </c>
      <c r="U589" s="93"/>
      <c r="V589" s="128"/>
      <c r="W589" s="172"/>
    </row>
    <row r="590" s="39" customFormat="1" ht="22" customHeight="1" spans="1:23">
      <c r="A590" s="142" t="s">
        <v>2162</v>
      </c>
      <c r="B590" s="174" t="s">
        <v>30</v>
      </c>
      <c r="C590" s="175"/>
      <c r="D590" s="229" t="s">
        <v>31</v>
      </c>
      <c r="E590" s="83" t="s">
        <v>2087</v>
      </c>
      <c r="F590" s="82">
        <f>IFERROR(VLOOKUP(E590,客户!B:C,2,FALSE),"/")</f>
        <v>0</v>
      </c>
      <c r="G590" s="73" t="s">
        <v>2088</v>
      </c>
      <c r="H590" s="45" t="s">
        <v>123</v>
      </c>
      <c r="I590" s="253" t="s">
        <v>2163</v>
      </c>
      <c r="J590" s="110">
        <v>44301</v>
      </c>
      <c r="K590" s="146">
        <v>44354</v>
      </c>
      <c r="L590" s="93">
        <v>44372</v>
      </c>
      <c r="M590" s="165" t="s">
        <v>2164</v>
      </c>
      <c r="N590" s="202" t="s">
        <v>2165</v>
      </c>
      <c r="O590" s="264" t="s">
        <v>523</v>
      </c>
      <c r="P590" s="107">
        <v>25755.8</v>
      </c>
      <c r="Q590" s="266"/>
      <c r="R590" s="279"/>
      <c r="S590" s="130"/>
      <c r="T590" s="266"/>
      <c r="U590" s="93"/>
      <c r="V590" s="128"/>
      <c r="W590" s="172"/>
    </row>
    <row r="591" s="39" customFormat="1" ht="22" customHeight="1" spans="1:23">
      <c r="A591" s="142" t="s">
        <v>2166</v>
      </c>
      <c r="B591" s="174" t="s">
        <v>30</v>
      </c>
      <c r="C591" s="175"/>
      <c r="D591" s="229" t="s">
        <v>31</v>
      </c>
      <c r="E591" s="83" t="s">
        <v>2127</v>
      </c>
      <c r="F591" s="82">
        <f>IFERROR(VLOOKUP(E591,客户!B:C,2,FALSE),"/")</f>
        <v>0</v>
      </c>
      <c r="G591" s="73" t="s">
        <v>2167</v>
      </c>
      <c r="H591" s="45" t="s">
        <v>123</v>
      </c>
      <c r="I591" s="253" t="s">
        <v>2129</v>
      </c>
      <c r="J591" s="110">
        <v>44307</v>
      </c>
      <c r="K591" s="146">
        <v>44541</v>
      </c>
      <c r="L591" s="93">
        <v>44220</v>
      </c>
      <c r="M591" s="165" t="s">
        <v>2168</v>
      </c>
      <c r="N591" s="202" t="s">
        <v>2169</v>
      </c>
      <c r="O591" s="264" t="s">
        <v>523</v>
      </c>
      <c r="P591" s="107">
        <v>23181.61</v>
      </c>
      <c r="Q591" s="266">
        <v>6957</v>
      </c>
      <c r="R591" s="279"/>
      <c r="S591" s="130"/>
      <c r="T591" s="266">
        <v>16225.62</v>
      </c>
      <c r="U591" s="93"/>
      <c r="V591" s="128"/>
      <c r="W591" s="172"/>
    </row>
    <row r="592" s="39" customFormat="1" ht="22" customHeight="1" spans="1:23">
      <c r="A592" s="142" t="s">
        <v>2170</v>
      </c>
      <c r="B592" s="174" t="s">
        <v>30</v>
      </c>
      <c r="C592" s="175"/>
      <c r="D592" s="229" t="s">
        <v>31</v>
      </c>
      <c r="E592" s="83" t="s">
        <v>1210</v>
      </c>
      <c r="F592" s="82"/>
      <c r="G592" s="73" t="s">
        <v>2171</v>
      </c>
      <c r="H592" s="45" t="s">
        <v>123</v>
      </c>
      <c r="I592" s="45" t="s">
        <v>2172</v>
      </c>
      <c r="J592" s="110">
        <v>44309</v>
      </c>
      <c r="K592" s="146">
        <v>44332</v>
      </c>
      <c r="L592" s="93">
        <v>44385</v>
      </c>
      <c r="M592" s="165" t="s">
        <v>2173</v>
      </c>
      <c r="N592" s="202" t="s">
        <v>2174</v>
      </c>
      <c r="O592" s="264" t="s">
        <v>523</v>
      </c>
      <c r="P592" s="274">
        <v>50832.58</v>
      </c>
      <c r="Q592" s="274">
        <v>15000</v>
      </c>
      <c r="R592" s="279"/>
      <c r="S592" s="130"/>
      <c r="T592" s="274">
        <v>15832</v>
      </c>
      <c r="U592" s="274">
        <v>20000.58</v>
      </c>
      <c r="V592" s="128"/>
      <c r="W592" s="172"/>
    </row>
    <row r="593" s="39" customFormat="1" ht="22" customHeight="1" spans="1:23">
      <c r="A593" s="255" t="s">
        <v>2175</v>
      </c>
      <c r="B593" s="174" t="s">
        <v>30</v>
      </c>
      <c r="C593" s="175"/>
      <c r="D593" s="229" t="s">
        <v>3</v>
      </c>
      <c r="E593" s="83" t="s">
        <v>2121</v>
      </c>
      <c r="F593" s="82">
        <f>IFERROR(VLOOKUP(E593,客户!B:C,2,FALSE),"/")</f>
        <v>0</v>
      </c>
      <c r="G593" s="83" t="s">
        <v>2156</v>
      </c>
      <c r="H593" s="45" t="s">
        <v>123</v>
      </c>
      <c r="I593" s="253" t="s">
        <v>2123</v>
      </c>
      <c r="J593" s="110">
        <v>44315</v>
      </c>
      <c r="K593" s="179"/>
      <c r="L593" s="93"/>
      <c r="M593" s="165" t="s">
        <v>2176</v>
      </c>
      <c r="N593" s="202"/>
      <c r="O593" s="264" t="s">
        <v>523</v>
      </c>
      <c r="P593" s="135">
        <v>72116.45</v>
      </c>
      <c r="Q593" s="266">
        <f>10000-4859.64</f>
        <v>5140.36</v>
      </c>
      <c r="R593" s="279"/>
      <c r="S593" s="130"/>
      <c r="T593" s="266"/>
      <c r="U593" s="93"/>
      <c r="V593" s="128"/>
      <c r="W593" s="172"/>
    </row>
    <row r="594" s="39" customFormat="1" ht="22" customHeight="1" spans="1:23">
      <c r="A594" s="142" t="s">
        <v>2177</v>
      </c>
      <c r="B594" s="174" t="s">
        <v>30</v>
      </c>
      <c r="C594" s="175"/>
      <c r="D594" s="229" t="s">
        <v>31</v>
      </c>
      <c r="E594" s="83" t="s">
        <v>2121</v>
      </c>
      <c r="F594" s="82">
        <f>IFERROR(VLOOKUP(E594,客户!B:C,2,FALSE),"/")</f>
        <v>0</v>
      </c>
      <c r="G594" s="83" t="s">
        <v>2178</v>
      </c>
      <c r="H594" s="45" t="s">
        <v>123</v>
      </c>
      <c r="I594" s="45" t="s">
        <v>2179</v>
      </c>
      <c r="J594" s="110">
        <v>44343</v>
      </c>
      <c r="K594" s="146">
        <v>44380</v>
      </c>
      <c r="L594" s="93">
        <v>44446</v>
      </c>
      <c r="M594" s="165" t="s">
        <v>2180</v>
      </c>
      <c r="N594" s="202" t="s">
        <v>2181</v>
      </c>
      <c r="O594" s="264" t="s">
        <v>523</v>
      </c>
      <c r="P594" s="107">
        <v>21637.92</v>
      </c>
      <c r="Q594" s="266">
        <v>10000</v>
      </c>
      <c r="R594" s="279"/>
      <c r="S594" s="130"/>
      <c r="T594" s="266">
        <v>10000</v>
      </c>
      <c r="U594" s="266">
        <v>1637.92</v>
      </c>
      <c r="V594" s="128"/>
      <c r="W594" s="172"/>
    </row>
    <row r="595" s="39" customFormat="1" ht="22" customHeight="1" spans="1:23">
      <c r="A595" s="142" t="s">
        <v>2182</v>
      </c>
      <c r="B595" s="174" t="s">
        <v>30</v>
      </c>
      <c r="C595" s="175"/>
      <c r="D595" s="229" t="s">
        <v>31</v>
      </c>
      <c r="E595" s="83" t="s">
        <v>2104</v>
      </c>
      <c r="F595" s="82">
        <f>IFERROR(VLOOKUP(E595,客户!B:C,2,FALSE),"/")</f>
        <v>0</v>
      </c>
      <c r="G595" s="83" t="s">
        <v>2183</v>
      </c>
      <c r="H595" s="45" t="s">
        <v>123</v>
      </c>
      <c r="I595" s="253" t="s">
        <v>862</v>
      </c>
      <c r="J595" s="110">
        <v>44363</v>
      </c>
      <c r="K595" s="146">
        <v>44374</v>
      </c>
      <c r="L595" s="93">
        <v>44417</v>
      </c>
      <c r="M595" s="165" t="s">
        <v>2184</v>
      </c>
      <c r="N595" s="202" t="s">
        <v>2185</v>
      </c>
      <c r="O595" s="264" t="s">
        <v>970</v>
      </c>
      <c r="P595" s="107">
        <v>28505.49</v>
      </c>
      <c r="Q595" s="266"/>
      <c r="R595" s="279"/>
      <c r="S595" s="130"/>
      <c r="T595" s="266"/>
      <c r="U595" s="93"/>
      <c r="V595" s="128"/>
      <c r="W595" s="172"/>
    </row>
    <row r="596" s="39" customFormat="1" ht="22" customHeight="1" spans="1:23">
      <c r="A596" s="142" t="s">
        <v>2186</v>
      </c>
      <c r="B596" s="174" t="s">
        <v>30</v>
      </c>
      <c r="C596" s="175"/>
      <c r="D596" s="229" t="s">
        <v>31</v>
      </c>
      <c r="E596" s="83" t="s">
        <v>2104</v>
      </c>
      <c r="F596" s="82">
        <f>IFERROR(VLOOKUP(E596,客户!B:C,2,FALSE),"/")</f>
        <v>0</v>
      </c>
      <c r="G596" s="83" t="s">
        <v>2187</v>
      </c>
      <c r="H596" s="45" t="s">
        <v>123</v>
      </c>
      <c r="I596" s="253" t="s">
        <v>862</v>
      </c>
      <c r="J596" s="110">
        <v>44363</v>
      </c>
      <c r="K596" s="110">
        <v>44374</v>
      </c>
      <c r="L596" s="93">
        <v>44417</v>
      </c>
      <c r="M596" s="165" t="s">
        <v>2188</v>
      </c>
      <c r="N596" s="202" t="s">
        <v>2189</v>
      </c>
      <c r="O596" s="264" t="s">
        <v>970</v>
      </c>
      <c r="P596" s="168">
        <v>85191.6</v>
      </c>
      <c r="Q596" s="266"/>
      <c r="R596" s="279"/>
      <c r="S596" s="130"/>
      <c r="T596" s="266"/>
      <c r="U596" s="93"/>
      <c r="V596" s="128"/>
      <c r="W596" s="172"/>
    </row>
    <row r="597" s="39" customFormat="1" ht="22" customHeight="1" spans="1:23">
      <c r="A597" s="142" t="s">
        <v>2190</v>
      </c>
      <c r="B597" s="174" t="s">
        <v>30</v>
      </c>
      <c r="C597" s="175"/>
      <c r="D597" s="229" t="s">
        <v>31</v>
      </c>
      <c r="E597" s="83" t="s">
        <v>2112</v>
      </c>
      <c r="F597" s="82">
        <f>IFERROR(VLOOKUP(E597,客户!B:C,2,FALSE),"/")</f>
        <v>0</v>
      </c>
      <c r="G597" s="83" t="s">
        <v>2191</v>
      </c>
      <c r="H597" s="45" t="s">
        <v>123</v>
      </c>
      <c r="I597" s="45" t="s">
        <v>2069</v>
      </c>
      <c r="J597" s="110">
        <v>44377</v>
      </c>
      <c r="K597" s="110">
        <v>44417</v>
      </c>
      <c r="L597" s="93">
        <v>44459</v>
      </c>
      <c r="M597" s="165" t="s">
        <v>2192</v>
      </c>
      <c r="N597" s="202" t="s">
        <v>2193</v>
      </c>
      <c r="O597" s="264" t="s">
        <v>523</v>
      </c>
      <c r="P597" s="168">
        <v>19566.14</v>
      </c>
      <c r="Q597" s="266"/>
      <c r="R597" s="279"/>
      <c r="S597" s="130"/>
      <c r="T597" s="266">
        <v>19566.14</v>
      </c>
      <c r="U597" s="93"/>
      <c r="V597" s="128"/>
      <c r="W597" s="172"/>
    </row>
    <row r="598" s="39" customFormat="1" ht="22" customHeight="1" spans="1:23">
      <c r="A598" s="142" t="s">
        <v>2194</v>
      </c>
      <c r="B598" s="174" t="s">
        <v>30</v>
      </c>
      <c r="C598" s="175"/>
      <c r="D598" s="229" t="s">
        <v>31</v>
      </c>
      <c r="E598" s="83" t="s">
        <v>2150</v>
      </c>
      <c r="F598" s="82"/>
      <c r="G598" s="83" t="s">
        <v>2195</v>
      </c>
      <c r="H598" s="45" t="s">
        <v>123</v>
      </c>
      <c r="I598" s="45" t="s">
        <v>2152</v>
      </c>
      <c r="J598" s="110">
        <v>44433</v>
      </c>
      <c r="K598" s="146">
        <v>44451</v>
      </c>
      <c r="L598" s="93">
        <v>44499</v>
      </c>
      <c r="M598" s="165" t="s">
        <v>2196</v>
      </c>
      <c r="N598" s="202" t="s">
        <v>2197</v>
      </c>
      <c r="O598" s="264" t="s">
        <v>523</v>
      </c>
      <c r="P598" s="168">
        <v>30343.99</v>
      </c>
      <c r="Q598" s="266">
        <v>8000</v>
      </c>
      <c r="R598" s="279"/>
      <c r="S598" s="130"/>
      <c r="T598" s="266">
        <v>22343.99</v>
      </c>
      <c r="U598" s="93"/>
      <c r="V598" s="128"/>
      <c r="W598" s="172"/>
    </row>
    <row r="599" s="39" customFormat="1" ht="22" customHeight="1" spans="1:23">
      <c r="A599" s="142" t="s">
        <v>2198</v>
      </c>
      <c r="B599" s="174" t="s">
        <v>30</v>
      </c>
      <c r="C599" s="175"/>
      <c r="D599" s="229" t="s">
        <v>31</v>
      </c>
      <c r="E599" s="83" t="s">
        <v>2104</v>
      </c>
      <c r="F599" s="82">
        <f>IFERROR(VLOOKUP(E599,客户!B:C,2,FALSE),"/")</f>
        <v>0</v>
      </c>
      <c r="G599" s="83" t="s">
        <v>2187</v>
      </c>
      <c r="H599" s="45" t="s">
        <v>123</v>
      </c>
      <c r="I599" s="253" t="s">
        <v>862</v>
      </c>
      <c r="J599" s="110">
        <v>44447</v>
      </c>
      <c r="K599" s="110">
        <v>44457</v>
      </c>
      <c r="L599" s="93">
        <v>44493</v>
      </c>
      <c r="M599" s="165" t="s">
        <v>2199</v>
      </c>
      <c r="N599" s="202" t="s">
        <v>2200</v>
      </c>
      <c r="O599" s="264" t="s">
        <v>970</v>
      </c>
      <c r="P599" s="168">
        <v>93488.4</v>
      </c>
      <c r="Q599" s="266"/>
      <c r="R599" s="279"/>
      <c r="S599" s="130"/>
      <c r="T599" s="266"/>
      <c r="U599" s="93"/>
      <c r="V599" s="128"/>
      <c r="W599" s="172"/>
    </row>
    <row r="600" s="39" customFormat="1" ht="22" customHeight="1" spans="1:23">
      <c r="A600" s="142" t="s">
        <v>2201</v>
      </c>
      <c r="B600" s="174" t="s">
        <v>30</v>
      </c>
      <c r="C600" s="175"/>
      <c r="D600" s="229" t="s">
        <v>31</v>
      </c>
      <c r="E600" s="83" t="s">
        <v>2104</v>
      </c>
      <c r="F600" s="82">
        <f>IFERROR(VLOOKUP(E600,客户!B:C,2,FALSE),"/")</f>
        <v>0</v>
      </c>
      <c r="G600" s="83" t="s">
        <v>2202</v>
      </c>
      <c r="H600" s="45" t="s">
        <v>123</v>
      </c>
      <c r="I600" s="253" t="s">
        <v>862</v>
      </c>
      <c r="J600" s="110">
        <v>44470</v>
      </c>
      <c r="K600" s="110">
        <v>44525</v>
      </c>
      <c r="L600" s="93"/>
      <c r="M600" s="165" t="s">
        <v>2203</v>
      </c>
      <c r="N600" s="202" t="s">
        <v>2204</v>
      </c>
      <c r="O600" s="264" t="s">
        <v>970</v>
      </c>
      <c r="P600" s="168">
        <v>55400</v>
      </c>
      <c r="Q600" s="266"/>
      <c r="R600" s="279"/>
      <c r="S600" s="130"/>
      <c r="T600" s="266"/>
      <c r="U600" s="93"/>
      <c r="V600" s="128"/>
      <c r="W600" s="172"/>
    </row>
    <row r="601" s="39" customFormat="1" ht="22" customHeight="1" spans="1:23">
      <c r="A601" s="142" t="s">
        <v>2205</v>
      </c>
      <c r="B601" s="174" t="s">
        <v>30</v>
      </c>
      <c r="C601" s="175"/>
      <c r="D601" s="229" t="s">
        <v>31</v>
      </c>
      <c r="E601" s="83" t="s">
        <v>2104</v>
      </c>
      <c r="F601" s="82">
        <f>IFERROR(VLOOKUP(E601,客户!B:C,2,FALSE),"/")</f>
        <v>0</v>
      </c>
      <c r="G601" s="83" t="s">
        <v>2206</v>
      </c>
      <c r="H601" s="45" t="s">
        <v>123</v>
      </c>
      <c r="I601" s="253" t="s">
        <v>2207</v>
      </c>
      <c r="J601" s="110">
        <v>44580</v>
      </c>
      <c r="K601" s="110">
        <v>44587</v>
      </c>
      <c r="L601" s="93">
        <v>44640</v>
      </c>
      <c r="M601" s="165" t="s">
        <v>2208</v>
      </c>
      <c r="N601" s="202" t="s">
        <v>2107</v>
      </c>
      <c r="O601" s="264" t="s">
        <v>970</v>
      </c>
      <c r="P601" s="168">
        <v>76517.99</v>
      </c>
      <c r="Q601" s="266"/>
      <c r="R601" s="279"/>
      <c r="S601" s="130"/>
      <c r="T601" s="266"/>
      <c r="U601" s="93"/>
      <c r="V601" s="128"/>
      <c r="W601" s="172"/>
    </row>
    <row r="602" s="39" customFormat="1" ht="22" customHeight="1" spans="1:23">
      <c r="A602" s="255" t="s">
        <v>2209</v>
      </c>
      <c r="B602" s="174" t="s">
        <v>30</v>
      </c>
      <c r="C602" s="175"/>
      <c r="D602" s="229" t="s">
        <v>0</v>
      </c>
      <c r="E602" s="83" t="s">
        <v>2127</v>
      </c>
      <c r="F602" s="82">
        <f>IFERROR(VLOOKUP(E602,客户!B:C,2,FALSE),"/")</f>
        <v>0</v>
      </c>
      <c r="G602" s="73" t="s">
        <v>2167</v>
      </c>
      <c r="H602" s="45" t="s">
        <v>123</v>
      </c>
      <c r="I602" s="253" t="s">
        <v>2129</v>
      </c>
      <c r="J602" s="110">
        <v>44673</v>
      </c>
      <c r="K602" s="110">
        <v>44729</v>
      </c>
      <c r="L602" s="93"/>
      <c r="M602" s="165" t="s">
        <v>2210</v>
      </c>
      <c r="N602" s="202" t="s">
        <v>2211</v>
      </c>
      <c r="O602" s="264" t="s">
        <v>970</v>
      </c>
      <c r="P602" s="168">
        <v>31545.82</v>
      </c>
      <c r="Q602" s="266">
        <v>9464</v>
      </c>
      <c r="R602" s="279">
        <f>P602-Q602</f>
        <v>22081.82</v>
      </c>
      <c r="S602" s="130"/>
      <c r="T602" s="266"/>
      <c r="U602" s="93"/>
      <c r="V602" s="128"/>
      <c r="W602" s="172"/>
    </row>
    <row r="603" s="39" customFormat="1" ht="22" customHeight="1" spans="1:23">
      <c r="A603" s="142" t="s">
        <v>2212</v>
      </c>
      <c r="B603" s="174" t="s">
        <v>30</v>
      </c>
      <c r="C603" s="175"/>
      <c r="D603" s="229" t="s">
        <v>31</v>
      </c>
      <c r="E603" s="83" t="s">
        <v>2121</v>
      </c>
      <c r="F603" s="82">
        <f>IFERROR(VLOOKUP(E603,客户!B:C,2,FALSE),"/")</f>
        <v>0</v>
      </c>
      <c r="G603" s="73" t="s">
        <v>2213</v>
      </c>
      <c r="H603" s="45" t="s">
        <v>123</v>
      </c>
      <c r="I603" s="45" t="s">
        <v>2179</v>
      </c>
      <c r="J603" s="110">
        <v>44680</v>
      </c>
      <c r="K603" s="146">
        <v>44696</v>
      </c>
      <c r="L603" s="93">
        <v>44754</v>
      </c>
      <c r="M603" s="165" t="s">
        <v>2214</v>
      </c>
      <c r="N603" s="202" t="s">
        <v>2215</v>
      </c>
      <c r="O603" s="264" t="s">
        <v>970</v>
      </c>
      <c r="P603" s="168">
        <v>24859.64</v>
      </c>
      <c r="Q603" s="266">
        <v>10000</v>
      </c>
      <c r="R603" s="279"/>
      <c r="S603" s="130"/>
      <c r="T603" s="266">
        <v>10000</v>
      </c>
      <c r="U603" s="266">
        <v>4859.64</v>
      </c>
      <c r="V603" s="128"/>
      <c r="W603" s="172"/>
    </row>
    <row r="604" s="39" customFormat="1" ht="22" customHeight="1" spans="1:23">
      <c r="A604" s="255" t="s">
        <v>2216</v>
      </c>
      <c r="B604" s="174" t="s">
        <v>30</v>
      </c>
      <c r="C604" s="175"/>
      <c r="D604" s="229" t="s">
        <v>0</v>
      </c>
      <c r="E604" s="83" t="s">
        <v>2087</v>
      </c>
      <c r="F604" s="82"/>
      <c r="G604" s="73" t="s">
        <v>2094</v>
      </c>
      <c r="H604" s="45" t="s">
        <v>123</v>
      </c>
      <c r="I604" s="45" t="s">
        <v>2047</v>
      </c>
      <c r="J604" s="110">
        <v>44704</v>
      </c>
      <c r="K604" s="179">
        <v>44729</v>
      </c>
      <c r="L604" s="93"/>
      <c r="M604" s="165" t="s">
        <v>2217</v>
      </c>
      <c r="N604" s="202" t="s">
        <v>2218</v>
      </c>
      <c r="O604" s="264" t="s">
        <v>523</v>
      </c>
      <c r="P604" s="168">
        <v>32317.6</v>
      </c>
      <c r="Q604" s="266">
        <v>9000</v>
      </c>
      <c r="R604" s="279"/>
      <c r="S604" s="130"/>
      <c r="T604" s="266"/>
      <c r="U604" s="93"/>
      <c r="V604" s="128"/>
      <c r="W604" s="172"/>
    </row>
    <row r="605" s="39" customFormat="1" ht="22" customHeight="1" spans="1:23">
      <c r="A605" s="255"/>
      <c r="B605" s="174"/>
      <c r="C605" s="175"/>
      <c r="D605" s="45"/>
      <c r="E605" s="73"/>
      <c r="F605" s="82" t="str">
        <f>IFERROR(VLOOKUP(E605,客户!B:C,2,FALSE),"/")</f>
        <v>/</v>
      </c>
      <c r="G605" s="73"/>
      <c r="H605" s="45"/>
      <c r="I605" s="45"/>
      <c r="J605" s="110"/>
      <c r="K605" s="110"/>
      <c r="L605" s="93"/>
      <c r="M605" s="146"/>
      <c r="N605" s="110"/>
      <c r="O605" s="108"/>
      <c r="P605" s="209"/>
      <c r="Q605" s="107"/>
      <c r="R605" s="129"/>
      <c r="S605" s="130"/>
      <c r="T605" s="107"/>
      <c r="U605" s="93"/>
      <c r="V605" s="128"/>
      <c r="W605" s="172"/>
    </row>
    <row r="606" s="39" customFormat="1" ht="22" customHeight="1" spans="1:23">
      <c r="A606" s="209" t="s">
        <v>2219</v>
      </c>
      <c r="B606" s="268"/>
      <c r="C606" s="269"/>
      <c r="D606" s="45"/>
      <c r="E606" s="73"/>
      <c r="F606" s="82" t="str">
        <f>IFERROR(VLOOKUP(E606,客户!B:C,2,FALSE),"/")</f>
        <v>/</v>
      </c>
      <c r="G606" s="272"/>
      <c r="H606" s="42"/>
      <c r="I606" s="42"/>
      <c r="J606" s="110"/>
      <c r="K606" s="110"/>
      <c r="L606" s="93"/>
      <c r="M606" s="275"/>
      <c r="N606" s="275"/>
      <c r="O606" s="108"/>
      <c r="P606" s="209"/>
      <c r="Q606" s="127"/>
      <c r="R606" s="129"/>
      <c r="S606" s="130"/>
      <c r="T606" s="127"/>
      <c r="U606" s="93"/>
      <c r="V606" s="283"/>
      <c r="W606" s="184"/>
    </row>
    <row r="607" s="39" customFormat="1" ht="22" customHeight="1" spans="1:23">
      <c r="A607" s="42" t="s">
        <v>2220</v>
      </c>
      <c r="B607" s="270" t="s">
        <v>2221</v>
      </c>
      <c r="C607" s="271"/>
      <c r="D607" s="45" t="s">
        <v>31</v>
      </c>
      <c r="E607" s="42" t="s">
        <v>2222</v>
      </c>
      <c r="F607" s="82" t="str">
        <f>IFERROR(VLOOKUP(E607,客户!B:C,2,FALSE),"/")</f>
        <v>/</v>
      </c>
      <c r="G607" s="42" t="s">
        <v>2223</v>
      </c>
      <c r="H607" s="42" t="s">
        <v>127</v>
      </c>
      <c r="I607" s="42"/>
      <c r="J607" s="110"/>
      <c r="K607" s="110"/>
      <c r="L607" s="93"/>
      <c r="M607" s="275"/>
      <c r="N607" s="276" t="s">
        <v>2224</v>
      </c>
      <c r="O607" s="108"/>
      <c r="P607" s="127">
        <v>22386</v>
      </c>
      <c r="Q607" s="127">
        <v>7000</v>
      </c>
      <c r="R607" s="281"/>
      <c r="S607" s="170"/>
      <c r="T607" s="127"/>
      <c r="U607" s="93"/>
      <c r="V607" s="127"/>
      <c r="W607" s="171"/>
    </row>
    <row r="608" s="39" customFormat="1" ht="22" customHeight="1" spans="1:23">
      <c r="A608" s="42" t="s">
        <v>2225</v>
      </c>
      <c r="B608" s="270" t="s">
        <v>2221</v>
      </c>
      <c r="C608" s="271"/>
      <c r="D608" s="45" t="s">
        <v>31</v>
      </c>
      <c r="E608" s="42" t="s">
        <v>2222</v>
      </c>
      <c r="F608" s="82" t="str">
        <f>IFERROR(VLOOKUP(E608,客户!B:C,2,FALSE),"/")</f>
        <v>/</v>
      </c>
      <c r="G608" s="42" t="s">
        <v>2226</v>
      </c>
      <c r="H608" s="42" t="s">
        <v>127</v>
      </c>
      <c r="I608" s="42"/>
      <c r="J608" s="110"/>
      <c r="K608" s="110"/>
      <c r="L608" s="93"/>
      <c r="M608" s="275"/>
      <c r="N608" s="276" t="s">
        <v>2227</v>
      </c>
      <c r="O608" s="108"/>
      <c r="P608" s="127">
        <v>42500.2</v>
      </c>
      <c r="Q608" s="127">
        <v>14000</v>
      </c>
      <c r="R608" s="281"/>
      <c r="S608" s="170"/>
      <c r="T608" s="127"/>
      <c r="U608" s="93"/>
      <c r="V608" s="127"/>
      <c r="W608" s="171"/>
    </row>
    <row r="609" s="39" customFormat="1" ht="22" customHeight="1" spans="1:23">
      <c r="A609" s="42" t="s">
        <v>2228</v>
      </c>
      <c r="B609" s="270" t="s">
        <v>2221</v>
      </c>
      <c r="C609" s="271"/>
      <c r="D609" s="45" t="s">
        <v>31</v>
      </c>
      <c r="E609" s="42" t="s">
        <v>2222</v>
      </c>
      <c r="F609" s="82" t="str">
        <f>IFERROR(VLOOKUP(E609,客户!B:C,2,FALSE),"/")</f>
        <v>/</v>
      </c>
      <c r="G609" s="42" t="s">
        <v>2223</v>
      </c>
      <c r="H609" s="42" t="s">
        <v>127</v>
      </c>
      <c r="I609" s="42"/>
      <c r="J609" s="110"/>
      <c r="K609" s="110"/>
      <c r="L609" s="93"/>
      <c r="M609" s="275"/>
      <c r="N609" s="276" t="s">
        <v>2227</v>
      </c>
      <c r="O609" s="108"/>
      <c r="P609" s="127">
        <v>21349</v>
      </c>
      <c r="Q609" s="127">
        <v>7000</v>
      </c>
      <c r="R609" s="281"/>
      <c r="S609" s="170"/>
      <c r="T609" s="127"/>
      <c r="U609" s="93"/>
      <c r="V609" s="127"/>
      <c r="W609" s="171"/>
    </row>
    <row r="610" s="39" customFormat="1" ht="22" customHeight="1" spans="1:23">
      <c r="A610" s="42" t="s">
        <v>2229</v>
      </c>
      <c r="B610" s="270" t="s">
        <v>2221</v>
      </c>
      <c r="C610" s="271"/>
      <c r="D610" s="45" t="s">
        <v>31</v>
      </c>
      <c r="E610" s="42" t="s">
        <v>2230</v>
      </c>
      <c r="F610" s="82" t="str">
        <f>IFERROR(VLOOKUP(E610,客户!B:C,2,FALSE),"/")</f>
        <v>/</v>
      </c>
      <c r="G610" s="42" t="s">
        <v>2231</v>
      </c>
      <c r="H610" s="42" t="s">
        <v>127</v>
      </c>
      <c r="I610" s="42"/>
      <c r="J610" s="110"/>
      <c r="K610" s="110"/>
      <c r="L610" s="93"/>
      <c r="M610" s="275" t="s">
        <v>2232</v>
      </c>
      <c r="N610" s="276" t="s">
        <v>2233</v>
      </c>
      <c r="O610" s="108"/>
      <c r="P610" s="127">
        <v>41966.1</v>
      </c>
      <c r="Q610" s="127">
        <v>12000</v>
      </c>
      <c r="R610" s="169"/>
      <c r="S610" s="170"/>
      <c r="T610" s="127">
        <v>29935</v>
      </c>
      <c r="U610" s="93"/>
      <c r="V610" s="127"/>
      <c r="W610" s="171"/>
    </row>
    <row r="611" s="39" customFormat="1" ht="22" customHeight="1" spans="1:23">
      <c r="A611" s="42" t="s">
        <v>2234</v>
      </c>
      <c r="B611" s="270" t="s">
        <v>2221</v>
      </c>
      <c r="C611" s="271"/>
      <c r="D611" s="45" t="s">
        <v>31</v>
      </c>
      <c r="E611" s="273" t="s">
        <v>2235</v>
      </c>
      <c r="F611" s="82" t="str">
        <f>IFERROR(VLOOKUP(E611,客户!B:C,2,FALSE),"/")</f>
        <v>/</v>
      </c>
      <c r="G611" s="42" t="s">
        <v>2236</v>
      </c>
      <c r="H611" s="42" t="s">
        <v>127</v>
      </c>
      <c r="I611" s="42"/>
      <c r="J611" s="110"/>
      <c r="K611" s="110"/>
      <c r="L611" s="93"/>
      <c r="M611" s="275" t="s">
        <v>2232</v>
      </c>
      <c r="N611" s="276" t="s">
        <v>2233</v>
      </c>
      <c r="O611" s="108"/>
      <c r="P611" s="127">
        <v>24567.25</v>
      </c>
      <c r="Q611" s="127">
        <v>7000</v>
      </c>
      <c r="R611" s="169"/>
      <c r="S611" s="170"/>
      <c r="T611" s="127">
        <v>17537</v>
      </c>
      <c r="U611" s="93"/>
      <c r="V611" s="127"/>
      <c r="W611" s="171"/>
    </row>
    <row r="612" s="43" customFormat="1" ht="22" customHeight="1" spans="1:23">
      <c r="A612" s="45" t="s">
        <v>2237</v>
      </c>
      <c r="B612" s="270" t="s">
        <v>2221</v>
      </c>
      <c r="C612" s="271"/>
      <c r="D612" s="45" t="s">
        <v>31</v>
      </c>
      <c r="E612" s="45" t="s">
        <v>2238</v>
      </c>
      <c r="F612" s="82" t="str">
        <f>IFERROR(VLOOKUP(E612,客户!B:C,2,FALSE),"/")</f>
        <v>/</v>
      </c>
      <c r="G612" s="45" t="s">
        <v>2239</v>
      </c>
      <c r="H612" s="45" t="s">
        <v>127</v>
      </c>
      <c r="I612" s="45"/>
      <c r="J612" s="110"/>
      <c r="K612" s="110"/>
      <c r="L612" s="93"/>
      <c r="M612" s="146" t="s">
        <v>2240</v>
      </c>
      <c r="N612" s="162" t="s">
        <v>2241</v>
      </c>
      <c r="O612" s="108"/>
      <c r="P612" s="107">
        <v>27321.32</v>
      </c>
      <c r="Q612" s="107">
        <v>3000</v>
      </c>
      <c r="R612" s="282"/>
      <c r="S612" s="130"/>
      <c r="T612" s="107"/>
      <c r="U612" s="93"/>
      <c r="V612" s="114"/>
      <c r="W612" s="284"/>
    </row>
    <row r="613" s="43" customFormat="1" ht="22" customHeight="1" spans="1:23">
      <c r="A613" s="45" t="s">
        <v>2242</v>
      </c>
      <c r="B613" s="270" t="s">
        <v>2221</v>
      </c>
      <c r="C613" s="271"/>
      <c r="D613" s="45" t="s">
        <v>31</v>
      </c>
      <c r="E613" s="45" t="s">
        <v>2243</v>
      </c>
      <c r="F613" s="82" t="str">
        <f>IFERROR(VLOOKUP(E613,客户!B:C,2,FALSE),"/")</f>
        <v>/</v>
      </c>
      <c r="G613" s="45" t="s">
        <v>2244</v>
      </c>
      <c r="H613" s="45" t="s">
        <v>127</v>
      </c>
      <c r="I613" s="45"/>
      <c r="J613" s="110"/>
      <c r="K613" s="110"/>
      <c r="L613" s="93"/>
      <c r="M613" s="146" t="s">
        <v>2245</v>
      </c>
      <c r="N613" s="162" t="s">
        <v>2246</v>
      </c>
      <c r="O613" s="108"/>
      <c r="P613" s="107">
        <v>41936.9</v>
      </c>
      <c r="Q613" s="107">
        <v>11200</v>
      </c>
      <c r="R613" s="129"/>
      <c r="S613" s="130"/>
      <c r="T613" s="107"/>
      <c r="U613" s="93"/>
      <c r="V613" s="128"/>
      <c r="W613" s="284"/>
    </row>
    <row r="614" s="43" customFormat="1" ht="22" customHeight="1" spans="1:23">
      <c r="A614" s="45" t="s">
        <v>2247</v>
      </c>
      <c r="B614" s="270" t="s">
        <v>2221</v>
      </c>
      <c r="C614" s="271"/>
      <c r="D614" s="45" t="s">
        <v>31</v>
      </c>
      <c r="E614" s="45" t="s">
        <v>2243</v>
      </c>
      <c r="F614" s="82" t="str">
        <f>IFERROR(VLOOKUP(E614,客户!B:C,2,FALSE),"/")</f>
        <v>/</v>
      </c>
      <c r="G614" s="45" t="s">
        <v>2244</v>
      </c>
      <c r="H614" s="45" t="s">
        <v>407</v>
      </c>
      <c r="I614" s="45"/>
      <c r="J614" s="110"/>
      <c r="K614" s="110"/>
      <c r="L614" s="93"/>
      <c r="M614" s="146" t="s">
        <v>2248</v>
      </c>
      <c r="N614" s="162" t="s">
        <v>2249</v>
      </c>
      <c r="O614" s="108"/>
      <c r="P614" s="107">
        <v>44055.4</v>
      </c>
      <c r="Q614" s="107">
        <v>11200</v>
      </c>
      <c r="R614" s="129"/>
      <c r="S614" s="130"/>
      <c r="T614" s="107">
        <v>32835</v>
      </c>
      <c r="U614" s="93"/>
      <c r="V614" s="107"/>
      <c r="W614" s="284"/>
    </row>
    <row r="615" s="43" customFormat="1" ht="22" customHeight="1" spans="1:23">
      <c r="A615" s="45" t="s">
        <v>2250</v>
      </c>
      <c r="B615" s="270" t="s">
        <v>2221</v>
      </c>
      <c r="C615" s="271"/>
      <c r="D615" s="45" t="s">
        <v>31</v>
      </c>
      <c r="E615" s="45" t="s">
        <v>2243</v>
      </c>
      <c r="F615" s="82" t="str">
        <f>IFERROR(VLOOKUP(E615,客户!B:C,2,FALSE),"/")</f>
        <v>/</v>
      </c>
      <c r="G615" s="45" t="s">
        <v>2251</v>
      </c>
      <c r="H615" s="45" t="s">
        <v>127</v>
      </c>
      <c r="I615" s="45"/>
      <c r="J615" s="110"/>
      <c r="K615" s="110"/>
      <c r="L615" s="93"/>
      <c r="M615" s="162" t="s">
        <v>2252</v>
      </c>
      <c r="N615" s="162" t="s">
        <v>2253</v>
      </c>
      <c r="O615" s="108"/>
      <c r="P615" s="107">
        <v>22590</v>
      </c>
      <c r="Q615" s="107">
        <v>5600</v>
      </c>
      <c r="R615" s="129"/>
      <c r="S615" s="130"/>
      <c r="T615" s="107">
        <v>16980</v>
      </c>
      <c r="U615" s="93"/>
      <c r="V615" s="107"/>
      <c r="W615" s="284"/>
    </row>
    <row r="616" s="43" customFormat="1" ht="22" customHeight="1" spans="1:23">
      <c r="A616" s="142" t="s">
        <v>2254</v>
      </c>
      <c r="B616" s="270" t="s">
        <v>2221</v>
      </c>
      <c r="C616" s="271"/>
      <c r="D616" s="45" t="s">
        <v>31</v>
      </c>
      <c r="E616" s="73" t="s">
        <v>2255</v>
      </c>
      <c r="F616" s="82">
        <f>IFERROR(VLOOKUP(E616,客户!B:C,2,FALSE),"/")</f>
        <v>0</v>
      </c>
      <c r="G616" s="45" t="s">
        <v>2256</v>
      </c>
      <c r="H616" s="45" t="s">
        <v>123</v>
      </c>
      <c r="I616" s="45" t="s">
        <v>2257</v>
      </c>
      <c r="J616" s="110">
        <v>43313</v>
      </c>
      <c r="K616" s="110">
        <v>43563</v>
      </c>
      <c r="L616" s="93"/>
      <c r="M616" s="146" t="s">
        <v>2258</v>
      </c>
      <c r="N616" s="146" t="s">
        <v>2259</v>
      </c>
      <c r="O616" s="108"/>
      <c r="P616" s="107">
        <v>53827.34</v>
      </c>
      <c r="Q616" s="107" t="s">
        <v>2260</v>
      </c>
      <c r="R616" s="129">
        <v>0</v>
      </c>
      <c r="S616" s="130"/>
      <c r="T616" s="107">
        <f>10000*5+3827</f>
        <v>53827</v>
      </c>
      <c r="U616" s="93">
        <v>43593</v>
      </c>
      <c r="V616" s="128"/>
      <c r="W616" s="214"/>
    </row>
    <row r="617" s="43" customFormat="1" ht="22" customHeight="1" spans="1:23">
      <c r="A617" s="142" t="s">
        <v>2261</v>
      </c>
      <c r="B617" s="270" t="s">
        <v>2221</v>
      </c>
      <c r="C617" s="271"/>
      <c r="D617" s="45" t="s">
        <v>31</v>
      </c>
      <c r="E617" s="45" t="s">
        <v>2262</v>
      </c>
      <c r="F617" s="82">
        <f>IFERROR(VLOOKUP(E617,客户!B:C,2,FALSE),"/")</f>
        <v>0</v>
      </c>
      <c r="G617" s="45" t="s">
        <v>2263</v>
      </c>
      <c r="H617" s="45" t="s">
        <v>2264</v>
      </c>
      <c r="I617" s="45" t="s">
        <v>2265</v>
      </c>
      <c r="J617" s="110">
        <v>43314</v>
      </c>
      <c r="K617" s="110"/>
      <c r="L617" s="93"/>
      <c r="M617" s="116" t="s">
        <v>2266</v>
      </c>
      <c r="N617" s="110"/>
      <c r="O617" s="108"/>
      <c r="P617" s="107">
        <v>2677.5</v>
      </c>
      <c r="Q617" s="107">
        <f>5000/6.8</f>
        <v>735.294117647059</v>
      </c>
      <c r="R617" s="129">
        <f>N617</f>
        <v>0</v>
      </c>
      <c r="S617" s="130"/>
      <c r="T617" s="107"/>
      <c r="U617" s="93"/>
      <c r="V617" s="107"/>
      <c r="W617" s="214"/>
    </row>
    <row r="618" s="43" customFormat="1" ht="22" customHeight="1" spans="1:23">
      <c r="A618" s="45" t="s">
        <v>2267</v>
      </c>
      <c r="B618" s="270" t="s">
        <v>2221</v>
      </c>
      <c r="C618" s="271"/>
      <c r="D618" s="45" t="s">
        <v>31</v>
      </c>
      <c r="E618" s="45" t="s">
        <v>2268</v>
      </c>
      <c r="F618" s="82" t="str">
        <f>IFERROR(VLOOKUP(E618,客户!B:C,2,FALSE),"/")</f>
        <v>/</v>
      </c>
      <c r="G618" s="45" t="s">
        <v>2269</v>
      </c>
      <c r="H618" s="45" t="s">
        <v>123</v>
      </c>
      <c r="I618" s="45" t="s">
        <v>210</v>
      </c>
      <c r="J618" s="110">
        <v>43346</v>
      </c>
      <c r="K618" s="110"/>
      <c r="L618" s="93"/>
      <c r="M618" s="162" t="s">
        <v>2270</v>
      </c>
      <c r="N618" s="162" t="s">
        <v>2271</v>
      </c>
      <c r="O618" s="108"/>
      <c r="P618" s="107">
        <v>43109.6</v>
      </c>
      <c r="Q618" s="107">
        <v>12666</v>
      </c>
      <c r="R618" s="129"/>
      <c r="S618" s="130"/>
      <c r="T618" s="107"/>
      <c r="U618" s="93"/>
      <c r="V618" s="128"/>
      <c r="W618" s="214"/>
    </row>
    <row r="619" s="43" customFormat="1" ht="22" customHeight="1" spans="1:23">
      <c r="A619" s="190" t="s">
        <v>2272</v>
      </c>
      <c r="B619" s="270" t="s">
        <v>2221</v>
      </c>
      <c r="C619" s="271"/>
      <c r="D619" s="45" t="s">
        <v>31</v>
      </c>
      <c r="E619" s="45" t="s">
        <v>2268</v>
      </c>
      <c r="F619" s="82" t="str">
        <f>IFERROR(VLOOKUP(E619,客户!B:C,2,FALSE),"/")</f>
        <v>/</v>
      </c>
      <c r="G619" s="45" t="s">
        <v>2273</v>
      </c>
      <c r="H619" s="45" t="s">
        <v>123</v>
      </c>
      <c r="I619" s="45" t="s">
        <v>723</v>
      </c>
      <c r="J619" s="110">
        <v>43346</v>
      </c>
      <c r="K619" s="110"/>
      <c r="L619" s="93"/>
      <c r="M619" s="162" t="s">
        <v>2274</v>
      </c>
      <c r="N619" s="162" t="s">
        <v>2275</v>
      </c>
      <c r="O619" s="108"/>
      <c r="P619" s="107">
        <v>22160</v>
      </c>
      <c r="Q619" s="107">
        <v>6334</v>
      </c>
      <c r="R619" s="129"/>
      <c r="S619" s="130"/>
      <c r="T619" s="107">
        <v>15826</v>
      </c>
      <c r="U619" s="93"/>
      <c r="V619" s="168"/>
      <c r="W619" s="214"/>
    </row>
    <row r="620" s="43" customFormat="1" ht="22" customHeight="1" spans="1:23">
      <c r="A620" s="142" t="s">
        <v>2276</v>
      </c>
      <c r="B620" s="270" t="s">
        <v>2221</v>
      </c>
      <c r="C620" s="271"/>
      <c r="D620" s="45" t="s">
        <v>31</v>
      </c>
      <c r="E620" s="45" t="s">
        <v>2277</v>
      </c>
      <c r="F620" s="82" t="str">
        <f>IFERROR(VLOOKUP(E620,客户!B:C,2,FALSE),"/")</f>
        <v>/</v>
      </c>
      <c r="G620" s="45" t="s">
        <v>2278</v>
      </c>
      <c r="H620" s="45" t="s">
        <v>123</v>
      </c>
      <c r="I620" s="45" t="s">
        <v>2279</v>
      </c>
      <c r="J620" s="110">
        <v>43354</v>
      </c>
      <c r="K620" s="110"/>
      <c r="L620" s="93"/>
      <c r="M620" s="146" t="s">
        <v>2280</v>
      </c>
      <c r="N620" s="162" t="s">
        <v>2281</v>
      </c>
      <c r="O620" s="108"/>
      <c r="P620" s="107">
        <v>25724.6</v>
      </c>
      <c r="Q620" s="107">
        <v>4000</v>
      </c>
      <c r="R620" s="129"/>
      <c r="S620" s="130"/>
      <c r="T620" s="107"/>
      <c r="U620" s="93"/>
      <c r="V620" s="128"/>
      <c r="W620" s="214"/>
    </row>
    <row r="621" s="43" customFormat="1" ht="22" customHeight="1" spans="1:23">
      <c r="A621" s="142" t="s">
        <v>2282</v>
      </c>
      <c r="B621" s="270" t="s">
        <v>2221</v>
      </c>
      <c r="C621" s="271"/>
      <c r="D621" s="45" t="s">
        <v>31</v>
      </c>
      <c r="E621" s="45" t="s">
        <v>2283</v>
      </c>
      <c r="F621" s="82" t="str">
        <f>IFERROR(VLOOKUP(E621,客户!B:C,2,FALSE),"/")</f>
        <v>J4159还差USD265.65没付齐 J4220还有定金5674.3 账上剩5408.65</v>
      </c>
      <c r="G621" s="45" t="s">
        <v>2284</v>
      </c>
      <c r="H621" s="45" t="s">
        <v>123</v>
      </c>
      <c r="I621" s="45" t="s">
        <v>2285</v>
      </c>
      <c r="J621" s="110">
        <v>43355</v>
      </c>
      <c r="K621" s="110"/>
      <c r="L621" s="93"/>
      <c r="M621" s="146" t="s">
        <v>2286</v>
      </c>
      <c r="N621" s="162" t="s">
        <v>2287</v>
      </c>
      <c r="O621" s="108"/>
      <c r="P621" s="107">
        <v>22253.75</v>
      </c>
      <c r="Q621" s="107">
        <v>3000</v>
      </c>
      <c r="R621" s="129"/>
      <c r="S621" s="130"/>
      <c r="T621" s="107"/>
      <c r="U621" s="93"/>
      <c r="V621" s="128"/>
      <c r="W621" s="214"/>
    </row>
    <row r="622" s="43" customFormat="1" ht="22" customHeight="1" spans="1:23">
      <c r="A622" s="142" t="s">
        <v>2288</v>
      </c>
      <c r="B622" s="270" t="s">
        <v>2221</v>
      </c>
      <c r="C622" s="271"/>
      <c r="D622" s="45" t="s">
        <v>31</v>
      </c>
      <c r="E622" s="45" t="s">
        <v>2268</v>
      </c>
      <c r="F622" s="82" t="str">
        <f>IFERROR(VLOOKUP(E622,客户!B:C,2,FALSE),"/")</f>
        <v>/</v>
      </c>
      <c r="G622" s="45" t="s">
        <v>2289</v>
      </c>
      <c r="H622" s="45" t="s">
        <v>154</v>
      </c>
      <c r="I622" s="45" t="s">
        <v>2290</v>
      </c>
      <c r="J622" s="110">
        <v>43360</v>
      </c>
      <c r="K622" s="110"/>
      <c r="L622" s="93"/>
      <c r="M622" s="110" t="s">
        <v>2291</v>
      </c>
      <c r="N622" s="146" t="s">
        <v>2292</v>
      </c>
      <c r="O622" s="108"/>
      <c r="P622" s="107">
        <v>44378.4</v>
      </c>
      <c r="Q622" s="107">
        <v>12000</v>
      </c>
      <c r="R622" s="129"/>
      <c r="S622" s="130"/>
      <c r="T622" s="107">
        <v>32378</v>
      </c>
      <c r="U622" s="93"/>
      <c r="V622" s="107"/>
      <c r="W622" s="214"/>
    </row>
    <row r="623" s="43" customFormat="1" ht="22" customHeight="1" spans="1:23">
      <c r="A623" s="142" t="s">
        <v>2293</v>
      </c>
      <c r="B623" s="270" t="s">
        <v>2221</v>
      </c>
      <c r="C623" s="271"/>
      <c r="D623" s="45" t="s">
        <v>31</v>
      </c>
      <c r="E623" s="45" t="s">
        <v>2268</v>
      </c>
      <c r="F623" s="82" t="str">
        <f>IFERROR(VLOOKUP(E623,客户!B:C,2,FALSE),"/")</f>
        <v>/</v>
      </c>
      <c r="G623" s="45" t="s">
        <v>2294</v>
      </c>
      <c r="H623" s="45" t="s">
        <v>123</v>
      </c>
      <c r="I623" s="45" t="s">
        <v>2295</v>
      </c>
      <c r="J623" s="110">
        <v>43360</v>
      </c>
      <c r="K623" s="110"/>
      <c r="L623" s="93"/>
      <c r="M623" s="110" t="s">
        <v>2296</v>
      </c>
      <c r="N623" s="146" t="s">
        <v>2297</v>
      </c>
      <c r="O623" s="108"/>
      <c r="P623" s="107">
        <v>22498.7</v>
      </c>
      <c r="Q623" s="107">
        <v>9000</v>
      </c>
      <c r="R623" s="129"/>
      <c r="S623" s="130"/>
      <c r="T623" s="107">
        <v>13498</v>
      </c>
      <c r="U623" s="93"/>
      <c r="V623" s="107"/>
      <c r="W623" s="214"/>
    </row>
    <row r="624" s="43" customFormat="1" ht="22" customHeight="1" spans="1:23">
      <c r="A624" s="142" t="s">
        <v>2298</v>
      </c>
      <c r="B624" s="270" t="s">
        <v>2221</v>
      </c>
      <c r="C624" s="271"/>
      <c r="D624" s="45" t="s">
        <v>31</v>
      </c>
      <c r="E624" s="45" t="s">
        <v>2268</v>
      </c>
      <c r="F624" s="82" t="str">
        <f>IFERROR(VLOOKUP(E624,客户!B:C,2,FALSE),"/")</f>
        <v>/</v>
      </c>
      <c r="G624" s="45" t="s">
        <v>2299</v>
      </c>
      <c r="H624" s="45" t="s">
        <v>123</v>
      </c>
      <c r="I624" s="45" t="s">
        <v>560</v>
      </c>
      <c r="J624" s="110">
        <v>43360</v>
      </c>
      <c r="K624" s="110">
        <v>43428</v>
      </c>
      <c r="L624" s="93">
        <v>43467</v>
      </c>
      <c r="M624" s="146"/>
      <c r="N624" s="146" t="s">
        <v>2300</v>
      </c>
      <c r="O624" s="108"/>
      <c r="P624" s="107">
        <v>44015.4</v>
      </c>
      <c r="Q624" s="107"/>
      <c r="R624" s="129"/>
      <c r="S624" s="130"/>
      <c r="T624" s="129">
        <v>35583</v>
      </c>
      <c r="U624" s="93"/>
      <c r="V624" s="107"/>
      <c r="W624" s="214"/>
    </row>
    <row r="625" s="43" customFormat="1" ht="22" customHeight="1" spans="1:23">
      <c r="A625" s="143" t="s">
        <v>2301</v>
      </c>
      <c r="B625" s="270" t="s">
        <v>2221</v>
      </c>
      <c r="C625" s="271"/>
      <c r="D625" s="45" t="s">
        <v>31</v>
      </c>
      <c r="E625" s="45" t="s">
        <v>2302</v>
      </c>
      <c r="F625" s="82" t="str">
        <f>IFERROR(VLOOKUP(E625,客户!B:C,2,FALSE),"/")</f>
        <v>/</v>
      </c>
      <c r="G625" s="45" t="s">
        <v>2303</v>
      </c>
      <c r="H625" s="45" t="s">
        <v>123</v>
      </c>
      <c r="I625" s="45" t="s">
        <v>205</v>
      </c>
      <c r="J625" s="110">
        <v>43364</v>
      </c>
      <c r="K625" s="110">
        <v>43400</v>
      </c>
      <c r="L625" s="93">
        <v>43442</v>
      </c>
      <c r="M625" s="146" t="s">
        <v>2304</v>
      </c>
      <c r="N625" s="162" t="s">
        <v>2305</v>
      </c>
      <c r="O625" s="108"/>
      <c r="P625" s="107">
        <v>36631.3</v>
      </c>
      <c r="Q625" s="107">
        <v>12000</v>
      </c>
      <c r="R625" s="129"/>
      <c r="S625" s="130"/>
      <c r="T625" s="107">
        <v>24631</v>
      </c>
      <c r="U625" s="93"/>
      <c r="V625" s="107"/>
      <c r="W625" s="214"/>
    </row>
    <row r="626" s="45" customFormat="1" ht="22" customHeight="1" spans="1:23">
      <c r="A626" s="143" t="s">
        <v>2306</v>
      </c>
      <c r="B626" s="270" t="s">
        <v>2221</v>
      </c>
      <c r="C626" s="271"/>
      <c r="D626" s="45" t="s">
        <v>31</v>
      </c>
      <c r="E626" s="45" t="s">
        <v>2307</v>
      </c>
      <c r="F626" s="82" t="str">
        <f>IFERROR(VLOOKUP(E626,客户!B:C,2,FALSE),"/")</f>
        <v>/</v>
      </c>
      <c r="G626" s="45" t="s">
        <v>2308</v>
      </c>
      <c r="H626" s="45" t="s">
        <v>154</v>
      </c>
      <c r="I626" s="45" t="s">
        <v>205</v>
      </c>
      <c r="J626" s="146">
        <v>43373</v>
      </c>
      <c r="K626" s="110">
        <v>43400</v>
      </c>
      <c r="L626" s="93">
        <v>43442</v>
      </c>
      <c r="M626" s="146" t="s">
        <v>2309</v>
      </c>
      <c r="N626" s="110"/>
      <c r="O626" s="108"/>
      <c r="P626" s="107">
        <v>23788.48</v>
      </c>
      <c r="Q626" s="107">
        <v>7000</v>
      </c>
      <c r="R626" s="129"/>
      <c r="S626" s="130"/>
      <c r="T626" s="107">
        <v>16788</v>
      </c>
      <c r="U626" s="93"/>
      <c r="V626" s="107"/>
      <c r="W626" s="214"/>
    </row>
    <row r="627" s="43" customFormat="1" ht="22" customHeight="1" spans="1:23">
      <c r="A627" s="142" t="s">
        <v>2310</v>
      </c>
      <c r="B627" s="270" t="s">
        <v>2221</v>
      </c>
      <c r="C627" s="271"/>
      <c r="D627" s="45" t="s">
        <v>31</v>
      </c>
      <c r="E627" s="45" t="s">
        <v>2302</v>
      </c>
      <c r="F627" s="82" t="str">
        <f>IFERROR(VLOOKUP(E627,客户!B:C,2,FALSE),"/")</f>
        <v>/</v>
      </c>
      <c r="G627" s="45" t="s">
        <v>2311</v>
      </c>
      <c r="H627" s="45" t="s">
        <v>154</v>
      </c>
      <c r="I627" s="45" t="s">
        <v>205</v>
      </c>
      <c r="J627" s="110">
        <v>43373</v>
      </c>
      <c r="K627" s="110">
        <v>43414</v>
      </c>
      <c r="L627" s="93">
        <v>43456</v>
      </c>
      <c r="M627" s="179"/>
      <c r="N627" s="162" t="s">
        <v>2312</v>
      </c>
      <c r="O627" s="108"/>
      <c r="P627" s="107">
        <v>40351.36</v>
      </c>
      <c r="Q627" s="107">
        <v>12000</v>
      </c>
      <c r="R627" s="129"/>
      <c r="S627" s="130"/>
      <c r="T627" s="107"/>
      <c r="U627" s="93"/>
      <c r="V627" s="128"/>
      <c r="W627" s="214"/>
    </row>
    <row r="628" s="43" customFormat="1" ht="22" customHeight="1" spans="1:23">
      <c r="A628" s="142" t="s">
        <v>2313</v>
      </c>
      <c r="B628" s="270" t="s">
        <v>2221</v>
      </c>
      <c r="C628" s="271"/>
      <c r="D628" s="45" t="s">
        <v>31</v>
      </c>
      <c r="E628" s="45" t="s">
        <v>2314</v>
      </c>
      <c r="F628" s="82" t="str">
        <f>IFERROR(VLOOKUP(E628,客户!B:C,2,FALSE),"/")</f>
        <v>/</v>
      </c>
      <c r="G628" s="45" t="s">
        <v>2315</v>
      </c>
      <c r="H628" s="45"/>
      <c r="I628" s="45" t="s">
        <v>2316</v>
      </c>
      <c r="J628" s="110">
        <v>43371</v>
      </c>
      <c r="K628" s="110">
        <v>43392</v>
      </c>
      <c r="L628" s="93">
        <v>43436</v>
      </c>
      <c r="M628" s="179"/>
      <c r="N628" s="162" t="s">
        <v>2317</v>
      </c>
      <c r="O628" s="108"/>
      <c r="P628" s="107">
        <v>23192</v>
      </c>
      <c r="Q628" s="107">
        <v>5000</v>
      </c>
      <c r="R628" s="129"/>
      <c r="S628" s="130"/>
      <c r="T628" s="107">
        <v>18162</v>
      </c>
      <c r="U628" s="93"/>
      <c r="V628" s="126"/>
      <c r="W628" s="214"/>
    </row>
    <row r="629" s="43" customFormat="1" ht="22" customHeight="1" spans="1:23">
      <c r="A629" s="142" t="s">
        <v>2318</v>
      </c>
      <c r="B629" s="270" t="s">
        <v>2221</v>
      </c>
      <c r="C629" s="271"/>
      <c r="D629" s="45" t="s">
        <v>31</v>
      </c>
      <c r="E629" s="229" t="s">
        <v>2319</v>
      </c>
      <c r="F629" s="82" t="str">
        <f>IFERROR(VLOOKUP(E629,客户!B:C,2,FALSE),"/")</f>
        <v>/</v>
      </c>
      <c r="G629" s="45" t="s">
        <v>2320</v>
      </c>
      <c r="H629" s="45" t="s">
        <v>123</v>
      </c>
      <c r="I629" s="45" t="s">
        <v>1626</v>
      </c>
      <c r="J629" s="110">
        <v>43383</v>
      </c>
      <c r="K629" s="110">
        <v>43434</v>
      </c>
      <c r="L629" s="93">
        <v>43475</v>
      </c>
      <c r="M629" s="179"/>
      <c r="N629" s="162" t="s">
        <v>2321</v>
      </c>
      <c r="O629" s="108"/>
      <c r="P629" s="107">
        <v>23374.4</v>
      </c>
      <c r="Q629" s="107"/>
      <c r="R629" s="129"/>
      <c r="S629" s="130"/>
      <c r="T629" s="107">
        <v>20374</v>
      </c>
      <c r="U629" s="93"/>
      <c r="V629" s="128"/>
      <c r="W629" s="214"/>
    </row>
    <row r="630" s="43" customFormat="1" ht="22" customHeight="1" spans="1:23">
      <c r="A630" s="142" t="s">
        <v>2322</v>
      </c>
      <c r="B630" s="270" t="s">
        <v>2221</v>
      </c>
      <c r="C630" s="271"/>
      <c r="D630" s="45" t="s">
        <v>31</v>
      </c>
      <c r="E630" s="45" t="s">
        <v>2323</v>
      </c>
      <c r="F630" s="82">
        <f>IFERROR(VLOOKUP(E630,客户!B:C,2,FALSE),"/")</f>
        <v>0</v>
      </c>
      <c r="G630" s="45" t="s">
        <v>2324</v>
      </c>
      <c r="H630" s="45" t="s">
        <v>123</v>
      </c>
      <c r="I630" s="45" t="s">
        <v>2325</v>
      </c>
      <c r="J630" s="110">
        <v>43386</v>
      </c>
      <c r="K630" s="110">
        <v>43428</v>
      </c>
      <c r="L630" s="93">
        <v>43475</v>
      </c>
      <c r="M630" s="162" t="s">
        <v>2326</v>
      </c>
      <c r="N630" s="162" t="s">
        <v>2327</v>
      </c>
      <c r="O630" s="108"/>
      <c r="P630" s="107" t="s">
        <v>2328</v>
      </c>
      <c r="Q630" s="107" t="s">
        <v>2329</v>
      </c>
      <c r="R630" s="129"/>
      <c r="S630" s="130"/>
      <c r="T630" s="240">
        <v>95925</v>
      </c>
      <c r="U630" s="93"/>
      <c r="V630" s="107"/>
      <c r="W630" s="214"/>
    </row>
    <row r="631" s="43" customFormat="1" ht="22" customHeight="1" spans="1:23">
      <c r="A631" s="142" t="s">
        <v>2330</v>
      </c>
      <c r="B631" s="270" t="s">
        <v>2221</v>
      </c>
      <c r="C631" s="271"/>
      <c r="D631" s="45" t="s">
        <v>31</v>
      </c>
      <c r="E631" s="45" t="s">
        <v>2331</v>
      </c>
      <c r="F631" s="82" t="str">
        <f>IFERROR(VLOOKUP(E631,客户!B:C,2,FALSE),"/")</f>
        <v>/</v>
      </c>
      <c r="G631" s="45" t="s">
        <v>2332</v>
      </c>
      <c r="H631" s="45" t="s">
        <v>123</v>
      </c>
      <c r="I631" s="45" t="s">
        <v>2333</v>
      </c>
      <c r="J631" s="110">
        <v>43389</v>
      </c>
      <c r="K631" s="110">
        <v>43441</v>
      </c>
      <c r="L631" s="93"/>
      <c r="M631" s="146"/>
      <c r="N631" s="162" t="s">
        <v>2334</v>
      </c>
      <c r="O631" s="108"/>
      <c r="P631" s="107">
        <v>20891.28</v>
      </c>
      <c r="Q631" s="107"/>
      <c r="R631" s="129"/>
      <c r="S631" s="130"/>
      <c r="T631" s="107"/>
      <c r="U631" s="93"/>
      <c r="V631" s="128"/>
      <c r="W631" s="214"/>
    </row>
    <row r="632" s="43" customFormat="1" ht="22" customHeight="1" spans="1:23">
      <c r="A632" s="142" t="s">
        <v>2335</v>
      </c>
      <c r="B632" s="270" t="s">
        <v>2221</v>
      </c>
      <c r="C632" s="271"/>
      <c r="D632" s="45" t="s">
        <v>31</v>
      </c>
      <c r="E632" s="45" t="s">
        <v>2336</v>
      </c>
      <c r="F632" s="82">
        <f>IFERROR(VLOOKUP(E632,客户!B:C,2,FALSE),"/")</f>
        <v>0</v>
      </c>
      <c r="G632" s="45" t="s">
        <v>2337</v>
      </c>
      <c r="H632" s="45" t="s">
        <v>123</v>
      </c>
      <c r="I632" s="45" t="s">
        <v>2338</v>
      </c>
      <c r="J632" s="110">
        <v>43390</v>
      </c>
      <c r="K632" s="110">
        <v>43435</v>
      </c>
      <c r="L632" s="93">
        <v>43473</v>
      </c>
      <c r="M632" s="146"/>
      <c r="N632" s="162" t="s">
        <v>2339</v>
      </c>
      <c r="O632" s="108"/>
      <c r="P632" s="107">
        <v>21420</v>
      </c>
      <c r="Q632" s="107">
        <v>10000</v>
      </c>
      <c r="R632" s="129"/>
      <c r="S632" s="130"/>
      <c r="T632" s="107"/>
      <c r="U632" s="93"/>
      <c r="V632" s="128"/>
      <c r="W632" s="214"/>
    </row>
    <row r="633" s="43" customFormat="1" ht="22" customHeight="1" spans="1:23">
      <c r="A633" s="142" t="s">
        <v>2340</v>
      </c>
      <c r="B633" s="270" t="s">
        <v>2221</v>
      </c>
      <c r="C633" s="271"/>
      <c r="D633" s="45" t="s">
        <v>31</v>
      </c>
      <c r="E633" s="45" t="s">
        <v>2336</v>
      </c>
      <c r="F633" s="82">
        <f>IFERROR(VLOOKUP(E633,客户!B:C,2,FALSE),"/")</f>
        <v>0</v>
      </c>
      <c r="G633" s="45" t="s">
        <v>2341</v>
      </c>
      <c r="H633" s="45" t="s">
        <v>123</v>
      </c>
      <c r="I633" s="45" t="s">
        <v>2342</v>
      </c>
      <c r="J633" s="110">
        <v>43392</v>
      </c>
      <c r="K633" s="110">
        <v>43448</v>
      </c>
      <c r="L633" s="93">
        <v>43486</v>
      </c>
      <c r="M633" s="146"/>
      <c r="N633" s="162" t="s">
        <v>2343</v>
      </c>
      <c r="O633" s="108"/>
      <c r="P633" s="107">
        <v>21440</v>
      </c>
      <c r="Q633" s="107">
        <v>20000</v>
      </c>
      <c r="R633" s="129"/>
      <c r="S633" s="130"/>
      <c r="T633" s="107"/>
      <c r="U633" s="93"/>
      <c r="V633" s="128"/>
      <c r="W633" s="214"/>
    </row>
    <row r="634" s="43" customFormat="1" ht="22" customHeight="1" spans="1:23">
      <c r="A634" s="142" t="s">
        <v>2344</v>
      </c>
      <c r="B634" s="270" t="s">
        <v>2221</v>
      </c>
      <c r="C634" s="271"/>
      <c r="D634" s="45" t="s">
        <v>31</v>
      </c>
      <c r="E634" s="45" t="s">
        <v>2345</v>
      </c>
      <c r="F634" s="82">
        <f>IFERROR(VLOOKUP(E634,客户!B:C,2,FALSE),"/")</f>
        <v>0</v>
      </c>
      <c r="G634" s="45" t="s">
        <v>2346</v>
      </c>
      <c r="H634" s="45"/>
      <c r="I634" s="45" t="s">
        <v>2347</v>
      </c>
      <c r="J634" s="110">
        <v>43392</v>
      </c>
      <c r="K634" s="110">
        <v>43103</v>
      </c>
      <c r="L634" s="93">
        <v>43147</v>
      </c>
      <c r="M634" s="179"/>
      <c r="N634" s="162" t="s">
        <v>2348</v>
      </c>
      <c r="O634" s="108"/>
      <c r="P634" s="107">
        <v>109611.04</v>
      </c>
      <c r="Q634" s="107">
        <v>26000</v>
      </c>
      <c r="R634" s="129">
        <v>0</v>
      </c>
      <c r="S634" s="130"/>
      <c r="T634" s="107">
        <v>83579</v>
      </c>
      <c r="U634" s="93">
        <v>43508</v>
      </c>
      <c r="V634" s="128"/>
      <c r="W634" s="284"/>
    </row>
    <row r="635" s="43" customFormat="1" ht="22" customHeight="1" spans="1:23">
      <c r="A635" s="142" t="s">
        <v>2349</v>
      </c>
      <c r="B635" s="270" t="s">
        <v>2221</v>
      </c>
      <c r="C635" s="271"/>
      <c r="D635" s="45" t="s">
        <v>31</v>
      </c>
      <c r="E635" s="45" t="s">
        <v>2350</v>
      </c>
      <c r="F635" s="82" t="str">
        <f>IFERROR(VLOOKUP(E635,客户!B:C,2,FALSE),"/")</f>
        <v>/</v>
      </c>
      <c r="G635" s="45" t="s">
        <v>2351</v>
      </c>
      <c r="H635" s="45"/>
      <c r="I635" s="45" t="s">
        <v>2347</v>
      </c>
      <c r="J635" s="110">
        <v>43411</v>
      </c>
      <c r="K635" s="110">
        <v>43497</v>
      </c>
      <c r="L635" s="93">
        <v>43529</v>
      </c>
      <c r="M635" s="146" t="s">
        <v>2352</v>
      </c>
      <c r="N635" s="162" t="s">
        <v>2353</v>
      </c>
      <c r="O635" s="108"/>
      <c r="P635" s="107">
        <v>64758.12</v>
      </c>
      <c r="Q635" s="107">
        <v>12000</v>
      </c>
      <c r="R635" s="129">
        <v>0</v>
      </c>
      <c r="S635" s="130"/>
      <c r="T635" s="107">
        <v>52726</v>
      </c>
      <c r="U635" s="93">
        <v>43524</v>
      </c>
      <c r="V635" s="128"/>
      <c r="W635" s="214"/>
    </row>
    <row r="636" s="43" customFormat="1" ht="22" customHeight="1" spans="1:23">
      <c r="A636" s="142" t="s">
        <v>2354</v>
      </c>
      <c r="B636" s="270" t="s">
        <v>2221</v>
      </c>
      <c r="C636" s="271"/>
      <c r="D636" s="45" t="s">
        <v>31</v>
      </c>
      <c r="E636" s="45" t="s">
        <v>2355</v>
      </c>
      <c r="F636" s="82" t="str">
        <f>IFERROR(VLOOKUP(E636,客户!B:C,2,FALSE),"/")</f>
        <v>/</v>
      </c>
      <c r="G636" s="45" t="s">
        <v>2356</v>
      </c>
      <c r="H636" s="45" t="s">
        <v>154</v>
      </c>
      <c r="I636" s="45" t="s">
        <v>205</v>
      </c>
      <c r="J636" s="110">
        <v>43411</v>
      </c>
      <c r="K636" s="110">
        <v>43442</v>
      </c>
      <c r="L636" s="93">
        <v>43484</v>
      </c>
      <c r="M636" s="277"/>
      <c r="N636" s="162" t="s">
        <v>2357</v>
      </c>
      <c r="O636" s="108"/>
      <c r="P636" s="107">
        <v>60440.23</v>
      </c>
      <c r="Q636" s="107">
        <v>12000</v>
      </c>
      <c r="R636" s="129">
        <v>0</v>
      </c>
      <c r="S636" s="130"/>
      <c r="T636" s="107">
        <v>42364</v>
      </c>
      <c r="U636" s="93">
        <v>43483</v>
      </c>
      <c r="V636" s="128"/>
      <c r="W636" s="214"/>
    </row>
    <row r="637" s="43" customFormat="1" ht="22" customHeight="1" spans="1:23">
      <c r="A637" s="142" t="s">
        <v>2358</v>
      </c>
      <c r="B637" s="270" t="s">
        <v>2221</v>
      </c>
      <c r="C637" s="271"/>
      <c r="D637" s="45" t="s">
        <v>31</v>
      </c>
      <c r="E637" s="45" t="s">
        <v>2355</v>
      </c>
      <c r="F637" s="82" t="str">
        <f>IFERROR(VLOOKUP(E637,客户!B:C,2,FALSE),"/")</f>
        <v>/</v>
      </c>
      <c r="G637" s="45" t="s">
        <v>2359</v>
      </c>
      <c r="H637" s="45" t="s">
        <v>154</v>
      </c>
      <c r="I637" s="45" t="s">
        <v>205</v>
      </c>
      <c r="J637" s="110">
        <v>43434</v>
      </c>
      <c r="K637" s="110">
        <v>43442</v>
      </c>
      <c r="L637" s="93">
        <v>43484</v>
      </c>
      <c r="M637" s="277" t="s">
        <v>2360</v>
      </c>
      <c r="N637" s="162" t="s">
        <v>2357</v>
      </c>
      <c r="O637" s="108"/>
      <c r="P637" s="107"/>
      <c r="Q637" s="107">
        <v>7000</v>
      </c>
      <c r="R637" s="129">
        <v>0</v>
      </c>
      <c r="S637" s="130"/>
      <c r="T637" s="107"/>
      <c r="U637" s="93">
        <v>43483</v>
      </c>
      <c r="V637" s="128"/>
      <c r="W637" s="214"/>
    </row>
    <row r="638" s="43" customFormat="1" ht="22" customHeight="1" spans="1:23">
      <c r="A638" s="142" t="s">
        <v>2361</v>
      </c>
      <c r="B638" s="270" t="s">
        <v>2221</v>
      </c>
      <c r="C638" s="271"/>
      <c r="D638" s="45" t="s">
        <v>31</v>
      </c>
      <c r="E638" s="45" t="s">
        <v>2362</v>
      </c>
      <c r="F638" s="82" t="str">
        <f>IFERROR(VLOOKUP(E638,客户!B:C,2,FALSE),"/")</f>
        <v>/</v>
      </c>
      <c r="G638" s="45" t="s">
        <v>2363</v>
      </c>
      <c r="H638" s="45" t="s">
        <v>154</v>
      </c>
      <c r="I638" s="45" t="s">
        <v>1095</v>
      </c>
      <c r="J638" s="110">
        <v>43418</v>
      </c>
      <c r="K638" s="110">
        <v>43448</v>
      </c>
      <c r="L638" s="93">
        <v>43484</v>
      </c>
      <c r="M638" s="116"/>
      <c r="N638" s="162" t="s">
        <v>2364</v>
      </c>
      <c r="O638" s="108"/>
      <c r="P638" s="107">
        <v>20736</v>
      </c>
      <c r="Q638" s="107">
        <v>3000</v>
      </c>
      <c r="R638" s="129">
        <v>0</v>
      </c>
      <c r="S638" s="130"/>
      <c r="T638" s="107">
        <v>17736</v>
      </c>
      <c r="U638" s="93">
        <v>43483</v>
      </c>
      <c r="V638" s="128"/>
      <c r="W638" s="214"/>
    </row>
    <row r="639" s="43" customFormat="1" ht="22" customHeight="1" spans="1:23">
      <c r="A639" s="142" t="s">
        <v>2365</v>
      </c>
      <c r="B639" s="270" t="s">
        <v>2221</v>
      </c>
      <c r="C639" s="271"/>
      <c r="D639" s="45" t="s">
        <v>31</v>
      </c>
      <c r="E639" s="45" t="s">
        <v>2283</v>
      </c>
      <c r="F639" s="82" t="str">
        <f>IFERROR(VLOOKUP(E639,客户!B:C,2,FALSE),"/")</f>
        <v>J4159还差USD265.65没付齐 J4220还有定金5674.3 账上剩5408.65</v>
      </c>
      <c r="G639" s="45" t="s">
        <v>2363</v>
      </c>
      <c r="H639" s="45" t="s">
        <v>154</v>
      </c>
      <c r="I639" s="45" t="s">
        <v>1840</v>
      </c>
      <c r="J639" s="110">
        <v>43454</v>
      </c>
      <c r="K639" s="110">
        <v>43483</v>
      </c>
      <c r="L639" s="93">
        <v>43511</v>
      </c>
      <c r="M639" s="146" t="s">
        <v>2366</v>
      </c>
      <c r="N639" s="178" t="s">
        <v>2367</v>
      </c>
      <c r="O639" s="108"/>
      <c r="P639" s="107">
        <v>19799.11</v>
      </c>
      <c r="Q639" s="107">
        <v>3054</v>
      </c>
      <c r="R639" s="129">
        <v>0</v>
      </c>
      <c r="S639" s="130"/>
      <c r="T639" s="107">
        <v>16710.11</v>
      </c>
      <c r="U639" s="93">
        <v>43508</v>
      </c>
      <c r="V639" s="128"/>
      <c r="W639" s="214"/>
    </row>
    <row r="640" s="43" customFormat="1" ht="22" customHeight="1" spans="1:23">
      <c r="A640" s="142" t="s">
        <v>2368</v>
      </c>
      <c r="B640" s="270" t="s">
        <v>2221</v>
      </c>
      <c r="C640" s="271"/>
      <c r="D640" s="45" t="s">
        <v>31</v>
      </c>
      <c r="E640" s="45" t="s">
        <v>2355</v>
      </c>
      <c r="F640" s="82" t="str">
        <f>IFERROR(VLOOKUP(E640,客户!B:C,2,FALSE),"/")</f>
        <v>/</v>
      </c>
      <c r="G640" s="45" t="s">
        <v>2369</v>
      </c>
      <c r="H640" s="45" t="s">
        <v>154</v>
      </c>
      <c r="I640" s="45" t="s">
        <v>205</v>
      </c>
      <c r="J640" s="110">
        <v>43466</v>
      </c>
      <c r="K640" s="110">
        <v>43491</v>
      </c>
      <c r="L640" s="93">
        <v>43547</v>
      </c>
      <c r="M640" s="146" t="s">
        <v>2370</v>
      </c>
      <c r="N640" s="162" t="s">
        <v>2371</v>
      </c>
      <c r="O640" s="108"/>
      <c r="P640" s="107">
        <v>35259.5</v>
      </c>
      <c r="Q640" s="107">
        <v>10500</v>
      </c>
      <c r="R640" s="129">
        <v>0</v>
      </c>
      <c r="S640" s="130"/>
      <c r="T640" s="107">
        <v>24703.23</v>
      </c>
      <c r="U640" s="93">
        <v>43511</v>
      </c>
      <c r="V640" s="128"/>
      <c r="W640" s="214"/>
    </row>
    <row r="641" s="43" customFormat="1" ht="22" customHeight="1" spans="1:23">
      <c r="A641" s="142" t="s">
        <v>2372</v>
      </c>
      <c r="B641" s="270" t="s">
        <v>2221</v>
      </c>
      <c r="C641" s="271"/>
      <c r="D641" s="45" t="s">
        <v>31</v>
      </c>
      <c r="E641" s="45" t="s">
        <v>2373</v>
      </c>
      <c r="F641" s="82" t="str">
        <f>IFERROR(VLOOKUP(E641,客户!B:C,2,FALSE),"/")</f>
        <v>/</v>
      </c>
      <c r="G641" s="45" t="s">
        <v>2363</v>
      </c>
      <c r="H641" s="45" t="s">
        <v>123</v>
      </c>
      <c r="I641" s="45" t="s">
        <v>1095</v>
      </c>
      <c r="J641" s="110">
        <v>43479</v>
      </c>
      <c r="K641" s="110">
        <v>43540</v>
      </c>
      <c r="L641" s="93">
        <v>43579</v>
      </c>
      <c r="M641" s="163" t="s">
        <v>2374</v>
      </c>
      <c r="N641" s="275" t="s">
        <v>2375</v>
      </c>
      <c r="O641" s="108"/>
      <c r="P641" s="107">
        <v>19878.5</v>
      </c>
      <c r="Q641" s="107">
        <v>3000</v>
      </c>
      <c r="R641" s="129">
        <v>0</v>
      </c>
      <c r="S641" s="130"/>
      <c r="T641" s="107">
        <v>16829</v>
      </c>
      <c r="U641" s="93">
        <v>43573</v>
      </c>
      <c r="V641" s="128"/>
      <c r="W641" s="214"/>
    </row>
    <row r="642" s="43" customFormat="1" ht="22" customHeight="1" spans="1:23">
      <c r="A642" s="142" t="s">
        <v>2376</v>
      </c>
      <c r="B642" s="270" t="s">
        <v>2221</v>
      </c>
      <c r="C642" s="271"/>
      <c r="D642" s="45" t="s">
        <v>31</v>
      </c>
      <c r="E642" s="45" t="s">
        <v>2377</v>
      </c>
      <c r="F642" s="82">
        <f>IFERROR(VLOOKUP(E642,客户!B:C,2,FALSE),"/")</f>
        <v>0</v>
      </c>
      <c r="G642" s="45" t="s">
        <v>2378</v>
      </c>
      <c r="H642" s="45" t="s">
        <v>123</v>
      </c>
      <c r="I642" s="45" t="s">
        <v>2379</v>
      </c>
      <c r="J642" s="110">
        <v>43482</v>
      </c>
      <c r="K642" s="110">
        <v>43519</v>
      </c>
      <c r="L642" s="93"/>
      <c r="M642" s="163" t="s">
        <v>2380</v>
      </c>
      <c r="N642" s="110"/>
      <c r="O642" s="108"/>
      <c r="P642" s="240">
        <v>129529.76</v>
      </c>
      <c r="Q642" s="240"/>
      <c r="R642" s="282">
        <v>0</v>
      </c>
      <c r="S642" s="130">
        <v>0</v>
      </c>
      <c r="T642" s="240">
        <v>129529.76</v>
      </c>
      <c r="U642" s="93">
        <v>43482</v>
      </c>
      <c r="V642" s="128"/>
      <c r="W642" s="214"/>
    </row>
    <row r="643" s="43" customFormat="1" ht="22" customHeight="1" spans="1:23">
      <c r="A643" s="142" t="s">
        <v>2381</v>
      </c>
      <c r="B643" s="270" t="s">
        <v>2221</v>
      </c>
      <c r="C643" s="271"/>
      <c r="D643" s="45" t="s">
        <v>31</v>
      </c>
      <c r="E643" s="45" t="s">
        <v>2382</v>
      </c>
      <c r="F643" s="82" t="str">
        <f>IFERROR(VLOOKUP(E643,客户!B:C,2,FALSE),"/")</f>
        <v>/</v>
      </c>
      <c r="G643" s="45" t="s">
        <v>43</v>
      </c>
      <c r="H643" s="45" t="s">
        <v>123</v>
      </c>
      <c r="I643" s="45" t="s">
        <v>1684</v>
      </c>
      <c r="J643" s="110">
        <v>43489</v>
      </c>
      <c r="K643" s="110">
        <v>43537</v>
      </c>
      <c r="L643" s="93">
        <v>43579</v>
      </c>
      <c r="M643" s="163" t="s">
        <v>2383</v>
      </c>
      <c r="N643" s="110" t="s">
        <v>2384</v>
      </c>
      <c r="O643" s="108"/>
      <c r="P643" s="107">
        <v>21431.25</v>
      </c>
      <c r="Q643" s="107">
        <v>6000</v>
      </c>
      <c r="R643" s="129">
        <v>0</v>
      </c>
      <c r="S643" s="130"/>
      <c r="T643" s="107">
        <v>15431</v>
      </c>
      <c r="U643" s="93"/>
      <c r="V643" s="128"/>
      <c r="W643" s="214"/>
    </row>
    <row r="644" s="43" customFormat="1" ht="22" customHeight="1" spans="1:23">
      <c r="A644" s="142" t="s">
        <v>2385</v>
      </c>
      <c r="B644" s="270" t="s">
        <v>2221</v>
      </c>
      <c r="C644" s="271"/>
      <c r="D644" s="45" t="s">
        <v>31</v>
      </c>
      <c r="E644" s="45" t="s">
        <v>2382</v>
      </c>
      <c r="F644" s="82" t="str">
        <f>IFERROR(VLOOKUP(E644,客户!B:C,2,FALSE),"/")</f>
        <v>/</v>
      </c>
      <c r="G644" s="45" t="s">
        <v>2386</v>
      </c>
      <c r="H644" s="45" t="s">
        <v>123</v>
      </c>
      <c r="I644" s="45" t="s">
        <v>1684</v>
      </c>
      <c r="J644" s="110">
        <v>43489</v>
      </c>
      <c r="K644" s="110">
        <v>43551</v>
      </c>
      <c r="L644" s="93">
        <v>43595</v>
      </c>
      <c r="M644" s="163" t="s">
        <v>2387</v>
      </c>
      <c r="N644" s="110" t="s">
        <v>2388</v>
      </c>
      <c r="O644" s="108"/>
      <c r="P644" s="107">
        <v>38035.3</v>
      </c>
      <c r="Q644" s="107">
        <v>8000</v>
      </c>
      <c r="R644" s="129">
        <v>0</v>
      </c>
      <c r="S644" s="130"/>
      <c r="T644" s="107">
        <v>30003</v>
      </c>
      <c r="U644" s="93">
        <v>43584</v>
      </c>
      <c r="V644" s="128"/>
      <c r="W644" s="214"/>
    </row>
    <row r="645" s="43" customFormat="1" ht="22" customHeight="1" spans="1:23">
      <c r="A645" s="142" t="s">
        <v>2389</v>
      </c>
      <c r="B645" s="270" t="s">
        <v>2221</v>
      </c>
      <c r="C645" s="271"/>
      <c r="D645" s="45" t="s">
        <v>31</v>
      </c>
      <c r="E645" s="45" t="s">
        <v>2390</v>
      </c>
      <c r="F645" s="82" t="str">
        <f>IFERROR(VLOOKUP(E645,客户!B:C,2,FALSE),"/")</f>
        <v>/</v>
      </c>
      <c r="G645" s="45" t="s">
        <v>40</v>
      </c>
      <c r="H645" s="45" t="s">
        <v>123</v>
      </c>
      <c r="I645" s="45" t="s">
        <v>205</v>
      </c>
      <c r="J645" s="110">
        <v>43515</v>
      </c>
      <c r="K645" s="110">
        <v>43547</v>
      </c>
      <c r="L645" s="93">
        <v>43590</v>
      </c>
      <c r="M645" s="163" t="s">
        <v>2391</v>
      </c>
      <c r="N645" s="110" t="s">
        <v>2392</v>
      </c>
      <c r="O645" s="108"/>
      <c r="P645" s="107">
        <v>38163.1</v>
      </c>
      <c r="Q645" s="107">
        <v>10500</v>
      </c>
      <c r="R645" s="129">
        <v>0</v>
      </c>
      <c r="S645" s="130"/>
      <c r="T645" s="107">
        <v>27571</v>
      </c>
      <c r="U645" s="93">
        <v>43584</v>
      </c>
      <c r="V645" s="128"/>
      <c r="W645" s="214"/>
    </row>
    <row r="646" s="43" customFormat="1" ht="22" customHeight="1" spans="1:23">
      <c r="A646" s="142" t="s">
        <v>2393</v>
      </c>
      <c r="B646" s="270" t="s">
        <v>2221</v>
      </c>
      <c r="C646" s="271"/>
      <c r="D646" s="45" t="s">
        <v>31</v>
      </c>
      <c r="E646" s="45" t="s">
        <v>2394</v>
      </c>
      <c r="F646" s="82">
        <f>IFERROR(VLOOKUP(E646,客户!B:C,2,FALSE),"/")</f>
        <v>0</v>
      </c>
      <c r="G646" s="45" t="s">
        <v>36</v>
      </c>
      <c r="H646" s="45" t="s">
        <v>123</v>
      </c>
      <c r="I646" s="45" t="s">
        <v>2395</v>
      </c>
      <c r="J646" s="110">
        <v>43516</v>
      </c>
      <c r="K646" s="110">
        <v>43557</v>
      </c>
      <c r="L646" s="93">
        <v>43590</v>
      </c>
      <c r="M646" s="275" t="s">
        <v>2396</v>
      </c>
      <c r="N646" s="110" t="s">
        <v>2397</v>
      </c>
      <c r="O646" s="108"/>
      <c r="P646" s="107">
        <v>14764.16</v>
      </c>
      <c r="Q646" s="107" t="s">
        <v>453</v>
      </c>
      <c r="R646" s="129">
        <v>0</v>
      </c>
      <c r="S646" s="130"/>
      <c r="T646" s="107">
        <v>14754</v>
      </c>
      <c r="U646" s="93">
        <v>43574</v>
      </c>
      <c r="V646" s="128"/>
      <c r="W646" s="214"/>
    </row>
    <row r="647" s="43" customFormat="1" ht="22" customHeight="1" spans="1:23">
      <c r="A647" s="142" t="s">
        <v>2398</v>
      </c>
      <c r="B647" s="270" t="s">
        <v>2221</v>
      </c>
      <c r="C647" s="271"/>
      <c r="D647" s="45" t="s">
        <v>31</v>
      </c>
      <c r="E647" s="45" t="s">
        <v>2394</v>
      </c>
      <c r="F647" s="82">
        <f>IFERROR(VLOOKUP(E647,客户!B:C,2,FALSE),"/")</f>
        <v>0</v>
      </c>
      <c r="G647" s="45" t="s">
        <v>36</v>
      </c>
      <c r="H647" s="45" t="s">
        <v>123</v>
      </c>
      <c r="I647" s="45" t="s">
        <v>2395</v>
      </c>
      <c r="J647" s="110">
        <v>43516</v>
      </c>
      <c r="K647" s="110">
        <v>43572</v>
      </c>
      <c r="L647" s="93">
        <v>43602</v>
      </c>
      <c r="M647" s="163" t="s">
        <v>2399</v>
      </c>
      <c r="N647" s="110" t="s">
        <v>2400</v>
      </c>
      <c r="O647" s="108"/>
      <c r="P647" s="107">
        <v>13420.41</v>
      </c>
      <c r="Q647" s="107" t="s">
        <v>453</v>
      </c>
      <c r="R647" s="129">
        <v>0</v>
      </c>
      <c r="S647" s="130"/>
      <c r="T647" s="107">
        <v>13410</v>
      </c>
      <c r="U647" s="93">
        <v>43599</v>
      </c>
      <c r="V647" s="128"/>
      <c r="W647" s="214"/>
    </row>
    <row r="648" s="43" customFormat="1" ht="22" customHeight="1" spans="1:23">
      <c r="A648" s="142" t="s">
        <v>2401</v>
      </c>
      <c r="B648" s="270" t="s">
        <v>2221</v>
      </c>
      <c r="C648" s="271"/>
      <c r="D648" s="45" t="s">
        <v>31</v>
      </c>
      <c r="E648" s="45" t="s">
        <v>2382</v>
      </c>
      <c r="F648" s="82" t="str">
        <f>IFERROR(VLOOKUP(E648,客户!B:C,2,FALSE),"/")</f>
        <v>/</v>
      </c>
      <c r="G648" s="45" t="s">
        <v>43</v>
      </c>
      <c r="H648" s="45" t="s">
        <v>123</v>
      </c>
      <c r="I648" s="45" t="s">
        <v>1684</v>
      </c>
      <c r="J648" s="110">
        <v>43518</v>
      </c>
      <c r="K648" s="110">
        <v>43545</v>
      </c>
      <c r="L648" s="93">
        <v>43607</v>
      </c>
      <c r="M648" s="286" t="s">
        <v>2402</v>
      </c>
      <c r="N648" s="146" t="s">
        <v>2403</v>
      </c>
      <c r="O648" s="108"/>
      <c r="P648" s="107">
        <v>22970.5</v>
      </c>
      <c r="Q648" s="107">
        <v>6000</v>
      </c>
      <c r="R648" s="129">
        <v>0</v>
      </c>
      <c r="S648" s="130"/>
      <c r="T648" s="107">
        <v>16970</v>
      </c>
      <c r="U648" s="93"/>
      <c r="V648" s="128"/>
      <c r="W648" s="214"/>
    </row>
    <row r="649" s="43" customFormat="1" ht="22" customHeight="1" spans="1:23">
      <c r="A649" s="142" t="s">
        <v>2404</v>
      </c>
      <c r="B649" s="270" t="s">
        <v>2221</v>
      </c>
      <c r="C649" s="271"/>
      <c r="D649" s="45" t="s">
        <v>31</v>
      </c>
      <c r="E649" s="45" t="s">
        <v>2382</v>
      </c>
      <c r="F649" s="82" t="str">
        <f>IFERROR(VLOOKUP(E649,客户!B:C,2,FALSE),"/")</f>
        <v>/</v>
      </c>
      <c r="G649" s="45" t="s">
        <v>2405</v>
      </c>
      <c r="H649" s="45" t="s">
        <v>123</v>
      </c>
      <c r="I649" s="45" t="s">
        <v>1684</v>
      </c>
      <c r="J649" s="110">
        <v>43518</v>
      </c>
      <c r="K649" s="110">
        <v>43564</v>
      </c>
      <c r="L649" s="93">
        <v>43607</v>
      </c>
      <c r="M649" s="286" t="s">
        <v>2406</v>
      </c>
      <c r="N649" s="146" t="s">
        <v>2407</v>
      </c>
      <c r="O649" s="108"/>
      <c r="P649" s="107">
        <v>78557.3</v>
      </c>
      <c r="Q649" s="107">
        <v>18000</v>
      </c>
      <c r="R649" s="129">
        <v>0</v>
      </c>
      <c r="S649" s="130"/>
      <c r="T649" s="107">
        <v>59941</v>
      </c>
      <c r="U649" s="93">
        <v>43599</v>
      </c>
      <c r="V649" s="128"/>
      <c r="W649" s="214"/>
    </row>
    <row r="650" s="43" customFormat="1" ht="22" customHeight="1" spans="1:23">
      <c r="A650" s="142" t="s">
        <v>2408</v>
      </c>
      <c r="B650" s="270" t="s">
        <v>2221</v>
      </c>
      <c r="C650" s="271"/>
      <c r="D650" s="45" t="s">
        <v>31</v>
      </c>
      <c r="E650" s="45" t="s">
        <v>2382</v>
      </c>
      <c r="F650" s="82" t="str">
        <f>IFERROR(VLOOKUP(E650,客户!B:C,2,FALSE),"/")</f>
        <v>/</v>
      </c>
      <c r="G650" s="45" t="s">
        <v>660</v>
      </c>
      <c r="H650" s="45" t="s">
        <v>123</v>
      </c>
      <c r="I650" s="45" t="s">
        <v>542</v>
      </c>
      <c r="J650" s="110">
        <v>43518</v>
      </c>
      <c r="K650" s="110">
        <v>43590</v>
      </c>
      <c r="L650" s="93">
        <v>43633</v>
      </c>
      <c r="M650" s="181" t="s">
        <v>2409</v>
      </c>
      <c r="N650" s="110" t="s">
        <v>2410</v>
      </c>
      <c r="O650" s="108"/>
      <c r="P650" s="107">
        <v>40440</v>
      </c>
      <c r="Q650" s="107">
        <v>12000</v>
      </c>
      <c r="R650" s="129">
        <v>0</v>
      </c>
      <c r="S650" s="130"/>
      <c r="T650" s="289">
        <v>28408</v>
      </c>
      <c r="U650" s="93">
        <v>43614</v>
      </c>
      <c r="V650" s="128"/>
      <c r="W650" s="214"/>
    </row>
    <row r="651" s="43" customFormat="1" ht="22" customHeight="1" spans="1:23">
      <c r="A651" s="142" t="s">
        <v>2411</v>
      </c>
      <c r="B651" s="270" t="s">
        <v>2221</v>
      </c>
      <c r="C651" s="271"/>
      <c r="D651" s="45" t="s">
        <v>31</v>
      </c>
      <c r="E651" s="45" t="s">
        <v>2382</v>
      </c>
      <c r="F651" s="82" t="str">
        <f>IFERROR(VLOOKUP(E651,客户!B:C,2,FALSE),"/")</f>
        <v>/</v>
      </c>
      <c r="G651" s="45" t="s">
        <v>43</v>
      </c>
      <c r="H651" s="45" t="s">
        <v>123</v>
      </c>
      <c r="I651" s="45" t="s">
        <v>1684</v>
      </c>
      <c r="J651" s="110">
        <v>43552</v>
      </c>
      <c r="K651" s="110">
        <v>43582</v>
      </c>
      <c r="L651" s="93">
        <v>43619</v>
      </c>
      <c r="M651" s="181" t="s">
        <v>2412</v>
      </c>
      <c r="N651" s="110" t="s">
        <v>2413</v>
      </c>
      <c r="O651" s="108"/>
      <c r="P651" s="107">
        <v>22176.25</v>
      </c>
      <c r="Q651" s="107">
        <v>6000</v>
      </c>
      <c r="R651" s="129"/>
      <c r="S651" s="130"/>
      <c r="T651" s="240">
        <v>16176</v>
      </c>
      <c r="U651" s="93"/>
      <c r="V651" s="128"/>
      <c r="W651" s="214"/>
    </row>
    <row r="652" s="43" customFormat="1" ht="22" customHeight="1" spans="1:23">
      <c r="A652" s="142" t="s">
        <v>2414</v>
      </c>
      <c r="B652" s="270" t="s">
        <v>2221</v>
      </c>
      <c r="C652" s="271"/>
      <c r="D652" s="45" t="s">
        <v>31</v>
      </c>
      <c r="E652" s="45" t="s">
        <v>2415</v>
      </c>
      <c r="F652" s="82" t="str">
        <f>IFERROR(VLOOKUP(E652,客户!B:C,2,FALSE),"/")</f>
        <v>/</v>
      </c>
      <c r="G652" s="45" t="s">
        <v>2416</v>
      </c>
      <c r="H652" s="45" t="s">
        <v>123</v>
      </c>
      <c r="I652" s="45" t="s">
        <v>2417</v>
      </c>
      <c r="J652" s="110">
        <v>43523</v>
      </c>
      <c r="K652" s="110">
        <v>43567</v>
      </c>
      <c r="L652" s="93"/>
      <c r="M652" s="116" t="s">
        <v>2418</v>
      </c>
      <c r="N652" s="110" t="s">
        <v>2419</v>
      </c>
      <c r="O652" s="108"/>
      <c r="P652" s="107">
        <v>39238</v>
      </c>
      <c r="Q652" s="107">
        <v>7878</v>
      </c>
      <c r="R652" s="129">
        <v>0</v>
      </c>
      <c r="S652" s="130"/>
      <c r="T652" s="126">
        <v>31360</v>
      </c>
      <c r="U652" s="93">
        <v>43563</v>
      </c>
      <c r="V652" s="128"/>
      <c r="W652" s="214"/>
    </row>
    <row r="653" s="43" customFormat="1" ht="22" customHeight="1" spans="1:23">
      <c r="A653" s="142" t="s">
        <v>2420</v>
      </c>
      <c r="B653" s="270" t="s">
        <v>2221</v>
      </c>
      <c r="C653" s="271"/>
      <c r="D653" s="45" t="s">
        <v>31</v>
      </c>
      <c r="E653" s="45" t="s">
        <v>2336</v>
      </c>
      <c r="F653" s="82">
        <f>IFERROR(VLOOKUP(E653,客户!B:C,2,FALSE),"/")</f>
        <v>0</v>
      </c>
      <c r="G653" s="45" t="s">
        <v>2421</v>
      </c>
      <c r="H653" s="45" t="s">
        <v>123</v>
      </c>
      <c r="I653" s="45" t="s">
        <v>2342</v>
      </c>
      <c r="J653" s="110">
        <v>43531</v>
      </c>
      <c r="K653" s="110">
        <v>43569</v>
      </c>
      <c r="L653" s="93"/>
      <c r="M653" s="275" t="s">
        <v>2422</v>
      </c>
      <c r="N653" s="110" t="s">
        <v>2423</v>
      </c>
      <c r="O653" s="108"/>
      <c r="P653" s="107">
        <v>28568.24</v>
      </c>
      <c r="Q653" s="107">
        <v>15000</v>
      </c>
      <c r="R653" s="129">
        <v>0</v>
      </c>
      <c r="S653" s="130"/>
      <c r="T653" s="126">
        <v>13517</v>
      </c>
      <c r="U653" s="93">
        <v>43566</v>
      </c>
      <c r="V653" s="128"/>
      <c r="W653" s="214"/>
    </row>
    <row r="654" s="43" customFormat="1" ht="22" customHeight="1" spans="1:23">
      <c r="A654" s="142" t="s">
        <v>2424</v>
      </c>
      <c r="B654" s="174" t="s">
        <v>2221</v>
      </c>
      <c r="C654" s="175"/>
      <c r="D654" s="45" t="s">
        <v>31</v>
      </c>
      <c r="E654" s="45" t="s">
        <v>2425</v>
      </c>
      <c r="F654" s="82">
        <f>IFERROR(VLOOKUP(E654,客户!B:C,2,FALSE),"/")</f>
        <v>0</v>
      </c>
      <c r="G654" s="45" t="s">
        <v>2426</v>
      </c>
      <c r="H654" s="142" t="s">
        <v>147</v>
      </c>
      <c r="I654" s="45" t="s">
        <v>2427</v>
      </c>
      <c r="J654" s="110">
        <v>43545</v>
      </c>
      <c r="K654" s="146">
        <v>43695</v>
      </c>
      <c r="L654" s="285" t="s">
        <v>2428</v>
      </c>
      <c r="M654" s="183" t="s">
        <v>2429</v>
      </c>
      <c r="N654" s="110" t="s">
        <v>2430</v>
      </c>
      <c r="O654" s="108"/>
      <c r="P654" s="107">
        <v>9588</v>
      </c>
      <c r="Q654" s="107">
        <v>2958</v>
      </c>
      <c r="R654" s="129">
        <v>0</v>
      </c>
      <c r="S654" s="130"/>
      <c r="T654" s="107">
        <v>6872</v>
      </c>
      <c r="U654" s="93">
        <v>43707</v>
      </c>
      <c r="V654" s="128" t="s">
        <v>2431</v>
      </c>
      <c r="W654" s="214"/>
    </row>
    <row r="655" s="43" customFormat="1" ht="22" customHeight="1" spans="1:23">
      <c r="A655" s="142" t="s">
        <v>2432</v>
      </c>
      <c r="B655" s="174" t="s">
        <v>2221</v>
      </c>
      <c r="C655" s="175"/>
      <c r="D655" s="45" t="s">
        <v>31</v>
      </c>
      <c r="E655" s="45" t="s">
        <v>2336</v>
      </c>
      <c r="F655" s="82">
        <f>IFERROR(VLOOKUP(E655,客户!B:C,2,FALSE),"/")</f>
        <v>0</v>
      </c>
      <c r="G655" s="45" t="s">
        <v>2433</v>
      </c>
      <c r="H655" s="45" t="s">
        <v>123</v>
      </c>
      <c r="I655" s="45" t="s">
        <v>2434</v>
      </c>
      <c r="J655" s="110">
        <v>43550</v>
      </c>
      <c r="K655" s="110">
        <v>43610</v>
      </c>
      <c r="L655" s="93"/>
      <c r="M655" s="163" t="s">
        <v>2435</v>
      </c>
      <c r="N655" s="110" t="s">
        <v>2436</v>
      </c>
      <c r="O655" s="108"/>
      <c r="P655" s="107">
        <v>23512</v>
      </c>
      <c r="Q655" s="107" t="s">
        <v>2437</v>
      </c>
      <c r="R655" s="129">
        <v>0</v>
      </c>
      <c r="S655" s="130"/>
      <c r="T655" s="107"/>
      <c r="U655" s="93">
        <v>43614</v>
      </c>
      <c r="V655" s="128"/>
      <c r="W655" s="214"/>
    </row>
    <row r="656" s="43" customFormat="1" ht="22" customHeight="1" spans="1:23">
      <c r="A656" s="142" t="s">
        <v>2438</v>
      </c>
      <c r="B656" s="174" t="s">
        <v>2221</v>
      </c>
      <c r="C656" s="175"/>
      <c r="D656" s="45" t="s">
        <v>31</v>
      </c>
      <c r="E656" s="45" t="s">
        <v>2336</v>
      </c>
      <c r="F656" s="82">
        <f>IFERROR(VLOOKUP(E656,客户!B:C,2,FALSE),"/")</f>
        <v>0</v>
      </c>
      <c r="G656" s="45" t="s">
        <v>2439</v>
      </c>
      <c r="H656" s="45" t="s">
        <v>123</v>
      </c>
      <c r="I656" s="45" t="s">
        <v>2434</v>
      </c>
      <c r="J656" s="110">
        <v>43552</v>
      </c>
      <c r="K656" s="110">
        <v>43598</v>
      </c>
      <c r="L656" s="93">
        <v>43641</v>
      </c>
      <c r="M656" s="181" t="s">
        <v>2440</v>
      </c>
      <c r="N656" s="110" t="s">
        <v>2441</v>
      </c>
      <c r="O656" s="108"/>
      <c r="P656" s="107">
        <v>22680.84</v>
      </c>
      <c r="Q656" s="107">
        <v>10000</v>
      </c>
      <c r="R656" s="129">
        <v>0</v>
      </c>
      <c r="S656" s="130"/>
      <c r="T656" s="107">
        <v>14141</v>
      </c>
      <c r="U656" s="93">
        <v>43614</v>
      </c>
      <c r="V656" s="128"/>
      <c r="W656" s="214"/>
    </row>
    <row r="657" s="43" customFormat="1" ht="22" customHeight="1" spans="1:23">
      <c r="A657" s="142" t="s">
        <v>2442</v>
      </c>
      <c r="B657" s="174" t="s">
        <v>2221</v>
      </c>
      <c r="C657" s="175"/>
      <c r="D657" s="45" t="s">
        <v>31</v>
      </c>
      <c r="E657" s="45" t="s">
        <v>2390</v>
      </c>
      <c r="F657" s="82" t="str">
        <f>IFERROR(VLOOKUP(E657,客户!B:C,2,FALSE),"/")</f>
        <v>/</v>
      </c>
      <c r="G657" s="45" t="s">
        <v>2443</v>
      </c>
      <c r="H657" s="45" t="s">
        <v>123</v>
      </c>
      <c r="I657" s="45" t="s">
        <v>205</v>
      </c>
      <c r="J657" s="110">
        <v>43553</v>
      </c>
      <c r="K657" s="110">
        <v>43589</v>
      </c>
      <c r="L657" s="93">
        <v>43631</v>
      </c>
      <c r="M657" s="181" t="s">
        <v>2444</v>
      </c>
      <c r="N657" s="110" t="s">
        <v>2445</v>
      </c>
      <c r="O657" s="108"/>
      <c r="P657" s="107">
        <v>36269.42</v>
      </c>
      <c r="Q657" s="107">
        <v>11000</v>
      </c>
      <c r="R657" s="129">
        <v>0</v>
      </c>
      <c r="S657" s="130"/>
      <c r="T657" s="107">
        <v>25237</v>
      </c>
      <c r="U657" s="93">
        <v>43626</v>
      </c>
      <c r="V657" s="128"/>
      <c r="W657" s="214"/>
    </row>
    <row r="658" s="43" customFormat="1" ht="22" customHeight="1" spans="1:23">
      <c r="A658" s="142" t="s">
        <v>2446</v>
      </c>
      <c r="B658" s="174" t="s">
        <v>2221</v>
      </c>
      <c r="C658" s="175"/>
      <c r="D658" s="45" t="s">
        <v>31</v>
      </c>
      <c r="E658" s="229" t="s">
        <v>2447</v>
      </c>
      <c r="F658" s="82">
        <f>IFERROR(VLOOKUP(E658,客户!B:C,2,FALSE),"/")</f>
        <v>0</v>
      </c>
      <c r="G658" s="45" t="s">
        <v>36</v>
      </c>
      <c r="H658" s="45" t="s">
        <v>123</v>
      </c>
      <c r="I658" s="45" t="s">
        <v>2448</v>
      </c>
      <c r="J658" s="110">
        <v>43557</v>
      </c>
      <c r="K658" s="110">
        <v>43609</v>
      </c>
      <c r="L658" s="93"/>
      <c r="M658" s="287" t="s">
        <v>2449</v>
      </c>
      <c r="N658" s="110" t="s">
        <v>2450</v>
      </c>
      <c r="O658" s="108"/>
      <c r="P658" s="107">
        <v>19841.24</v>
      </c>
      <c r="Q658" s="107" t="s">
        <v>2451</v>
      </c>
      <c r="R658" s="129"/>
      <c r="S658" s="130"/>
      <c r="T658" s="107"/>
      <c r="U658" s="93"/>
      <c r="V658" s="128"/>
      <c r="W658" s="214"/>
    </row>
    <row r="659" s="43" customFormat="1" ht="22" customHeight="1" spans="1:23">
      <c r="A659" s="142" t="s">
        <v>2452</v>
      </c>
      <c r="B659" s="174" t="s">
        <v>2221</v>
      </c>
      <c r="C659" s="175"/>
      <c r="D659" s="45" t="s">
        <v>31</v>
      </c>
      <c r="E659" s="45" t="s">
        <v>2283</v>
      </c>
      <c r="F659" s="82" t="str">
        <f>IFERROR(VLOOKUP(E659,客户!B:C,2,FALSE),"/")</f>
        <v>J4159还差USD265.65没付齐 J4220还有定金5674.3 账上剩5408.65</v>
      </c>
      <c r="G659" s="45" t="s">
        <v>36</v>
      </c>
      <c r="H659" s="45" t="s">
        <v>123</v>
      </c>
      <c r="I659" s="45" t="s">
        <v>1840</v>
      </c>
      <c r="J659" s="110">
        <v>43564</v>
      </c>
      <c r="K659" s="110">
        <v>43606</v>
      </c>
      <c r="L659" s="93"/>
      <c r="M659" s="183" t="s">
        <v>2453</v>
      </c>
      <c r="N659" s="110" t="s">
        <v>2454</v>
      </c>
      <c r="O659" s="108"/>
      <c r="P659" s="107">
        <v>21845.84</v>
      </c>
      <c r="Q659" s="107">
        <v>3000</v>
      </c>
      <c r="R659" s="129">
        <v>0</v>
      </c>
      <c r="S659" s="130"/>
      <c r="T659" s="107">
        <v>18835</v>
      </c>
      <c r="U659" s="93">
        <v>43607</v>
      </c>
      <c r="V659" s="128"/>
      <c r="W659" s="214"/>
    </row>
    <row r="660" s="43" customFormat="1" ht="22" customHeight="1" spans="1:23">
      <c r="A660" s="142" t="s">
        <v>2455</v>
      </c>
      <c r="B660" s="174" t="s">
        <v>2221</v>
      </c>
      <c r="C660" s="175"/>
      <c r="D660" s="45" t="s">
        <v>31</v>
      </c>
      <c r="E660" s="73" t="s">
        <v>2255</v>
      </c>
      <c r="F660" s="82">
        <f>IFERROR(VLOOKUP(E660,客户!B:C,2,FALSE),"/")</f>
        <v>0</v>
      </c>
      <c r="G660" s="45" t="s">
        <v>2251</v>
      </c>
      <c r="H660" s="45" t="s">
        <v>123</v>
      </c>
      <c r="I660" s="45" t="s">
        <v>2456</v>
      </c>
      <c r="J660" s="110">
        <v>43566</v>
      </c>
      <c r="K660" s="110">
        <v>43618</v>
      </c>
      <c r="L660" s="93">
        <v>43662</v>
      </c>
      <c r="M660" s="183" t="s">
        <v>2457</v>
      </c>
      <c r="N660" s="110" t="s">
        <v>500</v>
      </c>
      <c r="O660" s="108"/>
      <c r="P660" s="107">
        <v>20459.37</v>
      </c>
      <c r="Q660" s="107">
        <v>10000</v>
      </c>
      <c r="R660" s="129"/>
      <c r="S660" s="130"/>
      <c r="T660" s="107"/>
      <c r="U660" s="93"/>
      <c r="V660" s="128"/>
      <c r="W660" s="214"/>
    </row>
    <row r="661" s="43" customFormat="1" ht="22" customHeight="1" spans="1:23">
      <c r="A661" s="142" t="s">
        <v>2458</v>
      </c>
      <c r="B661" s="174" t="s">
        <v>2221</v>
      </c>
      <c r="C661" s="175"/>
      <c r="D661" s="45" t="s">
        <v>31</v>
      </c>
      <c r="E661" s="45" t="s">
        <v>2382</v>
      </c>
      <c r="F661" s="82" t="str">
        <f>IFERROR(VLOOKUP(E661,客户!B:C,2,FALSE),"/")</f>
        <v>/</v>
      </c>
      <c r="G661" s="45" t="s">
        <v>2459</v>
      </c>
      <c r="H661" s="45" t="s">
        <v>123</v>
      </c>
      <c r="I661" s="45" t="s">
        <v>542</v>
      </c>
      <c r="J661" s="110">
        <v>43572</v>
      </c>
      <c r="K661" s="110">
        <v>43603</v>
      </c>
      <c r="L661" s="93">
        <v>43649</v>
      </c>
      <c r="M661" s="163" t="s">
        <v>2460</v>
      </c>
      <c r="N661" s="110" t="s">
        <v>2461</v>
      </c>
      <c r="O661" s="108"/>
      <c r="P661" s="107">
        <v>60763</v>
      </c>
      <c r="Q661" s="107">
        <v>16000</v>
      </c>
      <c r="R661" s="129">
        <v>0</v>
      </c>
      <c r="S661" s="130"/>
      <c r="T661" s="107">
        <v>44731</v>
      </c>
      <c r="U661" s="93">
        <v>43642</v>
      </c>
      <c r="V661" s="128"/>
      <c r="W661" s="214"/>
    </row>
    <row r="662" s="43" customFormat="1" ht="22" customHeight="1" spans="1:23">
      <c r="A662" s="142" t="s">
        <v>2462</v>
      </c>
      <c r="B662" s="174" t="s">
        <v>2221</v>
      </c>
      <c r="C662" s="175"/>
      <c r="D662" s="45" t="s">
        <v>31</v>
      </c>
      <c r="E662" s="45" t="s">
        <v>2382</v>
      </c>
      <c r="F662" s="82" t="str">
        <f>IFERROR(VLOOKUP(E662,客户!B:C,2,FALSE),"/")</f>
        <v>/</v>
      </c>
      <c r="G662" s="45" t="s">
        <v>485</v>
      </c>
      <c r="H662" s="45" t="s">
        <v>123</v>
      </c>
      <c r="I662" s="45" t="s">
        <v>1684</v>
      </c>
      <c r="J662" s="110">
        <v>43573</v>
      </c>
      <c r="K662" s="110">
        <v>43603</v>
      </c>
      <c r="L662" s="93">
        <v>43633</v>
      </c>
      <c r="M662" s="163" t="s">
        <v>2463</v>
      </c>
      <c r="N662" s="110" t="s">
        <v>2464</v>
      </c>
      <c r="O662" s="108"/>
      <c r="P662" s="107">
        <v>23855.45</v>
      </c>
      <c r="Q662" s="107">
        <v>8000</v>
      </c>
      <c r="R662" s="129">
        <v>0</v>
      </c>
      <c r="S662" s="130"/>
      <c r="T662" s="107">
        <v>15823</v>
      </c>
      <c r="U662" s="93">
        <v>43627</v>
      </c>
      <c r="V662" s="128"/>
      <c r="W662" s="214"/>
    </row>
    <row r="663" s="43" customFormat="1" ht="22" customHeight="1" spans="1:23">
      <c r="A663" s="142" t="s">
        <v>2465</v>
      </c>
      <c r="B663" s="174" t="s">
        <v>2221</v>
      </c>
      <c r="C663" s="175"/>
      <c r="D663" s="45" t="s">
        <v>31</v>
      </c>
      <c r="E663" s="45" t="s">
        <v>2373</v>
      </c>
      <c r="F663" s="82" t="str">
        <f>IFERROR(VLOOKUP(E663,客户!B:C,2,FALSE),"/")</f>
        <v>/</v>
      </c>
      <c r="G663" s="45" t="s">
        <v>36</v>
      </c>
      <c r="H663" s="45" t="s">
        <v>123</v>
      </c>
      <c r="I663" s="45" t="s">
        <v>1626</v>
      </c>
      <c r="J663" s="110">
        <v>43576</v>
      </c>
      <c r="K663" s="110">
        <v>43616</v>
      </c>
      <c r="L663" s="93">
        <v>43661</v>
      </c>
      <c r="M663" s="163" t="s">
        <v>2466</v>
      </c>
      <c r="N663" s="110" t="s">
        <v>2467</v>
      </c>
      <c r="O663" s="108"/>
      <c r="P663" s="107">
        <v>29763.09</v>
      </c>
      <c r="Q663" s="107">
        <v>3000</v>
      </c>
      <c r="R663" s="129">
        <v>0</v>
      </c>
      <c r="S663" s="130"/>
      <c r="T663" s="107">
        <v>26713</v>
      </c>
      <c r="U663" s="93">
        <v>43655</v>
      </c>
      <c r="V663" s="128"/>
      <c r="W663" s="214"/>
    </row>
    <row r="664" s="43" customFormat="1" ht="22" customHeight="1" spans="1:23">
      <c r="A664" s="142" t="s">
        <v>2468</v>
      </c>
      <c r="B664" s="174" t="s">
        <v>2221</v>
      </c>
      <c r="C664" s="175"/>
      <c r="D664" s="45" t="s">
        <v>31</v>
      </c>
      <c r="E664" s="229" t="s">
        <v>2469</v>
      </c>
      <c r="F664" s="82" t="str">
        <f>IFERROR(VLOOKUP(E664,客户!B:C,2,FALSE),"/")</f>
        <v>/</v>
      </c>
      <c r="G664" s="45" t="s">
        <v>43</v>
      </c>
      <c r="H664" s="45" t="s">
        <v>123</v>
      </c>
      <c r="I664" s="45" t="s">
        <v>1684</v>
      </c>
      <c r="J664" s="110">
        <v>43595</v>
      </c>
      <c r="K664" s="110">
        <v>43648</v>
      </c>
      <c r="L664" s="93">
        <v>43689</v>
      </c>
      <c r="M664" s="181" t="s">
        <v>2470</v>
      </c>
      <c r="N664" s="110" t="s">
        <v>2471</v>
      </c>
      <c r="O664" s="108"/>
      <c r="P664" s="107">
        <v>23602.8</v>
      </c>
      <c r="Q664" s="107">
        <v>13000</v>
      </c>
      <c r="R664" s="129">
        <v>0</v>
      </c>
      <c r="S664" s="130"/>
      <c r="T664" s="107">
        <v>17070</v>
      </c>
      <c r="U664" s="93">
        <v>43678</v>
      </c>
      <c r="V664" s="128"/>
      <c r="W664" s="214"/>
    </row>
    <row r="665" s="43" customFormat="1" ht="22" customHeight="1" spans="1:23">
      <c r="A665" s="142" t="s">
        <v>2472</v>
      </c>
      <c r="B665" s="270" t="s">
        <v>2221</v>
      </c>
      <c r="C665" s="271"/>
      <c r="D665" s="45" t="s">
        <v>31</v>
      </c>
      <c r="E665" s="45" t="s">
        <v>2473</v>
      </c>
      <c r="F665" s="82">
        <f>IFERROR(VLOOKUP(E665,客户!B:C,2,FALSE),"/")</f>
        <v>0</v>
      </c>
      <c r="G665" s="45" t="s">
        <v>2474</v>
      </c>
      <c r="H665" s="45" t="s">
        <v>186</v>
      </c>
      <c r="I665" s="45"/>
      <c r="J665" s="110">
        <v>43601</v>
      </c>
      <c r="K665" s="110"/>
      <c r="L665" s="93"/>
      <c r="M665" s="110"/>
      <c r="N665" s="110"/>
      <c r="O665" s="108"/>
      <c r="P665" s="107"/>
      <c r="Q665" s="107"/>
      <c r="R665" s="129"/>
      <c r="S665" s="130"/>
      <c r="T665" s="107"/>
      <c r="U665" s="93"/>
      <c r="V665" s="128"/>
      <c r="W665" s="214"/>
    </row>
    <row r="666" s="43" customFormat="1" ht="22" customHeight="1" spans="1:23">
      <c r="A666" s="142" t="s">
        <v>2475</v>
      </c>
      <c r="B666" s="174" t="s">
        <v>2221</v>
      </c>
      <c r="C666" s="175"/>
      <c r="D666" s="45" t="s">
        <v>31</v>
      </c>
      <c r="E666" s="45" t="s">
        <v>2382</v>
      </c>
      <c r="F666" s="82" t="str">
        <f>IFERROR(VLOOKUP(E666,客户!B:C,2,FALSE),"/")</f>
        <v>/</v>
      </c>
      <c r="G666" s="45" t="s">
        <v>2459</v>
      </c>
      <c r="H666" s="45" t="s">
        <v>123</v>
      </c>
      <c r="I666" s="45" t="s">
        <v>560</v>
      </c>
      <c r="J666" s="110">
        <v>43601</v>
      </c>
      <c r="K666" s="110">
        <v>43645</v>
      </c>
      <c r="L666" s="93">
        <v>43689</v>
      </c>
      <c r="M666" s="181" t="s">
        <v>2476</v>
      </c>
      <c r="N666" s="110" t="s">
        <v>2477</v>
      </c>
      <c r="O666" s="108"/>
      <c r="P666" s="107">
        <v>60361</v>
      </c>
      <c r="Q666" s="107">
        <v>20000</v>
      </c>
      <c r="R666" s="129"/>
      <c r="S666" s="130"/>
      <c r="T666" s="107">
        <v>40361</v>
      </c>
      <c r="U666" s="93"/>
      <c r="V666" s="128"/>
      <c r="W666" s="214"/>
    </row>
    <row r="667" s="43" customFormat="1" ht="22" customHeight="1" spans="1:23">
      <c r="A667" s="142" t="s">
        <v>2478</v>
      </c>
      <c r="B667" s="174" t="s">
        <v>2221</v>
      </c>
      <c r="C667" s="175"/>
      <c r="D667" s="45" t="s">
        <v>31</v>
      </c>
      <c r="E667" s="230" t="s">
        <v>2479</v>
      </c>
      <c r="F667" s="82" t="str">
        <f>IFERROR(VLOOKUP(E667,客户!B:C,2,FALSE),"/")</f>
        <v>/</v>
      </c>
      <c r="G667" s="45" t="s">
        <v>234</v>
      </c>
      <c r="H667" s="45" t="s">
        <v>123</v>
      </c>
      <c r="I667" s="45" t="s">
        <v>1684</v>
      </c>
      <c r="J667" s="110">
        <v>43601</v>
      </c>
      <c r="K667" s="146">
        <v>43683</v>
      </c>
      <c r="L667" s="93">
        <v>43728</v>
      </c>
      <c r="M667" s="181" t="s">
        <v>2480</v>
      </c>
      <c r="N667" s="110" t="s">
        <v>2481</v>
      </c>
      <c r="O667" s="108"/>
      <c r="P667" s="107"/>
      <c r="Q667" s="107"/>
      <c r="R667" s="129">
        <v>0</v>
      </c>
      <c r="S667" s="130"/>
      <c r="T667" s="107">
        <v>55581</v>
      </c>
      <c r="U667" s="93">
        <v>43724</v>
      </c>
      <c r="V667" s="128"/>
      <c r="W667" s="214"/>
    </row>
    <row r="668" s="43" customFormat="1" ht="22" customHeight="1" spans="1:23">
      <c r="A668" s="142" t="s">
        <v>2482</v>
      </c>
      <c r="B668" s="270" t="s">
        <v>2221</v>
      </c>
      <c r="C668" s="271"/>
      <c r="D668" s="45" t="s">
        <v>31</v>
      </c>
      <c r="E668" s="45" t="s">
        <v>2483</v>
      </c>
      <c r="F668" s="82">
        <f>IFERROR(VLOOKUP(E668,客户!B:C,2,FALSE),"/")</f>
        <v>0</v>
      </c>
      <c r="G668" s="45" t="s">
        <v>91</v>
      </c>
      <c r="H668" s="45" t="s">
        <v>186</v>
      </c>
      <c r="I668" s="45" t="s">
        <v>2484</v>
      </c>
      <c r="J668" s="110">
        <v>43602</v>
      </c>
      <c r="K668" s="93">
        <v>43612</v>
      </c>
      <c r="L668" s="93"/>
      <c r="M668" s="200" t="s">
        <v>2485</v>
      </c>
      <c r="N668" s="110" t="s">
        <v>2467</v>
      </c>
      <c r="O668" s="108"/>
      <c r="P668" s="107"/>
      <c r="Q668" s="135"/>
      <c r="R668" s="129"/>
      <c r="S668" s="130"/>
      <c r="T668" s="107"/>
      <c r="U668" s="93"/>
      <c r="V668" s="128"/>
      <c r="W668" s="214"/>
    </row>
    <row r="669" s="43" customFormat="1" ht="22" customHeight="1" spans="1:23">
      <c r="A669" s="142" t="s">
        <v>2486</v>
      </c>
      <c r="B669" s="270" t="s">
        <v>2221</v>
      </c>
      <c r="C669" s="271"/>
      <c r="D669" s="45" t="s">
        <v>31</v>
      </c>
      <c r="E669" s="45" t="s">
        <v>2336</v>
      </c>
      <c r="F669" s="82">
        <f>IFERROR(VLOOKUP(E669,客户!B:C,2,FALSE),"/")</f>
        <v>0</v>
      </c>
      <c r="G669" s="45" t="s">
        <v>91</v>
      </c>
      <c r="H669" s="45" t="s">
        <v>123</v>
      </c>
      <c r="I669" s="45" t="s">
        <v>2487</v>
      </c>
      <c r="J669" s="110">
        <v>43617</v>
      </c>
      <c r="K669" s="93">
        <v>43662</v>
      </c>
      <c r="L669" s="93"/>
      <c r="M669" s="200" t="s">
        <v>2488</v>
      </c>
      <c r="N669" s="110" t="s">
        <v>2489</v>
      </c>
      <c r="O669" s="108"/>
      <c r="P669" s="107">
        <v>21626.32</v>
      </c>
      <c r="Q669" s="107" t="s">
        <v>2490</v>
      </c>
      <c r="R669" s="129">
        <v>0</v>
      </c>
      <c r="S669" s="130"/>
      <c r="T669" s="107">
        <v>12696</v>
      </c>
      <c r="U669" s="93">
        <v>43658</v>
      </c>
      <c r="V669" s="128"/>
      <c r="W669" s="214"/>
    </row>
    <row r="670" s="43" customFormat="1" ht="22" customHeight="1" spans="1:23">
      <c r="A670" s="142" t="s">
        <v>2491</v>
      </c>
      <c r="B670" s="174" t="s">
        <v>2221</v>
      </c>
      <c r="C670" s="175"/>
      <c r="D670" s="45" t="s">
        <v>31</v>
      </c>
      <c r="E670" s="45" t="s">
        <v>2492</v>
      </c>
      <c r="F670" s="82" t="str">
        <f>IFERROR(VLOOKUP(E670,客户!B:C,2,FALSE),"/")</f>
        <v>/</v>
      </c>
      <c r="G670" s="45" t="s">
        <v>43</v>
      </c>
      <c r="H670" s="45" t="s">
        <v>123</v>
      </c>
      <c r="I670" s="45" t="s">
        <v>2493</v>
      </c>
      <c r="J670" s="110">
        <v>43619</v>
      </c>
      <c r="K670" s="93">
        <v>43651</v>
      </c>
      <c r="L670" s="93">
        <v>43701</v>
      </c>
      <c r="M670" s="181" t="s">
        <v>2494</v>
      </c>
      <c r="N670" s="110" t="s">
        <v>2495</v>
      </c>
      <c r="O670" s="108"/>
      <c r="P670" s="107">
        <v>26257.4</v>
      </c>
      <c r="Q670" s="107" t="s">
        <v>2496</v>
      </c>
      <c r="R670" s="129">
        <v>0</v>
      </c>
      <c r="S670" s="130"/>
      <c r="T670" s="107">
        <v>14195</v>
      </c>
      <c r="U670" s="93">
        <v>43725</v>
      </c>
      <c r="V670" s="128"/>
      <c r="W670" s="214"/>
    </row>
    <row r="671" s="43" customFormat="1" ht="22" customHeight="1" spans="1:23">
      <c r="A671" s="142" t="s">
        <v>2497</v>
      </c>
      <c r="B671" s="174" t="s">
        <v>2221</v>
      </c>
      <c r="C671" s="175"/>
      <c r="D671" s="45" t="s">
        <v>31</v>
      </c>
      <c r="E671" s="45" t="s">
        <v>2336</v>
      </c>
      <c r="F671" s="82">
        <f>IFERROR(VLOOKUP(E671,客户!B:C,2,FALSE),"/")</f>
        <v>0</v>
      </c>
      <c r="G671" s="45" t="s">
        <v>2498</v>
      </c>
      <c r="H671" s="45" t="s">
        <v>123</v>
      </c>
      <c r="I671" s="45" t="s">
        <v>2487</v>
      </c>
      <c r="J671" s="110">
        <v>43620</v>
      </c>
      <c r="K671" s="93">
        <v>43682</v>
      </c>
      <c r="L671" s="93"/>
      <c r="M671" s="110" t="s">
        <v>2499</v>
      </c>
      <c r="N671" s="110" t="s">
        <v>2467</v>
      </c>
      <c r="O671" s="108"/>
      <c r="P671" s="107">
        <v>19731</v>
      </c>
      <c r="Q671" s="107">
        <v>5000</v>
      </c>
      <c r="R671" s="129"/>
      <c r="S671" s="130"/>
      <c r="T671" s="107">
        <v>14698.5</v>
      </c>
      <c r="U671" s="93">
        <v>43686</v>
      </c>
      <c r="V671" s="128"/>
      <c r="W671" s="214"/>
    </row>
    <row r="672" s="43" customFormat="1" ht="22" customHeight="1" spans="1:23">
      <c r="A672" s="142" t="s">
        <v>2500</v>
      </c>
      <c r="B672" s="174" t="s">
        <v>2221</v>
      </c>
      <c r="C672" s="175"/>
      <c r="D672" s="45" t="s">
        <v>31</v>
      </c>
      <c r="E672" s="229" t="s">
        <v>2501</v>
      </c>
      <c r="F672" s="82">
        <f>IFERROR(VLOOKUP(E672,客户!B:C,2,FALSE),"/")</f>
        <v>0</v>
      </c>
      <c r="G672" s="45" t="s">
        <v>68</v>
      </c>
      <c r="H672" s="45" t="s">
        <v>127</v>
      </c>
      <c r="I672" s="45" t="s">
        <v>2502</v>
      </c>
      <c r="J672" s="110">
        <v>43686</v>
      </c>
      <c r="K672" s="93">
        <v>43749</v>
      </c>
      <c r="L672" s="93">
        <v>43813</v>
      </c>
      <c r="M672" s="178" t="s">
        <v>2503</v>
      </c>
      <c r="N672" s="110" t="s">
        <v>2504</v>
      </c>
      <c r="O672" s="108" t="s">
        <v>680</v>
      </c>
      <c r="P672" s="288">
        <v>49897.5</v>
      </c>
      <c r="Q672" s="107">
        <v>3000</v>
      </c>
      <c r="R672" s="129"/>
      <c r="S672" s="130"/>
      <c r="T672" s="107">
        <v>46897.5</v>
      </c>
      <c r="U672" s="93">
        <v>43829</v>
      </c>
      <c r="V672" s="128"/>
      <c r="W672" s="214"/>
    </row>
    <row r="673" s="43" customFormat="1" ht="22" customHeight="1" spans="1:23">
      <c r="A673" s="142" t="s">
        <v>2505</v>
      </c>
      <c r="B673" s="174" t="s">
        <v>2221</v>
      </c>
      <c r="C673" s="175"/>
      <c r="D673" s="45" t="s">
        <v>31</v>
      </c>
      <c r="E673" s="45" t="s">
        <v>2506</v>
      </c>
      <c r="F673" s="82">
        <f>IFERROR(VLOOKUP(E673,客户!B:C,2,FALSE),"/")</f>
        <v>0</v>
      </c>
      <c r="G673" s="45" t="s">
        <v>36</v>
      </c>
      <c r="H673" s="45" t="s">
        <v>123</v>
      </c>
      <c r="I673" s="45" t="s">
        <v>2507</v>
      </c>
      <c r="J673" s="110">
        <v>43627</v>
      </c>
      <c r="K673" s="93">
        <v>43688</v>
      </c>
      <c r="L673" s="93">
        <v>43734</v>
      </c>
      <c r="M673" s="200" t="s">
        <v>2508</v>
      </c>
      <c r="N673" s="110" t="s">
        <v>2509</v>
      </c>
      <c r="O673" s="108"/>
      <c r="P673" s="107">
        <v>19486</v>
      </c>
      <c r="Q673" s="107">
        <v>5125</v>
      </c>
      <c r="R673" s="129">
        <v>0</v>
      </c>
      <c r="S673" s="130"/>
      <c r="T673" s="107">
        <v>14195</v>
      </c>
      <c r="U673" s="93">
        <v>43726</v>
      </c>
      <c r="V673" s="128"/>
      <c r="W673" s="214"/>
    </row>
    <row r="674" s="43" customFormat="1" ht="22" customHeight="1" spans="1:23">
      <c r="A674" s="142" t="s">
        <v>2510</v>
      </c>
      <c r="B674" s="174" t="s">
        <v>2221</v>
      </c>
      <c r="C674" s="175"/>
      <c r="D674" s="45" t="s">
        <v>31</v>
      </c>
      <c r="E674" s="45" t="s">
        <v>2390</v>
      </c>
      <c r="F674" s="82" t="str">
        <f>IFERROR(VLOOKUP(E674,客户!B:C,2,FALSE),"/")</f>
        <v>/</v>
      </c>
      <c r="G674" s="45" t="s">
        <v>36</v>
      </c>
      <c r="H674" s="45" t="s">
        <v>123</v>
      </c>
      <c r="I674" s="45" t="s">
        <v>312</v>
      </c>
      <c r="J674" s="110">
        <v>43628</v>
      </c>
      <c r="K674" s="93">
        <v>43658</v>
      </c>
      <c r="L674" s="93">
        <v>43701</v>
      </c>
      <c r="M674" s="181" t="s">
        <v>2511</v>
      </c>
      <c r="N674" s="110" t="s">
        <v>2512</v>
      </c>
      <c r="O674" s="108"/>
      <c r="P674" s="107">
        <v>19740</v>
      </c>
      <c r="Q674" s="107">
        <v>10000</v>
      </c>
      <c r="R674" s="129">
        <v>0</v>
      </c>
      <c r="S674" s="130"/>
      <c r="T674" s="107">
        <v>9740</v>
      </c>
      <c r="U674" s="93">
        <v>43699</v>
      </c>
      <c r="V674" s="128"/>
      <c r="W674" s="214"/>
    </row>
    <row r="675" s="43" customFormat="1" ht="22" customHeight="1" spans="1:23">
      <c r="A675" s="190" t="s">
        <v>2513</v>
      </c>
      <c r="B675" s="174" t="s">
        <v>2221</v>
      </c>
      <c r="C675" s="175"/>
      <c r="D675" s="45" t="s">
        <v>31</v>
      </c>
      <c r="E675" s="45" t="s">
        <v>2390</v>
      </c>
      <c r="F675" s="82" t="str">
        <f>IFERROR(VLOOKUP(E675,客户!B:C,2,FALSE),"/")</f>
        <v>/</v>
      </c>
      <c r="G675" s="45" t="s">
        <v>91</v>
      </c>
      <c r="H675" s="45" t="s">
        <v>123</v>
      </c>
      <c r="I675" s="45" t="s">
        <v>312</v>
      </c>
      <c r="J675" s="110">
        <v>43628</v>
      </c>
      <c r="K675" s="93">
        <v>43703</v>
      </c>
      <c r="L675" s="93">
        <v>43740</v>
      </c>
      <c r="M675" s="206" t="s">
        <v>2514</v>
      </c>
      <c r="N675" s="110" t="s">
        <v>2515</v>
      </c>
      <c r="O675" s="108"/>
      <c r="P675" s="107">
        <v>16590.03</v>
      </c>
      <c r="Q675" s="107">
        <v>5000</v>
      </c>
      <c r="R675" s="129">
        <v>0</v>
      </c>
      <c r="S675" s="130"/>
      <c r="T675" s="207">
        <v>11552</v>
      </c>
      <c r="U675" s="199">
        <v>43734</v>
      </c>
      <c r="V675" s="128"/>
      <c r="W675" s="214"/>
    </row>
    <row r="676" s="43" customFormat="1" ht="22" customHeight="1" spans="1:23">
      <c r="A676" s="142" t="s">
        <v>2516</v>
      </c>
      <c r="B676" s="174" t="s">
        <v>2221</v>
      </c>
      <c r="C676" s="175"/>
      <c r="D676" s="45" t="s">
        <v>31</v>
      </c>
      <c r="E676" s="45" t="s">
        <v>2390</v>
      </c>
      <c r="F676" s="82" t="str">
        <f>IFERROR(VLOOKUP(E676,客户!B:C,2,FALSE),"/")</f>
        <v>/</v>
      </c>
      <c r="G676" s="45" t="s">
        <v>566</v>
      </c>
      <c r="H676" s="45" t="s">
        <v>123</v>
      </c>
      <c r="I676" s="45" t="s">
        <v>312</v>
      </c>
      <c r="J676" s="110">
        <v>43642</v>
      </c>
      <c r="K676" s="93">
        <v>43687</v>
      </c>
      <c r="L676" s="93">
        <v>43725</v>
      </c>
      <c r="M676" s="200" t="s">
        <v>2517</v>
      </c>
      <c r="N676" s="110" t="s">
        <v>2518</v>
      </c>
      <c r="O676" s="108"/>
      <c r="P676" s="107">
        <v>39343</v>
      </c>
      <c r="Q676" s="107">
        <v>11000</v>
      </c>
      <c r="R676" s="129">
        <v>0</v>
      </c>
      <c r="S676" s="130"/>
      <c r="T676" s="107">
        <v>28343</v>
      </c>
      <c r="U676" s="93">
        <v>43718</v>
      </c>
      <c r="V676" s="128"/>
      <c r="W676" s="214"/>
    </row>
    <row r="677" s="43" customFormat="1" ht="22" customHeight="1" spans="1:23">
      <c r="A677" s="142" t="s">
        <v>2519</v>
      </c>
      <c r="B677" s="174" t="s">
        <v>2221</v>
      </c>
      <c r="C677" s="175"/>
      <c r="D677" s="45" t="s">
        <v>31</v>
      </c>
      <c r="E677" s="45" t="s">
        <v>2283</v>
      </c>
      <c r="F677" s="82" t="str">
        <f>IFERROR(VLOOKUP(E677,客户!B:C,2,FALSE),"/")</f>
        <v>J4159还差USD265.65没付齐 J4220还有定金5674.3 账上剩5408.65</v>
      </c>
      <c r="G677" s="45" t="s">
        <v>36</v>
      </c>
      <c r="H677" s="45" t="s">
        <v>123</v>
      </c>
      <c r="I677" s="45" t="s">
        <v>1840</v>
      </c>
      <c r="J677" s="110">
        <v>43690</v>
      </c>
      <c r="K677" s="93">
        <v>43747</v>
      </c>
      <c r="L677" s="93"/>
      <c r="M677" s="110" t="s">
        <v>2520</v>
      </c>
      <c r="N677" s="110" t="s">
        <v>2521</v>
      </c>
      <c r="O677" s="108"/>
      <c r="P677" s="288">
        <v>22122.598</v>
      </c>
      <c r="Q677" s="107">
        <v>5000</v>
      </c>
      <c r="R677" s="129"/>
      <c r="S677" s="130"/>
      <c r="T677" s="107">
        <v>17125.6</v>
      </c>
      <c r="U677" s="93">
        <v>43762</v>
      </c>
      <c r="V677" s="128"/>
      <c r="W677" s="214"/>
    </row>
    <row r="678" s="43" customFormat="1" ht="22" customHeight="1" spans="1:23">
      <c r="A678" s="142" t="s">
        <v>2522</v>
      </c>
      <c r="B678" s="174" t="s">
        <v>2221</v>
      </c>
      <c r="C678" s="175"/>
      <c r="D678" s="45" t="s">
        <v>31</v>
      </c>
      <c r="E678" s="229" t="s">
        <v>2523</v>
      </c>
      <c r="F678" s="82" t="str">
        <f>IFERROR(VLOOKUP(E678,客户!B:C,2,FALSE),"/")</f>
        <v>/</v>
      </c>
      <c r="G678" s="45" t="s">
        <v>91</v>
      </c>
      <c r="H678" s="45" t="s">
        <v>123</v>
      </c>
      <c r="I678" s="45" t="s">
        <v>1626</v>
      </c>
      <c r="J678" s="110">
        <v>43690</v>
      </c>
      <c r="K678" s="93">
        <v>43752</v>
      </c>
      <c r="L678" s="93">
        <v>43797</v>
      </c>
      <c r="M678" s="182" t="s">
        <v>2524</v>
      </c>
      <c r="N678" s="202" t="s">
        <v>2525</v>
      </c>
      <c r="O678" s="108" t="s">
        <v>523</v>
      </c>
      <c r="P678" s="107">
        <v>20151</v>
      </c>
      <c r="Q678" s="107">
        <v>3000</v>
      </c>
      <c r="R678" s="129"/>
      <c r="S678" s="130"/>
      <c r="T678" s="107">
        <v>17120.5</v>
      </c>
      <c r="U678" s="93">
        <v>43788</v>
      </c>
      <c r="V678" s="128"/>
      <c r="W678" s="214"/>
    </row>
    <row r="679" s="43" customFormat="1" ht="22" customHeight="1" spans="1:23">
      <c r="A679" s="143" t="s">
        <v>2526</v>
      </c>
      <c r="B679" s="174" t="s">
        <v>2221</v>
      </c>
      <c r="C679" s="175"/>
      <c r="D679" s="45" t="s">
        <v>31</v>
      </c>
      <c r="E679" s="45" t="s">
        <v>2336</v>
      </c>
      <c r="F679" s="82">
        <f>IFERROR(VLOOKUP(E679,客户!B:C,2,FALSE),"/")</f>
        <v>0</v>
      </c>
      <c r="G679" s="45" t="s">
        <v>36</v>
      </c>
      <c r="H679" s="45" t="s">
        <v>123</v>
      </c>
      <c r="I679" s="45" t="s">
        <v>241</v>
      </c>
      <c r="J679" s="110">
        <v>43697</v>
      </c>
      <c r="K679" s="93">
        <v>43766</v>
      </c>
      <c r="L679" s="93">
        <v>43818</v>
      </c>
      <c r="M679" s="179" t="s">
        <v>2527</v>
      </c>
      <c r="N679" s="110" t="s">
        <v>2528</v>
      </c>
      <c r="O679" s="108" t="s">
        <v>523</v>
      </c>
      <c r="P679" s="107">
        <v>22807.4</v>
      </c>
      <c r="Q679" s="107">
        <v>5000</v>
      </c>
      <c r="R679" s="129"/>
      <c r="S679" s="130"/>
      <c r="T679" s="107">
        <v>17774.5</v>
      </c>
      <c r="U679" s="93">
        <v>43801</v>
      </c>
      <c r="V679" s="128"/>
      <c r="W679" s="214"/>
    </row>
    <row r="680" s="43" customFormat="1" ht="22" customHeight="1" spans="1:23">
      <c r="A680" s="142" t="s">
        <v>2529</v>
      </c>
      <c r="B680" s="174" t="s">
        <v>2221</v>
      </c>
      <c r="C680" s="175"/>
      <c r="D680" s="45" t="s">
        <v>31</v>
      </c>
      <c r="E680" s="45" t="s">
        <v>2336</v>
      </c>
      <c r="F680" s="82">
        <f>IFERROR(VLOOKUP(E680,客户!B:C,2,FALSE),"/")</f>
        <v>0</v>
      </c>
      <c r="G680" s="45" t="s">
        <v>91</v>
      </c>
      <c r="H680" s="45" t="s">
        <v>123</v>
      </c>
      <c r="I680" s="45" t="s">
        <v>241</v>
      </c>
      <c r="J680" s="110">
        <v>43700</v>
      </c>
      <c r="K680" s="93">
        <v>43766</v>
      </c>
      <c r="L680" s="93">
        <v>43818</v>
      </c>
      <c r="M680" s="179" t="s">
        <v>2530</v>
      </c>
      <c r="N680" s="110" t="s">
        <v>2531</v>
      </c>
      <c r="O680" s="108" t="s">
        <v>523</v>
      </c>
      <c r="P680" s="107">
        <v>20438.45</v>
      </c>
      <c r="Q680" s="107">
        <v>5000</v>
      </c>
      <c r="R680" s="129"/>
      <c r="S680" s="130"/>
      <c r="T680" s="107">
        <v>15405.5</v>
      </c>
      <c r="U680" s="93">
        <v>43802</v>
      </c>
      <c r="V680" s="128"/>
      <c r="W680" s="214"/>
    </row>
    <row r="681" s="43" customFormat="1" ht="22" customHeight="1" spans="1:23">
      <c r="A681" s="190" t="s">
        <v>2532</v>
      </c>
      <c r="B681" s="270" t="s">
        <v>2221</v>
      </c>
      <c r="C681" s="271"/>
      <c r="D681" s="45" t="s">
        <v>31</v>
      </c>
      <c r="E681" s="45" t="s">
        <v>2533</v>
      </c>
      <c r="F681" s="82" t="str">
        <f>IFERROR(VLOOKUP(E681,客户!B:C,2,FALSE),"/")</f>
        <v>/</v>
      </c>
      <c r="G681" s="45" t="s">
        <v>2534</v>
      </c>
      <c r="H681" s="45"/>
      <c r="I681" s="45" t="s">
        <v>2535</v>
      </c>
      <c r="J681" s="110">
        <v>43720</v>
      </c>
      <c r="K681" s="93">
        <v>43730</v>
      </c>
      <c r="L681" s="93"/>
      <c r="M681" s="110" t="s">
        <v>2536</v>
      </c>
      <c r="N681" s="110" t="s">
        <v>2537</v>
      </c>
      <c r="O681" s="108"/>
      <c r="P681" s="107" t="s">
        <v>2538</v>
      </c>
      <c r="Q681" s="107" t="s">
        <v>2539</v>
      </c>
      <c r="R681" s="129"/>
      <c r="S681" s="130"/>
      <c r="T681" s="107"/>
      <c r="U681" s="93"/>
      <c r="V681" s="128"/>
      <c r="W681" s="214"/>
    </row>
    <row r="682" s="43" customFormat="1" ht="22" customHeight="1" spans="1:23">
      <c r="A682" s="142" t="s">
        <v>2540</v>
      </c>
      <c r="B682" s="174" t="s">
        <v>2221</v>
      </c>
      <c r="C682" s="175"/>
      <c r="D682" s="45" t="s">
        <v>31</v>
      </c>
      <c r="E682" s="45" t="s">
        <v>2336</v>
      </c>
      <c r="F682" s="82">
        <f>IFERROR(VLOOKUP(E682,客户!B:C,2,FALSE),"/")</f>
        <v>0</v>
      </c>
      <c r="G682" s="45" t="s">
        <v>1771</v>
      </c>
      <c r="H682" s="45" t="s">
        <v>123</v>
      </c>
      <c r="I682" s="45" t="s">
        <v>241</v>
      </c>
      <c r="J682" s="110">
        <v>43731</v>
      </c>
      <c r="K682" s="93">
        <v>43791</v>
      </c>
      <c r="L682" s="93">
        <v>43823</v>
      </c>
      <c r="M682" s="146" t="s">
        <v>2541</v>
      </c>
      <c r="N682" s="110" t="s">
        <v>2542</v>
      </c>
      <c r="O682" s="108" t="s">
        <v>523</v>
      </c>
      <c r="P682" s="107">
        <v>23555.68</v>
      </c>
      <c r="Q682" s="107">
        <v>5000</v>
      </c>
      <c r="R682" s="129"/>
      <c r="S682" s="130"/>
      <c r="T682" s="107">
        <v>18522.5</v>
      </c>
      <c r="U682" s="93">
        <v>43817</v>
      </c>
      <c r="V682" s="128"/>
      <c r="W682" s="214"/>
    </row>
    <row r="683" s="43" customFormat="1" ht="22" customHeight="1" spans="1:23">
      <c r="A683" s="142" t="s">
        <v>2543</v>
      </c>
      <c r="B683" s="174" t="s">
        <v>2221</v>
      </c>
      <c r="C683" s="175"/>
      <c r="D683" s="45" t="s">
        <v>31</v>
      </c>
      <c r="E683" s="45" t="s">
        <v>2336</v>
      </c>
      <c r="F683" s="82">
        <f>IFERROR(VLOOKUP(E683,客户!B:C,2,FALSE),"/")</f>
        <v>0</v>
      </c>
      <c r="G683" s="45" t="s">
        <v>1771</v>
      </c>
      <c r="H683" s="45" t="s">
        <v>123</v>
      </c>
      <c r="I683" s="45" t="s">
        <v>241</v>
      </c>
      <c r="J683" s="110">
        <v>43731</v>
      </c>
      <c r="K683" s="93">
        <v>43784</v>
      </c>
      <c r="L683" s="93">
        <v>43823</v>
      </c>
      <c r="M683" s="179" t="s">
        <v>2544</v>
      </c>
      <c r="N683" s="110" t="s">
        <v>2542</v>
      </c>
      <c r="O683" s="108" t="s">
        <v>523</v>
      </c>
      <c r="P683" s="107">
        <v>21781</v>
      </c>
      <c r="Q683" s="107">
        <v>5000</v>
      </c>
      <c r="R683" s="129"/>
      <c r="S683" s="130"/>
      <c r="T683" s="107">
        <v>16748.5</v>
      </c>
      <c r="U683" s="93">
        <v>43817</v>
      </c>
      <c r="V683" s="128"/>
      <c r="W683" s="214"/>
    </row>
    <row r="684" s="43" customFormat="1" ht="22" customHeight="1" spans="1:23">
      <c r="A684" s="142" t="s">
        <v>2545</v>
      </c>
      <c r="B684" s="174" t="s">
        <v>2221</v>
      </c>
      <c r="C684" s="175"/>
      <c r="D684" s="45" t="s">
        <v>31</v>
      </c>
      <c r="E684" s="45" t="s">
        <v>2546</v>
      </c>
      <c r="F684" s="82" t="str">
        <f>IFERROR(VLOOKUP(E684,客户!B:C,2,FALSE),"/")</f>
        <v>/</v>
      </c>
      <c r="G684" s="45" t="s">
        <v>2547</v>
      </c>
      <c r="H684" s="45" t="s">
        <v>186</v>
      </c>
      <c r="I684" s="45"/>
      <c r="J684" s="110">
        <v>43756</v>
      </c>
      <c r="K684" s="93"/>
      <c r="L684" s="93"/>
      <c r="M684" s="110"/>
      <c r="N684" s="110"/>
      <c r="O684" s="108"/>
      <c r="P684" s="107" t="s">
        <v>2548</v>
      </c>
      <c r="Q684" s="107" t="s">
        <v>1059</v>
      </c>
      <c r="R684" s="282"/>
      <c r="S684" s="130"/>
      <c r="T684" s="240">
        <v>77500</v>
      </c>
      <c r="U684" s="93">
        <v>43784</v>
      </c>
      <c r="V684" s="128"/>
      <c r="W684" s="214"/>
    </row>
    <row r="685" s="43" customFormat="1" ht="22" customHeight="1" spans="1:23">
      <c r="A685" s="142" t="s">
        <v>2549</v>
      </c>
      <c r="B685" s="174" t="s">
        <v>2221</v>
      </c>
      <c r="C685" s="175"/>
      <c r="D685" s="45" t="s">
        <v>31</v>
      </c>
      <c r="E685" s="45" t="s">
        <v>2550</v>
      </c>
      <c r="F685" s="82" t="str">
        <f>IFERROR(VLOOKUP(E685,客户!B:C,2,FALSE),"/")</f>
        <v>/</v>
      </c>
      <c r="G685" s="45" t="s">
        <v>2551</v>
      </c>
      <c r="H685" s="45" t="s">
        <v>186</v>
      </c>
      <c r="I685" s="45"/>
      <c r="J685" s="110">
        <v>43759</v>
      </c>
      <c r="K685" s="93">
        <v>43785</v>
      </c>
      <c r="L685" s="93"/>
      <c r="M685" s="146" t="s">
        <v>2552</v>
      </c>
      <c r="N685" s="110"/>
      <c r="O685" s="108" t="s">
        <v>970</v>
      </c>
      <c r="P685" s="107" t="s">
        <v>2553</v>
      </c>
      <c r="Q685" s="107" t="s">
        <v>2554</v>
      </c>
      <c r="R685" s="129"/>
      <c r="S685" s="130"/>
      <c r="T685" s="107" t="s">
        <v>2555</v>
      </c>
      <c r="U685" s="93"/>
      <c r="V685" s="128"/>
      <c r="W685" s="214"/>
    </row>
    <row r="686" s="43" customFormat="1" ht="22" customHeight="1" spans="1:23">
      <c r="A686" s="142" t="s">
        <v>2556</v>
      </c>
      <c r="B686" s="174" t="s">
        <v>2221</v>
      </c>
      <c r="C686" s="175"/>
      <c r="D686" s="45" t="s">
        <v>31</v>
      </c>
      <c r="E686" s="229" t="s">
        <v>2447</v>
      </c>
      <c r="F686" s="82">
        <f>IFERROR(VLOOKUP(E686,客户!B:C,2,FALSE),"/")</f>
        <v>0</v>
      </c>
      <c r="G686" s="45" t="s">
        <v>2557</v>
      </c>
      <c r="H686" s="45" t="s">
        <v>123</v>
      </c>
      <c r="I686" s="45" t="s">
        <v>2558</v>
      </c>
      <c r="J686" s="110">
        <v>43761</v>
      </c>
      <c r="K686" s="93">
        <v>43793</v>
      </c>
      <c r="L686" s="93">
        <v>43823</v>
      </c>
      <c r="M686" s="146" t="s">
        <v>2559</v>
      </c>
      <c r="N686" s="110" t="s">
        <v>2560</v>
      </c>
      <c r="O686" s="108" t="s">
        <v>523</v>
      </c>
      <c r="P686" s="107">
        <v>18166.65</v>
      </c>
      <c r="Q686" s="107">
        <v>10000</v>
      </c>
      <c r="R686" s="129"/>
      <c r="S686" s="130"/>
      <c r="T686" s="107" t="s">
        <v>2561</v>
      </c>
      <c r="U686" s="93">
        <v>43815</v>
      </c>
      <c r="V686" s="128"/>
      <c r="W686" s="214"/>
    </row>
    <row r="687" s="43" customFormat="1" ht="22" customHeight="1" spans="1:23">
      <c r="A687" s="142" t="s">
        <v>2562</v>
      </c>
      <c r="B687" s="174" t="s">
        <v>2221</v>
      </c>
      <c r="C687" s="175"/>
      <c r="D687" s="45" t="s">
        <v>31</v>
      </c>
      <c r="E687" s="229" t="s">
        <v>2563</v>
      </c>
      <c r="F687" s="82" t="str">
        <f>IFERROR(VLOOKUP(E687,客户!B:C,2,FALSE),"/")</f>
        <v>J4159还差USD265.65没付齐 J4220还有定金5674.3 账上剩5408.65</v>
      </c>
      <c r="G687" s="45" t="s">
        <v>36</v>
      </c>
      <c r="H687" s="45" t="s">
        <v>123</v>
      </c>
      <c r="I687" s="45" t="s">
        <v>1840</v>
      </c>
      <c r="J687" s="110">
        <v>43762</v>
      </c>
      <c r="K687" s="93">
        <v>43797</v>
      </c>
      <c r="L687" s="93">
        <v>43831</v>
      </c>
      <c r="M687" s="181" t="s">
        <v>2564</v>
      </c>
      <c r="N687" s="110" t="s">
        <v>2565</v>
      </c>
      <c r="O687" s="108" t="s">
        <v>523</v>
      </c>
      <c r="P687" s="107">
        <v>22717.76</v>
      </c>
      <c r="Q687" s="107">
        <v>5000</v>
      </c>
      <c r="R687" s="129">
        <v>0</v>
      </c>
      <c r="S687" s="130"/>
      <c r="T687" s="107">
        <v>17717.76</v>
      </c>
      <c r="U687" s="93">
        <v>43796</v>
      </c>
      <c r="V687" s="128"/>
      <c r="W687" s="214"/>
    </row>
    <row r="688" s="43" customFormat="1" ht="22" customHeight="1" spans="1:23">
      <c r="A688" s="142" t="s">
        <v>2566</v>
      </c>
      <c r="B688" s="174" t="s">
        <v>2221</v>
      </c>
      <c r="C688" s="175"/>
      <c r="D688" s="45" t="s">
        <v>31</v>
      </c>
      <c r="E688" s="229" t="s">
        <v>2567</v>
      </c>
      <c r="F688" s="82" t="str">
        <f>IFERROR(VLOOKUP(E688,客户!B:C,2,FALSE),"/")</f>
        <v>/</v>
      </c>
      <c r="G688" s="45" t="s">
        <v>2568</v>
      </c>
      <c r="H688" s="45" t="s">
        <v>123</v>
      </c>
      <c r="I688" s="45" t="s">
        <v>2569</v>
      </c>
      <c r="J688" s="110">
        <v>43770</v>
      </c>
      <c r="K688" s="93">
        <v>43806</v>
      </c>
      <c r="L688" s="93">
        <v>43844</v>
      </c>
      <c r="M688" s="146" t="s">
        <v>2570</v>
      </c>
      <c r="N688" s="110" t="s">
        <v>2571</v>
      </c>
      <c r="O688" s="108" t="s">
        <v>523</v>
      </c>
      <c r="P688" s="107">
        <v>54093.7</v>
      </c>
      <c r="Q688" s="107">
        <v>27000</v>
      </c>
      <c r="R688" s="129"/>
      <c r="S688" s="130"/>
      <c r="T688" s="107">
        <v>27093.7</v>
      </c>
      <c r="U688" s="93">
        <v>43839</v>
      </c>
      <c r="V688" s="128"/>
      <c r="W688" s="214"/>
    </row>
    <row r="689" s="43" customFormat="1" ht="22" customHeight="1" spans="1:23">
      <c r="A689" s="142" t="s">
        <v>2572</v>
      </c>
      <c r="B689" s="174" t="s">
        <v>2221</v>
      </c>
      <c r="C689" s="175"/>
      <c r="D689" s="45" t="s">
        <v>31</v>
      </c>
      <c r="E689" s="229" t="s">
        <v>2573</v>
      </c>
      <c r="F689" s="82">
        <f>IFERROR(VLOOKUP(E689,客户!B:C,2,FALSE),"/")</f>
        <v>0</v>
      </c>
      <c r="G689" s="45" t="s">
        <v>2574</v>
      </c>
      <c r="H689" s="45" t="s">
        <v>147</v>
      </c>
      <c r="I689" s="45" t="s">
        <v>947</v>
      </c>
      <c r="J689" s="110">
        <v>43790</v>
      </c>
      <c r="K689" s="93">
        <v>43820</v>
      </c>
      <c r="L689" s="93">
        <v>43836</v>
      </c>
      <c r="M689" s="110" t="s">
        <v>2575</v>
      </c>
      <c r="N689" s="110" t="s">
        <v>2576</v>
      </c>
      <c r="O689" s="108" t="s">
        <v>523</v>
      </c>
      <c r="P689" s="107">
        <v>20020.58</v>
      </c>
      <c r="Q689" s="107">
        <f>P689-R689</f>
        <v>20020.58</v>
      </c>
      <c r="R689" s="129"/>
      <c r="S689" s="130"/>
      <c r="T689" s="107">
        <v>13993.08</v>
      </c>
      <c r="U689" s="93">
        <v>43829</v>
      </c>
      <c r="V689" s="128"/>
      <c r="W689" s="214"/>
    </row>
    <row r="690" s="43" customFormat="1" ht="22" customHeight="1" spans="1:23">
      <c r="A690" s="142" t="s">
        <v>2577</v>
      </c>
      <c r="B690" s="174" t="s">
        <v>2221</v>
      </c>
      <c r="C690" s="175"/>
      <c r="D690" s="45" t="s">
        <v>31</v>
      </c>
      <c r="E690" s="45" t="s">
        <v>2307</v>
      </c>
      <c r="F690" s="82" t="str">
        <f>IFERROR(VLOOKUP(E690,客户!B:C,2,FALSE),"/")</f>
        <v>/</v>
      </c>
      <c r="G690" s="45" t="s">
        <v>2578</v>
      </c>
      <c r="H690" s="45" t="s">
        <v>123</v>
      </c>
      <c r="I690" s="45" t="s">
        <v>2579</v>
      </c>
      <c r="J690" s="110">
        <v>43790</v>
      </c>
      <c r="K690" s="93">
        <v>43813</v>
      </c>
      <c r="L690" s="93">
        <v>43844</v>
      </c>
      <c r="M690" s="146" t="s">
        <v>2580</v>
      </c>
      <c r="N690" s="110" t="s">
        <v>2581</v>
      </c>
      <c r="O690" s="108" t="s">
        <v>523</v>
      </c>
      <c r="P690" s="107">
        <v>38063.28</v>
      </c>
      <c r="Q690" s="107">
        <v>10000</v>
      </c>
      <c r="R690" s="129"/>
      <c r="S690" s="130"/>
      <c r="T690" s="107">
        <v>28063.28</v>
      </c>
      <c r="U690" s="93">
        <v>43839</v>
      </c>
      <c r="V690" s="128"/>
      <c r="W690" s="214"/>
    </row>
    <row r="691" s="43" customFormat="1" ht="22" customHeight="1" spans="1:23">
      <c r="A691" s="142" t="s">
        <v>2582</v>
      </c>
      <c r="B691" s="174" t="s">
        <v>2221</v>
      </c>
      <c r="C691" s="175"/>
      <c r="D691" s="45" t="s">
        <v>31</v>
      </c>
      <c r="E691" s="45" t="s">
        <v>2583</v>
      </c>
      <c r="F691" s="82" t="str">
        <f>IFERROR(VLOOKUP(E691,客户!B:C,2,FALSE),"/")</f>
        <v>/</v>
      </c>
      <c r="G691" s="45" t="s">
        <v>2584</v>
      </c>
      <c r="H691" s="45" t="s">
        <v>186</v>
      </c>
      <c r="I691" s="45"/>
      <c r="J691" s="110">
        <v>43791</v>
      </c>
      <c r="K691" s="93">
        <v>43804</v>
      </c>
      <c r="L691" s="93"/>
      <c r="M691" s="110" t="s">
        <v>2585</v>
      </c>
      <c r="N691" s="110"/>
      <c r="O691" s="108" t="s">
        <v>970</v>
      </c>
      <c r="P691" s="107" t="s">
        <v>2586</v>
      </c>
      <c r="Q691" s="107" t="s">
        <v>2587</v>
      </c>
      <c r="R691" s="129"/>
      <c r="S691" s="130"/>
      <c r="T691" s="107" t="s">
        <v>2588</v>
      </c>
      <c r="U691" s="93">
        <v>43804</v>
      </c>
      <c r="V691" s="128"/>
      <c r="W691" s="214"/>
    </row>
    <row r="692" s="43" customFormat="1" ht="22" customHeight="1" spans="1:23">
      <c r="A692" s="142" t="s">
        <v>2589</v>
      </c>
      <c r="B692" s="174" t="s">
        <v>2221</v>
      </c>
      <c r="C692" s="175"/>
      <c r="D692" s="45" t="s">
        <v>31</v>
      </c>
      <c r="E692" s="45" t="s">
        <v>2283</v>
      </c>
      <c r="F692" s="82" t="str">
        <f>IFERROR(VLOOKUP(E692,客户!B:C,2,FALSE),"/")</f>
        <v>J4159还差USD265.65没付齐 J4220还有定金5674.3 账上剩5408.65</v>
      </c>
      <c r="G692" s="45" t="s">
        <v>36</v>
      </c>
      <c r="H692" s="45" t="s">
        <v>123</v>
      </c>
      <c r="I692" s="45" t="s">
        <v>1840</v>
      </c>
      <c r="J692" s="110">
        <v>43795</v>
      </c>
      <c r="K692" s="93">
        <v>43831</v>
      </c>
      <c r="L692" s="93">
        <v>43866</v>
      </c>
      <c r="M692" s="110" t="s">
        <v>2590</v>
      </c>
      <c r="N692" s="110" t="s">
        <v>2591</v>
      </c>
      <c r="O692" s="108" t="s">
        <v>523</v>
      </c>
      <c r="P692" s="107">
        <v>22763.71</v>
      </c>
      <c r="Q692" s="107">
        <v>7000</v>
      </c>
      <c r="R692" s="129"/>
      <c r="S692" s="130"/>
      <c r="T692" s="107">
        <v>15753.71</v>
      </c>
      <c r="U692" s="93">
        <v>43840</v>
      </c>
      <c r="V692" s="128"/>
      <c r="W692" s="214"/>
    </row>
    <row r="693" s="43" customFormat="1" ht="22" customHeight="1" spans="1:23">
      <c r="A693" s="142" t="s">
        <v>2592</v>
      </c>
      <c r="B693" s="174" t="s">
        <v>2221</v>
      </c>
      <c r="C693" s="175"/>
      <c r="D693" s="45" t="s">
        <v>31</v>
      </c>
      <c r="E693" s="45" t="s">
        <v>2593</v>
      </c>
      <c r="F693" s="82" t="str">
        <f>IFERROR(VLOOKUP(E693,客户!B:C,2,FALSE),"/")</f>
        <v>/</v>
      </c>
      <c r="G693" s="45" t="s">
        <v>2594</v>
      </c>
      <c r="H693" s="45" t="s">
        <v>123</v>
      </c>
      <c r="I693" s="45" t="s">
        <v>241</v>
      </c>
      <c r="J693" s="110">
        <v>43808</v>
      </c>
      <c r="K693" s="93">
        <v>43855</v>
      </c>
      <c r="L693" s="93">
        <v>43916</v>
      </c>
      <c r="M693" s="110" t="s">
        <v>2595</v>
      </c>
      <c r="N693" s="202" t="s">
        <v>2596</v>
      </c>
      <c r="O693" s="108" t="s">
        <v>523</v>
      </c>
      <c r="P693" s="107">
        <v>41064</v>
      </c>
      <c r="Q693" s="107">
        <v>7700</v>
      </c>
      <c r="R693" s="129"/>
      <c r="S693" s="130"/>
      <c r="T693" s="107">
        <v>33314.17</v>
      </c>
      <c r="U693" s="93">
        <v>43896</v>
      </c>
      <c r="V693" s="128"/>
      <c r="W693" s="214"/>
    </row>
    <row r="694" s="43" customFormat="1" ht="22" customHeight="1" spans="1:23">
      <c r="A694" s="142" t="s">
        <v>2597</v>
      </c>
      <c r="B694" s="174" t="s">
        <v>2221</v>
      </c>
      <c r="C694" s="175"/>
      <c r="D694" s="45" t="s">
        <v>31</v>
      </c>
      <c r="E694" s="83" t="s">
        <v>1508</v>
      </c>
      <c r="F694" s="82">
        <f>IFERROR(VLOOKUP(E694,客户!B:C,2,FALSE),"/")</f>
        <v>0</v>
      </c>
      <c r="G694" s="45" t="s">
        <v>941</v>
      </c>
      <c r="H694" s="45" t="s">
        <v>123</v>
      </c>
      <c r="I694" s="45" t="s">
        <v>2598</v>
      </c>
      <c r="J694" s="110">
        <v>43839</v>
      </c>
      <c r="K694" s="93">
        <v>43931</v>
      </c>
      <c r="L694" s="93">
        <v>43974</v>
      </c>
      <c r="M694" s="165" t="s">
        <v>2599</v>
      </c>
      <c r="N694" s="202" t="s">
        <v>2600</v>
      </c>
      <c r="O694" s="108" t="s">
        <v>523</v>
      </c>
      <c r="P694" s="107">
        <v>21593.725</v>
      </c>
      <c r="Q694" s="107">
        <v>5000</v>
      </c>
      <c r="R694" s="129"/>
      <c r="S694" s="130"/>
      <c r="T694" s="107">
        <v>16593.73</v>
      </c>
      <c r="U694" s="93"/>
      <c r="V694" s="219" t="s">
        <v>2601</v>
      </c>
      <c r="W694" s="214"/>
    </row>
    <row r="695" s="43" customFormat="1" ht="22" customHeight="1" spans="1:23">
      <c r="A695" s="142" t="s">
        <v>2602</v>
      </c>
      <c r="B695" s="174" t="s">
        <v>2221</v>
      </c>
      <c r="C695" s="175"/>
      <c r="D695" s="45" t="s">
        <v>31</v>
      </c>
      <c r="E695" s="83" t="s">
        <v>2603</v>
      </c>
      <c r="F695" s="82">
        <f>IFERROR(VLOOKUP(E695,客户!B:C,2,FALSE),"/")</f>
        <v>0</v>
      </c>
      <c r="G695" s="45" t="s">
        <v>2604</v>
      </c>
      <c r="H695" s="229" t="s">
        <v>970</v>
      </c>
      <c r="I695" s="45"/>
      <c r="J695" s="110">
        <v>43850</v>
      </c>
      <c r="K695" s="93">
        <v>44009</v>
      </c>
      <c r="L695" s="93"/>
      <c r="M695" s="165" t="s">
        <v>2605</v>
      </c>
      <c r="N695" s="202" t="s">
        <v>2606</v>
      </c>
      <c r="O695" s="108" t="s">
        <v>970</v>
      </c>
      <c r="P695" s="240">
        <v>177701.48</v>
      </c>
      <c r="Q695" s="240">
        <v>45000</v>
      </c>
      <c r="R695" s="129"/>
      <c r="S695" s="130"/>
      <c r="T695" s="240">
        <f>50000+82701</f>
        <v>132701</v>
      </c>
      <c r="U695" s="93"/>
      <c r="V695" s="128"/>
      <c r="W695" s="214"/>
    </row>
    <row r="696" s="43" customFormat="1" ht="22" customHeight="1" spans="1:23">
      <c r="A696" s="142" t="s">
        <v>2607</v>
      </c>
      <c r="B696" s="174" t="s">
        <v>2221</v>
      </c>
      <c r="C696" s="175"/>
      <c r="D696" s="45" t="s">
        <v>31</v>
      </c>
      <c r="E696" s="229" t="s">
        <v>2563</v>
      </c>
      <c r="F696" s="82" t="str">
        <f>IFERROR(VLOOKUP(E696,客户!B:C,2,FALSE),"/")</f>
        <v>J4159还差USD265.65没付齐 J4220还有定金5674.3 账上剩5408.65</v>
      </c>
      <c r="G696" s="45" t="s">
        <v>36</v>
      </c>
      <c r="H696" s="45" t="s">
        <v>154</v>
      </c>
      <c r="I696" s="45" t="s">
        <v>1346</v>
      </c>
      <c r="J696" s="110">
        <v>43867</v>
      </c>
      <c r="K696" s="93">
        <v>43915</v>
      </c>
      <c r="L696" s="93">
        <v>43950</v>
      </c>
      <c r="M696" s="165" t="s">
        <v>2608</v>
      </c>
      <c r="N696" s="110" t="s">
        <v>1842</v>
      </c>
      <c r="O696" s="108" t="s">
        <v>523</v>
      </c>
      <c r="P696" s="107">
        <v>20156.83</v>
      </c>
      <c r="Q696" s="107">
        <v>3000</v>
      </c>
      <c r="R696" s="129"/>
      <c r="S696" s="130"/>
      <c r="T696" s="107">
        <f>3000+14146.83</f>
        <v>17146.83</v>
      </c>
      <c r="U696" s="93"/>
      <c r="V696" s="247" t="s">
        <v>2609</v>
      </c>
      <c r="W696" s="214"/>
    </row>
    <row r="697" s="43" customFormat="1" ht="22" customHeight="1" spans="1:23">
      <c r="A697" s="142" t="s">
        <v>2610</v>
      </c>
      <c r="B697" s="174" t="s">
        <v>2221</v>
      </c>
      <c r="C697" s="175"/>
      <c r="D697" s="45" t="s">
        <v>31</v>
      </c>
      <c r="E697" s="83" t="s">
        <v>1508</v>
      </c>
      <c r="F697" s="82">
        <f>IFERROR(VLOOKUP(E697,客户!B:C,2,FALSE),"/")</f>
        <v>0</v>
      </c>
      <c r="G697" s="45" t="s">
        <v>2611</v>
      </c>
      <c r="H697" s="45" t="s">
        <v>123</v>
      </c>
      <c r="I697" s="45" t="s">
        <v>2612</v>
      </c>
      <c r="J697" s="110">
        <v>43871</v>
      </c>
      <c r="K697" s="93">
        <v>43945</v>
      </c>
      <c r="L697" s="93">
        <v>43986</v>
      </c>
      <c r="M697" s="165" t="s">
        <v>2613</v>
      </c>
      <c r="N697" s="202" t="s">
        <v>2614</v>
      </c>
      <c r="O697" s="108" t="s">
        <v>523</v>
      </c>
      <c r="P697" s="107">
        <v>57975</v>
      </c>
      <c r="Q697" s="107">
        <v>16000</v>
      </c>
      <c r="R697" s="129"/>
      <c r="S697" s="130"/>
      <c r="T697" s="107">
        <v>41943</v>
      </c>
      <c r="U697" s="93"/>
      <c r="V697" s="244" t="s">
        <v>2615</v>
      </c>
      <c r="W697" s="214"/>
    </row>
    <row r="698" s="43" customFormat="1" ht="22" customHeight="1" spans="1:23">
      <c r="A698" s="142" t="s">
        <v>2616</v>
      </c>
      <c r="B698" s="174" t="s">
        <v>2221</v>
      </c>
      <c r="C698" s="175"/>
      <c r="D698" s="45" t="s">
        <v>31</v>
      </c>
      <c r="E698" s="83" t="s">
        <v>2617</v>
      </c>
      <c r="F698" s="82">
        <f>IFERROR(VLOOKUP(E698,客户!B:C,2,FALSE),"/")</f>
        <v>0</v>
      </c>
      <c r="G698" s="45" t="s">
        <v>2618</v>
      </c>
      <c r="H698" s="45" t="s">
        <v>123</v>
      </c>
      <c r="I698" s="45" t="s">
        <v>2619</v>
      </c>
      <c r="J698" s="110">
        <v>43884</v>
      </c>
      <c r="K698" s="93">
        <v>43962</v>
      </c>
      <c r="L698" s="93">
        <v>43997</v>
      </c>
      <c r="M698" s="165" t="s">
        <v>2620</v>
      </c>
      <c r="N698" s="202" t="s">
        <v>2621</v>
      </c>
      <c r="O698" s="108" t="s">
        <v>523</v>
      </c>
      <c r="P698" s="107">
        <v>22826</v>
      </c>
      <c r="Q698" s="107">
        <v>3000</v>
      </c>
      <c r="R698" s="129"/>
      <c r="S698" s="130"/>
      <c r="T698" s="107">
        <v>19795.5</v>
      </c>
      <c r="U698" s="93"/>
      <c r="V698" s="244" t="s">
        <v>2622</v>
      </c>
      <c r="W698" s="214"/>
    </row>
    <row r="699" s="43" customFormat="1" ht="22" customHeight="1" spans="1:23">
      <c r="A699" s="142" t="s">
        <v>2623</v>
      </c>
      <c r="B699" s="174" t="s">
        <v>2221</v>
      </c>
      <c r="C699" s="175"/>
      <c r="D699" s="45" t="s">
        <v>31</v>
      </c>
      <c r="E699" s="83" t="s">
        <v>2617</v>
      </c>
      <c r="F699" s="82">
        <f>IFERROR(VLOOKUP(E699,客户!B:C,2,FALSE),"/")</f>
        <v>0</v>
      </c>
      <c r="G699" s="45" t="s">
        <v>2624</v>
      </c>
      <c r="H699" s="45" t="s">
        <v>123</v>
      </c>
      <c r="I699" s="45" t="s">
        <v>2625</v>
      </c>
      <c r="J699" s="110">
        <v>43884</v>
      </c>
      <c r="K699" s="93">
        <v>43981</v>
      </c>
      <c r="L699" s="93">
        <v>44011</v>
      </c>
      <c r="M699" s="202" t="s">
        <v>2626</v>
      </c>
      <c r="N699" s="202" t="s">
        <v>2627</v>
      </c>
      <c r="O699" s="108" t="s">
        <v>523</v>
      </c>
      <c r="P699" s="107">
        <v>15277.72</v>
      </c>
      <c r="Q699" s="107">
        <v>3000</v>
      </c>
      <c r="R699" s="129"/>
      <c r="S699" s="130"/>
      <c r="T699" s="107">
        <v>12239.72</v>
      </c>
      <c r="U699" s="93"/>
      <c r="V699" s="244" t="s">
        <v>2628</v>
      </c>
      <c r="W699" s="214"/>
    </row>
    <row r="700" s="43" customFormat="1" ht="22" customHeight="1" spans="1:23">
      <c r="A700" s="142" t="s">
        <v>2629</v>
      </c>
      <c r="B700" s="174" t="s">
        <v>2221</v>
      </c>
      <c r="C700" s="175"/>
      <c r="D700" s="45" t="s">
        <v>31</v>
      </c>
      <c r="E700" s="83" t="s">
        <v>2630</v>
      </c>
      <c r="F700" s="82">
        <f>IFERROR(VLOOKUP(E700,客户!B:C,2,FALSE),"/")</f>
        <v>0</v>
      </c>
      <c r="G700" s="229" t="s">
        <v>2631</v>
      </c>
      <c r="H700" s="45" t="s">
        <v>123</v>
      </c>
      <c r="I700" s="45" t="s">
        <v>2395</v>
      </c>
      <c r="J700" s="110">
        <v>43884</v>
      </c>
      <c r="K700" s="93">
        <v>43947</v>
      </c>
      <c r="L700" s="93">
        <v>43985</v>
      </c>
      <c r="M700" s="202" t="s">
        <v>2632</v>
      </c>
      <c r="N700" s="202" t="s">
        <v>2633</v>
      </c>
      <c r="O700" s="108" t="s">
        <v>523</v>
      </c>
      <c r="P700" s="107">
        <v>7138.8</v>
      </c>
      <c r="Q700" s="107">
        <v>4000</v>
      </c>
      <c r="R700" s="129"/>
      <c r="S700" s="130"/>
      <c r="T700" s="107">
        <v>3128.8</v>
      </c>
      <c r="U700" s="93"/>
      <c r="V700" s="247" t="s">
        <v>2634</v>
      </c>
      <c r="W700" s="214"/>
    </row>
    <row r="701" s="43" customFormat="1" ht="22" customHeight="1" spans="1:23">
      <c r="A701" s="220" t="s">
        <v>2635</v>
      </c>
      <c r="B701" s="174" t="s">
        <v>2221</v>
      </c>
      <c r="C701" s="175"/>
      <c r="D701" s="45" t="s">
        <v>31</v>
      </c>
      <c r="E701" s="83" t="s">
        <v>2636</v>
      </c>
      <c r="F701" s="82">
        <f>IFERROR(VLOOKUP(E701,客户!B:C,2,FALSE),"/")</f>
        <v>0</v>
      </c>
      <c r="G701" s="45" t="s">
        <v>2637</v>
      </c>
      <c r="H701" s="45" t="s">
        <v>147</v>
      </c>
      <c r="I701" s="45" t="s">
        <v>2638</v>
      </c>
      <c r="J701" s="110">
        <v>43885</v>
      </c>
      <c r="K701" s="93">
        <v>44058</v>
      </c>
      <c r="L701" s="93">
        <v>44074</v>
      </c>
      <c r="M701" s="165" t="s">
        <v>2639</v>
      </c>
      <c r="N701" s="202" t="s">
        <v>2640</v>
      </c>
      <c r="O701" s="108" t="s">
        <v>523</v>
      </c>
      <c r="P701" s="107">
        <v>20069.6</v>
      </c>
      <c r="Q701" s="107">
        <v>6000</v>
      </c>
      <c r="R701" s="129"/>
      <c r="S701" s="130"/>
      <c r="T701" s="107">
        <v>14069.6</v>
      </c>
      <c r="U701" s="93"/>
      <c r="V701" s="128"/>
      <c r="W701" s="214"/>
    </row>
    <row r="702" s="43" customFormat="1" ht="23" customHeight="1" spans="1:23">
      <c r="A702" s="220" t="s">
        <v>2641</v>
      </c>
      <c r="B702" s="174" t="s">
        <v>2221</v>
      </c>
      <c r="C702" s="175"/>
      <c r="D702" s="45" t="s">
        <v>31</v>
      </c>
      <c r="E702" s="84" t="s">
        <v>2642</v>
      </c>
      <c r="F702" s="82">
        <f>IFERROR(VLOOKUP(E702,客户!B:C,2,FALSE),"/")</f>
        <v>0</v>
      </c>
      <c r="G702" s="45" t="s">
        <v>2643</v>
      </c>
      <c r="H702" s="45" t="s">
        <v>123</v>
      </c>
      <c r="I702" s="45" t="s">
        <v>2558</v>
      </c>
      <c r="J702" s="110">
        <v>43892</v>
      </c>
      <c r="K702" s="93">
        <v>43994</v>
      </c>
      <c r="L702" s="93">
        <v>44040</v>
      </c>
      <c r="M702" s="202" t="s">
        <v>2644</v>
      </c>
      <c r="N702" s="202" t="s">
        <v>2645</v>
      </c>
      <c r="O702" s="108" t="s">
        <v>523</v>
      </c>
      <c r="P702" s="107">
        <v>19449.85</v>
      </c>
      <c r="Q702" s="107">
        <f>4000+5000+5000+1833</f>
        <v>15833</v>
      </c>
      <c r="R702" s="129"/>
      <c r="S702" s="130"/>
      <c r="T702" s="107">
        <v>3616.9</v>
      </c>
      <c r="U702" s="93"/>
      <c r="V702" s="244" t="s">
        <v>2646</v>
      </c>
      <c r="W702" s="214"/>
    </row>
    <row r="703" s="43" customFormat="1" ht="22" customHeight="1" spans="1:23">
      <c r="A703" s="142" t="s">
        <v>2647</v>
      </c>
      <c r="B703" s="174" t="s">
        <v>2221</v>
      </c>
      <c r="C703" s="175"/>
      <c r="D703" s="45" t="s">
        <v>31</v>
      </c>
      <c r="E703" s="83" t="s">
        <v>2501</v>
      </c>
      <c r="F703" s="82">
        <f>IFERROR(VLOOKUP(E703,客户!B:C,2,FALSE),"/")</f>
        <v>0</v>
      </c>
      <c r="G703" s="45" t="s">
        <v>2648</v>
      </c>
      <c r="H703" s="45" t="s">
        <v>127</v>
      </c>
      <c r="I703" s="45" t="s">
        <v>2649</v>
      </c>
      <c r="J703" s="110">
        <v>43896</v>
      </c>
      <c r="K703" s="93">
        <v>43981</v>
      </c>
      <c r="L703" s="93">
        <v>44043</v>
      </c>
      <c r="M703" s="202" t="s">
        <v>2650</v>
      </c>
      <c r="N703" s="202" t="s">
        <v>2651</v>
      </c>
      <c r="O703" s="108" t="s">
        <v>523</v>
      </c>
      <c r="P703" s="107">
        <v>76895.73</v>
      </c>
      <c r="Q703" s="107"/>
      <c r="R703" s="129"/>
      <c r="S703" s="130"/>
      <c r="T703" s="107">
        <v>76895.73</v>
      </c>
      <c r="U703" s="93"/>
      <c r="V703" s="219" t="s">
        <v>2652</v>
      </c>
      <c r="W703" s="214"/>
    </row>
    <row r="704" s="43" customFormat="1" ht="22" customHeight="1" spans="1:23">
      <c r="A704" s="142" t="s">
        <v>2653</v>
      </c>
      <c r="B704" s="174" t="s">
        <v>2221</v>
      </c>
      <c r="C704" s="175"/>
      <c r="D704" s="45" t="s">
        <v>31</v>
      </c>
      <c r="E704" s="83" t="s">
        <v>1508</v>
      </c>
      <c r="F704" s="82">
        <f>IFERROR(VLOOKUP(E704,客户!B:C,2,FALSE),"/")</f>
        <v>0</v>
      </c>
      <c r="G704" s="45" t="s">
        <v>43</v>
      </c>
      <c r="H704" s="45" t="s">
        <v>123</v>
      </c>
      <c r="I704" s="45" t="s">
        <v>2347</v>
      </c>
      <c r="J704" s="110">
        <v>43907</v>
      </c>
      <c r="K704" s="93">
        <v>43946</v>
      </c>
      <c r="L704" s="93">
        <v>43982</v>
      </c>
      <c r="M704" s="164" t="s">
        <v>2654</v>
      </c>
      <c r="N704" s="202" t="s">
        <v>2655</v>
      </c>
      <c r="O704" s="108" t="s">
        <v>523</v>
      </c>
      <c r="P704" s="107">
        <v>21372.2</v>
      </c>
      <c r="Q704" s="107">
        <v>5000</v>
      </c>
      <c r="R704" s="129"/>
      <c r="S704" s="130"/>
      <c r="T704" s="107">
        <v>16340</v>
      </c>
      <c r="U704" s="93"/>
      <c r="V704" s="244" t="s">
        <v>2656</v>
      </c>
      <c r="W704" s="214"/>
    </row>
    <row r="705" s="43" customFormat="1" ht="22" customHeight="1" spans="1:23">
      <c r="A705" s="142" t="s">
        <v>2657</v>
      </c>
      <c r="B705" s="174" t="s">
        <v>2221</v>
      </c>
      <c r="C705" s="175"/>
      <c r="D705" s="45" t="s">
        <v>31</v>
      </c>
      <c r="E705" s="83" t="s">
        <v>1508</v>
      </c>
      <c r="F705" s="82">
        <f>IFERROR(VLOOKUP(E705,客户!B:C,2,FALSE),"/")</f>
        <v>0</v>
      </c>
      <c r="G705" s="45" t="s">
        <v>2658</v>
      </c>
      <c r="H705" s="45" t="s">
        <v>123</v>
      </c>
      <c r="I705" s="45" t="s">
        <v>2659</v>
      </c>
      <c r="J705" s="110">
        <v>43927</v>
      </c>
      <c r="K705" s="93">
        <v>43995</v>
      </c>
      <c r="L705" s="93">
        <v>44027</v>
      </c>
      <c r="M705" s="165" t="s">
        <v>2660</v>
      </c>
      <c r="N705" s="202" t="s">
        <v>2661</v>
      </c>
      <c r="O705" s="108" t="s">
        <v>523</v>
      </c>
      <c r="P705" s="107">
        <v>39270.4</v>
      </c>
      <c r="Q705" s="107">
        <v>8550</v>
      </c>
      <c r="R705" s="129"/>
      <c r="S705" s="130"/>
      <c r="T705" s="107">
        <v>30679</v>
      </c>
      <c r="U705" s="93"/>
      <c r="V705" s="244" t="s">
        <v>2662</v>
      </c>
      <c r="W705" s="214"/>
    </row>
    <row r="706" s="43" customFormat="1" ht="22" customHeight="1" spans="1:23">
      <c r="A706" s="142" t="s">
        <v>2663</v>
      </c>
      <c r="B706" s="174" t="s">
        <v>2221</v>
      </c>
      <c r="C706" s="175"/>
      <c r="D706" s="45" t="s">
        <v>31</v>
      </c>
      <c r="E706" s="83" t="s">
        <v>1508</v>
      </c>
      <c r="F706" s="82">
        <f>IFERROR(VLOOKUP(E706,客户!B:C,2,FALSE),"/")</f>
        <v>0</v>
      </c>
      <c r="G706" s="45" t="s">
        <v>2658</v>
      </c>
      <c r="H706" s="45" t="s">
        <v>123</v>
      </c>
      <c r="I706" s="45" t="s">
        <v>2659</v>
      </c>
      <c r="J706" s="110">
        <v>43927</v>
      </c>
      <c r="K706" s="93">
        <v>44002</v>
      </c>
      <c r="L706" s="93">
        <v>44034</v>
      </c>
      <c r="M706" s="165" t="s">
        <v>2664</v>
      </c>
      <c r="N706" s="202" t="s">
        <v>2665</v>
      </c>
      <c r="O706" s="108" t="s">
        <v>523</v>
      </c>
      <c r="P706" s="107">
        <v>39260.35</v>
      </c>
      <c r="Q706" s="107">
        <v>8550</v>
      </c>
      <c r="R706" s="129"/>
      <c r="S706" s="130"/>
      <c r="T706" s="107">
        <v>30669</v>
      </c>
      <c r="U706" s="93"/>
      <c r="V706" s="247" t="s">
        <v>2666</v>
      </c>
      <c r="W706" s="214"/>
    </row>
    <row r="707" s="43" customFormat="1" ht="22" customHeight="1" spans="1:23">
      <c r="A707" s="143" t="s">
        <v>2667</v>
      </c>
      <c r="B707" s="174" t="s">
        <v>2221</v>
      </c>
      <c r="C707" s="175"/>
      <c r="D707" s="45" t="s">
        <v>31</v>
      </c>
      <c r="E707" s="83" t="s">
        <v>1508</v>
      </c>
      <c r="F707" s="82">
        <f>IFERROR(VLOOKUP(E707,客户!B:C,2,FALSE),"/")</f>
        <v>0</v>
      </c>
      <c r="G707" s="45" t="s">
        <v>1759</v>
      </c>
      <c r="H707" s="45" t="s">
        <v>123</v>
      </c>
      <c r="I707" s="45" t="s">
        <v>2668</v>
      </c>
      <c r="J707" s="110">
        <v>43927</v>
      </c>
      <c r="K707" s="93">
        <v>43991</v>
      </c>
      <c r="L707" s="93">
        <v>44027</v>
      </c>
      <c r="M707" s="165" t="s">
        <v>2669</v>
      </c>
      <c r="N707" s="202" t="s">
        <v>2670</v>
      </c>
      <c r="O707" s="108" t="s">
        <v>523</v>
      </c>
      <c r="P707" s="107">
        <v>16120</v>
      </c>
      <c r="Q707" s="107">
        <v>4300</v>
      </c>
      <c r="R707" s="129"/>
      <c r="S707" s="130"/>
      <c r="T707" s="107">
        <v>11820</v>
      </c>
      <c r="U707" s="93"/>
      <c r="V707" s="301" t="s">
        <v>2671</v>
      </c>
      <c r="W707" s="214"/>
    </row>
    <row r="708" s="43" customFormat="1" ht="22" customHeight="1" spans="1:23">
      <c r="A708" s="142" t="s">
        <v>2672</v>
      </c>
      <c r="B708" s="174" t="s">
        <v>2221</v>
      </c>
      <c r="C708" s="175"/>
      <c r="D708" s="45" t="s">
        <v>31</v>
      </c>
      <c r="E708" s="83" t="s">
        <v>1508</v>
      </c>
      <c r="F708" s="82"/>
      <c r="G708" s="45" t="s">
        <v>1455</v>
      </c>
      <c r="H708" s="45" t="s">
        <v>123</v>
      </c>
      <c r="I708" s="45" t="s">
        <v>2673</v>
      </c>
      <c r="J708" s="110">
        <v>43927</v>
      </c>
      <c r="K708" s="93">
        <v>43967</v>
      </c>
      <c r="L708" s="93">
        <v>44007</v>
      </c>
      <c r="M708" s="165" t="s">
        <v>2674</v>
      </c>
      <c r="N708" s="202" t="s">
        <v>2675</v>
      </c>
      <c r="O708" s="108" t="s">
        <v>523</v>
      </c>
      <c r="P708" s="107">
        <v>38353.6</v>
      </c>
      <c r="Q708" s="107">
        <v>8600</v>
      </c>
      <c r="R708" s="129"/>
      <c r="S708" s="130"/>
      <c r="T708" s="107">
        <v>29712</v>
      </c>
      <c r="U708" s="93"/>
      <c r="V708" s="244" t="s">
        <v>2676</v>
      </c>
      <c r="W708" s="214"/>
    </row>
    <row r="709" s="43" customFormat="1" ht="22" customHeight="1" spans="1:23">
      <c r="A709" s="142" t="s">
        <v>2677</v>
      </c>
      <c r="B709" s="174" t="s">
        <v>2221</v>
      </c>
      <c r="C709" s="175"/>
      <c r="D709" s="45" t="s">
        <v>31</v>
      </c>
      <c r="E709" s="83" t="s">
        <v>2678</v>
      </c>
      <c r="F709" s="82">
        <f>IFERROR(VLOOKUP(E709,客户!B:C,2,FALSE),"/")</f>
        <v>0</v>
      </c>
      <c r="G709" s="45" t="s">
        <v>2679</v>
      </c>
      <c r="H709" s="45"/>
      <c r="I709" s="45"/>
      <c r="J709" s="110">
        <v>43929</v>
      </c>
      <c r="K709" s="93">
        <v>43946</v>
      </c>
      <c r="L709" s="93"/>
      <c r="M709" s="202" t="s">
        <v>2680</v>
      </c>
      <c r="N709" s="110"/>
      <c r="O709" s="108" t="s">
        <v>970</v>
      </c>
      <c r="P709" s="297">
        <v>17214.25</v>
      </c>
      <c r="Q709" s="107"/>
      <c r="R709" s="129"/>
      <c r="S709" s="130"/>
      <c r="T709" s="107"/>
      <c r="U709" s="93"/>
      <c r="V709" s="128"/>
      <c r="W709" s="214"/>
    </row>
    <row r="710" s="43" customFormat="1" ht="22" customHeight="1" spans="1:23">
      <c r="A710" s="142" t="s">
        <v>2681</v>
      </c>
      <c r="B710" s="174" t="s">
        <v>2221</v>
      </c>
      <c r="C710" s="175"/>
      <c r="D710" s="45" t="s">
        <v>31</v>
      </c>
      <c r="E710" s="83" t="s">
        <v>1899</v>
      </c>
      <c r="F710" s="82">
        <f>IFERROR(VLOOKUP(E710,客户!B:C,2,FALSE),"/")</f>
        <v>0</v>
      </c>
      <c r="G710" s="45" t="s">
        <v>2682</v>
      </c>
      <c r="H710" s="45" t="s">
        <v>123</v>
      </c>
      <c r="I710" s="45" t="s">
        <v>2683</v>
      </c>
      <c r="J710" s="110">
        <v>43930</v>
      </c>
      <c r="K710" s="93">
        <v>43953</v>
      </c>
      <c r="L710" s="93">
        <v>43992</v>
      </c>
      <c r="M710" s="165" t="s">
        <v>2684</v>
      </c>
      <c r="N710" s="202" t="s">
        <v>2685</v>
      </c>
      <c r="O710" s="108" t="s">
        <v>523</v>
      </c>
      <c r="P710" s="107">
        <v>34783</v>
      </c>
      <c r="Q710" s="107">
        <v>10000</v>
      </c>
      <c r="R710" s="129"/>
      <c r="S710" s="130"/>
      <c r="T710" s="107">
        <v>24745.5</v>
      </c>
      <c r="U710" s="93"/>
      <c r="V710" s="244" t="s">
        <v>2686</v>
      </c>
      <c r="W710" s="214"/>
    </row>
    <row r="711" s="43" customFormat="1" ht="22" customHeight="1" spans="1:23">
      <c r="A711" s="142" t="s">
        <v>2687</v>
      </c>
      <c r="B711" s="174" t="s">
        <v>2221</v>
      </c>
      <c r="C711" s="175"/>
      <c r="D711" s="45" t="s">
        <v>31</v>
      </c>
      <c r="E711" s="83" t="s">
        <v>1508</v>
      </c>
      <c r="F711" s="82">
        <f>IFERROR(VLOOKUP(E711,客户!B:C,2,FALSE),"/")</f>
        <v>0</v>
      </c>
      <c r="G711" s="45" t="s">
        <v>2688</v>
      </c>
      <c r="H711" s="45" t="s">
        <v>123</v>
      </c>
      <c r="I711" s="45" t="s">
        <v>1335</v>
      </c>
      <c r="J711" s="110">
        <v>43937</v>
      </c>
      <c r="K711" s="93">
        <v>43960</v>
      </c>
      <c r="L711" s="93">
        <v>43992</v>
      </c>
      <c r="M711" s="165" t="s">
        <v>2689</v>
      </c>
      <c r="N711" s="202" t="s">
        <v>2690</v>
      </c>
      <c r="O711" s="108" t="s">
        <v>523</v>
      </c>
      <c r="P711" s="107">
        <v>55765.65</v>
      </c>
      <c r="Q711" s="107">
        <v>18000</v>
      </c>
      <c r="R711" s="129"/>
      <c r="S711" s="130"/>
      <c r="T711" s="107">
        <v>37724</v>
      </c>
      <c r="U711" s="93"/>
      <c r="V711" s="244" t="s">
        <v>2691</v>
      </c>
      <c r="W711" s="214"/>
    </row>
    <row r="712" s="43" customFormat="1" ht="22" customHeight="1" spans="1:23">
      <c r="A712" s="220" t="s">
        <v>2692</v>
      </c>
      <c r="B712" s="174" t="s">
        <v>2221</v>
      </c>
      <c r="C712" s="175"/>
      <c r="D712" s="45" t="s">
        <v>31</v>
      </c>
      <c r="E712" s="83" t="s">
        <v>1345</v>
      </c>
      <c r="F712" s="82" t="str">
        <f>IFERROR(VLOOKUP(E712,客户!B:C,2,FALSE),"/")</f>
        <v>J4159还差USD265.65没付齐 J4220还有定金5674.3 账上剩5408.65</v>
      </c>
      <c r="G712" s="45" t="s">
        <v>2693</v>
      </c>
      <c r="H712" s="45" t="s">
        <v>123</v>
      </c>
      <c r="I712" s="45" t="s">
        <v>1346</v>
      </c>
      <c r="J712" s="110">
        <v>43944</v>
      </c>
      <c r="K712" s="93">
        <v>43978</v>
      </c>
      <c r="L712" s="93">
        <v>44015</v>
      </c>
      <c r="M712" s="165" t="s">
        <v>2694</v>
      </c>
      <c r="N712" s="202" t="s">
        <v>1842</v>
      </c>
      <c r="O712" s="108" t="s">
        <v>523</v>
      </c>
      <c r="P712" s="107">
        <v>20320.06</v>
      </c>
      <c r="Q712" s="107">
        <v>6257</v>
      </c>
      <c r="R712" s="129"/>
      <c r="S712" s="130"/>
      <c r="T712" s="107">
        <v>14063.06</v>
      </c>
      <c r="U712" s="93"/>
      <c r="V712" s="244" t="s">
        <v>2695</v>
      </c>
      <c r="W712" s="214"/>
    </row>
    <row r="713" s="43" customFormat="1" ht="22" customHeight="1" spans="1:23">
      <c r="A713" s="220" t="s">
        <v>2696</v>
      </c>
      <c r="B713" s="174" t="s">
        <v>2221</v>
      </c>
      <c r="C713" s="175"/>
      <c r="D713" s="45" t="s">
        <v>31</v>
      </c>
      <c r="E713" s="83" t="s">
        <v>2697</v>
      </c>
      <c r="F713" s="82">
        <f>IFERROR(VLOOKUP(E713,客户!B:C,2,FALSE),"/")</f>
        <v>0</v>
      </c>
      <c r="G713" s="45" t="s">
        <v>2698</v>
      </c>
      <c r="H713" s="229" t="s">
        <v>970</v>
      </c>
      <c r="I713" s="45"/>
      <c r="J713" s="110">
        <v>43966</v>
      </c>
      <c r="K713" s="93">
        <v>44020</v>
      </c>
      <c r="L713" s="93"/>
      <c r="M713" s="202" t="s">
        <v>2699</v>
      </c>
      <c r="N713" s="202"/>
      <c r="O713" s="108" t="s">
        <v>970</v>
      </c>
      <c r="P713" s="240">
        <v>101430</v>
      </c>
      <c r="Q713" s="240">
        <f>30429+50000</f>
        <v>80429</v>
      </c>
      <c r="R713" s="129"/>
      <c r="S713" s="130"/>
      <c r="T713" s="240">
        <v>21001</v>
      </c>
      <c r="U713" s="93"/>
      <c r="V713" s="128"/>
      <c r="W713" s="214"/>
    </row>
    <row r="714" s="43" customFormat="1" ht="22" customHeight="1" spans="1:23">
      <c r="A714" s="142" t="s">
        <v>2700</v>
      </c>
      <c r="B714" s="174" t="s">
        <v>2221</v>
      </c>
      <c r="C714" s="175"/>
      <c r="D714" s="45" t="s">
        <v>31</v>
      </c>
      <c r="E714" s="83" t="s">
        <v>2563</v>
      </c>
      <c r="F714" s="82" t="str">
        <f>IFERROR(VLOOKUP(E714,客户!B:C,2,FALSE),"/")</f>
        <v>J4159还差USD265.65没付齐 J4220还有定金5674.3 账上剩5408.65</v>
      </c>
      <c r="G714" s="45" t="s">
        <v>2701</v>
      </c>
      <c r="H714" s="45" t="s">
        <v>123</v>
      </c>
      <c r="I714" s="45" t="s">
        <v>1346</v>
      </c>
      <c r="J714" s="110">
        <v>43983</v>
      </c>
      <c r="K714" s="93">
        <v>44013</v>
      </c>
      <c r="L714" s="93">
        <v>44050</v>
      </c>
      <c r="M714" s="165" t="s">
        <v>2702</v>
      </c>
      <c r="N714" s="202" t="s">
        <v>2703</v>
      </c>
      <c r="O714" s="108" t="s">
        <v>523</v>
      </c>
      <c r="P714" s="107">
        <v>21539.1</v>
      </c>
      <c r="Q714" s="107">
        <v>6381.74</v>
      </c>
      <c r="R714" s="129"/>
      <c r="S714" s="130"/>
      <c r="T714" s="107">
        <v>15157.36</v>
      </c>
      <c r="U714" s="93"/>
      <c r="V714" s="244" t="s">
        <v>2704</v>
      </c>
      <c r="W714" s="214"/>
    </row>
    <row r="715" s="43" customFormat="1" ht="22" customHeight="1" spans="1:23">
      <c r="A715" s="142" t="s">
        <v>2705</v>
      </c>
      <c r="B715" s="174" t="s">
        <v>2221</v>
      </c>
      <c r="C715" s="175"/>
      <c r="D715" s="45" t="s">
        <v>31</v>
      </c>
      <c r="E715" s="83" t="s">
        <v>1508</v>
      </c>
      <c r="F715" s="82"/>
      <c r="G715" s="45" t="s">
        <v>2706</v>
      </c>
      <c r="H715" s="45" t="s">
        <v>123</v>
      </c>
      <c r="I715" s="45" t="s">
        <v>1546</v>
      </c>
      <c r="J715" s="110">
        <v>44011</v>
      </c>
      <c r="K715" s="93">
        <v>44036</v>
      </c>
      <c r="L715" s="201">
        <v>44067</v>
      </c>
      <c r="M715" s="165" t="s">
        <v>2707</v>
      </c>
      <c r="N715" s="202" t="s">
        <v>2708</v>
      </c>
      <c r="O715" s="108" t="s">
        <v>523</v>
      </c>
      <c r="P715" s="107">
        <v>20808.4</v>
      </c>
      <c r="Q715" s="107">
        <v>6000</v>
      </c>
      <c r="R715" s="129"/>
      <c r="S715" s="130"/>
      <c r="T715" s="107">
        <v>14808.4</v>
      </c>
      <c r="U715" s="93"/>
      <c r="V715" s="128"/>
      <c r="W715" s="214"/>
    </row>
    <row r="716" s="43" customFormat="1" ht="22" customHeight="1" spans="1:23">
      <c r="A716" s="142" t="s">
        <v>2709</v>
      </c>
      <c r="B716" s="174" t="s">
        <v>2221</v>
      </c>
      <c r="C716" s="175"/>
      <c r="D716" s="45" t="s">
        <v>31</v>
      </c>
      <c r="E716" s="83" t="s">
        <v>1508</v>
      </c>
      <c r="F716" s="82"/>
      <c r="G716" s="45" t="s">
        <v>2706</v>
      </c>
      <c r="H716" s="45" t="s">
        <v>123</v>
      </c>
      <c r="I716" s="45" t="s">
        <v>1546</v>
      </c>
      <c r="J716" s="110">
        <v>44011</v>
      </c>
      <c r="K716" s="93">
        <v>44076</v>
      </c>
      <c r="L716" s="93">
        <v>44110</v>
      </c>
      <c r="M716" s="165" t="s">
        <v>2710</v>
      </c>
      <c r="N716" s="202" t="s">
        <v>2711</v>
      </c>
      <c r="O716" s="108" t="s">
        <v>523</v>
      </c>
      <c r="P716" s="107">
        <v>20928.4</v>
      </c>
      <c r="Q716" s="107">
        <v>6000</v>
      </c>
      <c r="R716" s="129"/>
      <c r="S716" s="130"/>
      <c r="T716" s="107">
        <v>14908</v>
      </c>
      <c r="U716" s="93"/>
      <c r="V716" s="246" t="s">
        <v>2712</v>
      </c>
      <c r="W716" s="214"/>
    </row>
    <row r="717" s="43" customFormat="1" ht="22" customHeight="1" spans="1:23">
      <c r="A717" s="142" t="s">
        <v>2713</v>
      </c>
      <c r="B717" s="174" t="s">
        <v>2221</v>
      </c>
      <c r="C717" s="175"/>
      <c r="D717" s="45" t="s">
        <v>31</v>
      </c>
      <c r="E717" s="83" t="s">
        <v>2714</v>
      </c>
      <c r="F717" s="82">
        <f>IFERROR(VLOOKUP(E717,客户!B:C,2,FALSE),"/")</f>
        <v>0</v>
      </c>
      <c r="G717" s="45" t="s">
        <v>2715</v>
      </c>
      <c r="H717" s="229" t="s">
        <v>970</v>
      </c>
      <c r="I717" s="45"/>
      <c r="J717" s="110">
        <v>44014</v>
      </c>
      <c r="K717" s="93">
        <v>44035</v>
      </c>
      <c r="L717" s="93"/>
      <c r="M717" s="202" t="s">
        <v>2716</v>
      </c>
      <c r="N717" s="202"/>
      <c r="O717" s="108" t="s">
        <v>970</v>
      </c>
      <c r="P717" s="240">
        <v>28490</v>
      </c>
      <c r="Q717" s="240">
        <v>8000</v>
      </c>
      <c r="R717" s="129"/>
      <c r="S717" s="130"/>
      <c r="T717" s="240">
        <v>20490</v>
      </c>
      <c r="U717" s="93"/>
      <c r="V717" s="128"/>
      <c r="W717" s="214"/>
    </row>
    <row r="718" s="43" customFormat="1" ht="22" customHeight="1" spans="1:23">
      <c r="A718" s="142" t="s">
        <v>2717</v>
      </c>
      <c r="B718" s="174" t="s">
        <v>2221</v>
      </c>
      <c r="C718" s="175"/>
      <c r="D718" s="45" t="s">
        <v>31</v>
      </c>
      <c r="E718" s="83" t="s">
        <v>2718</v>
      </c>
      <c r="F718" s="82">
        <f>IFERROR(VLOOKUP(E718,客户!B:C,2,FALSE),"/")</f>
        <v>0</v>
      </c>
      <c r="G718" s="45" t="s">
        <v>2719</v>
      </c>
      <c r="H718" s="229" t="s">
        <v>970</v>
      </c>
      <c r="I718" s="45"/>
      <c r="J718" s="110">
        <v>44019</v>
      </c>
      <c r="K718" s="93">
        <v>44267</v>
      </c>
      <c r="L718" s="93"/>
      <c r="M718" s="202" t="s">
        <v>2720</v>
      </c>
      <c r="N718" s="202"/>
      <c r="O718" s="108" t="s">
        <v>970</v>
      </c>
      <c r="P718" s="240">
        <f>196900+1350+630</f>
        <v>198880</v>
      </c>
      <c r="Q718" s="240">
        <v>17550</v>
      </c>
      <c r="R718" s="129"/>
      <c r="S718" s="130"/>
      <c r="T718" s="299">
        <v>42300</v>
      </c>
      <c r="U718" s="299">
        <f>20000+64400+54630</f>
        <v>139030</v>
      </c>
      <c r="V718" s="128"/>
      <c r="W718" s="214"/>
    </row>
    <row r="719" s="43" customFormat="1" ht="22" customHeight="1" spans="1:23">
      <c r="A719" s="142" t="s">
        <v>2721</v>
      </c>
      <c r="B719" s="174" t="s">
        <v>2221</v>
      </c>
      <c r="C719" s="175"/>
      <c r="D719" s="45" t="s">
        <v>31</v>
      </c>
      <c r="E719" s="83" t="s">
        <v>1899</v>
      </c>
      <c r="F719" s="82">
        <f>IFERROR(VLOOKUP(E719,客户!B:C,2,FALSE),"/")</f>
        <v>0</v>
      </c>
      <c r="G719" s="45" t="s">
        <v>2722</v>
      </c>
      <c r="H719" s="229" t="s">
        <v>123</v>
      </c>
      <c r="I719" s="45" t="s">
        <v>1901</v>
      </c>
      <c r="J719" s="110">
        <v>44025</v>
      </c>
      <c r="K719" s="93">
        <v>44051</v>
      </c>
      <c r="L719" s="93">
        <v>44081</v>
      </c>
      <c r="M719" s="165" t="s">
        <v>2723</v>
      </c>
      <c r="N719" s="202" t="s">
        <v>2724</v>
      </c>
      <c r="O719" s="108" t="s">
        <v>523</v>
      </c>
      <c r="P719" s="107">
        <v>36720</v>
      </c>
      <c r="Q719" s="107"/>
      <c r="R719" s="129"/>
      <c r="S719" s="130"/>
      <c r="T719" s="107">
        <v>36720</v>
      </c>
      <c r="U719" s="93"/>
      <c r="V719" s="128"/>
      <c r="W719" s="214"/>
    </row>
    <row r="720" s="43" customFormat="1" ht="22" customHeight="1" spans="1:23">
      <c r="A720" s="142" t="s">
        <v>2725</v>
      </c>
      <c r="B720" s="174" t="s">
        <v>2221</v>
      </c>
      <c r="C720" s="175"/>
      <c r="D720" s="45" t="s">
        <v>31</v>
      </c>
      <c r="E720" s="83" t="s">
        <v>2726</v>
      </c>
      <c r="F720" s="82">
        <f>IFERROR(VLOOKUP(E720,客户!B:C,2,FALSE),"/")</f>
        <v>0</v>
      </c>
      <c r="G720" s="45" t="s">
        <v>2727</v>
      </c>
      <c r="H720" s="229" t="s">
        <v>186</v>
      </c>
      <c r="I720" s="45"/>
      <c r="J720" s="110">
        <v>44035</v>
      </c>
      <c r="K720" s="93">
        <v>44064</v>
      </c>
      <c r="L720" s="93"/>
      <c r="M720" s="202" t="s">
        <v>2728</v>
      </c>
      <c r="N720" s="202"/>
      <c r="O720" s="108" t="s">
        <v>970</v>
      </c>
      <c r="P720" s="107">
        <v>934.48</v>
      </c>
      <c r="Q720" s="107"/>
      <c r="R720" s="129"/>
      <c r="S720" s="130"/>
      <c r="T720" s="107">
        <v>1035</v>
      </c>
      <c r="U720" s="93"/>
      <c r="V720" s="219" t="s">
        <v>2729</v>
      </c>
      <c r="W720" s="214"/>
    </row>
    <row r="721" s="43" customFormat="1" ht="21" customHeight="1" spans="1:23">
      <c r="A721" s="142" t="s">
        <v>2730</v>
      </c>
      <c r="B721" s="174" t="s">
        <v>2221</v>
      </c>
      <c r="C721" s="175"/>
      <c r="D721" s="45" t="s">
        <v>31</v>
      </c>
      <c r="E721" s="83" t="s">
        <v>1899</v>
      </c>
      <c r="F721" s="82">
        <f>IFERROR(VLOOKUP(E721,客户!B:C,2,FALSE),"/")</f>
        <v>0</v>
      </c>
      <c r="G721" s="45" t="s">
        <v>2682</v>
      </c>
      <c r="H721" s="229" t="s">
        <v>123</v>
      </c>
      <c r="I721" s="45" t="s">
        <v>1901</v>
      </c>
      <c r="J721" s="110">
        <v>44053</v>
      </c>
      <c r="K721" s="93">
        <v>44111</v>
      </c>
      <c r="L721" s="93">
        <v>44143</v>
      </c>
      <c r="M721" s="165" t="s">
        <v>2731</v>
      </c>
      <c r="N721" s="202" t="s">
        <v>2732</v>
      </c>
      <c r="O721" s="108" t="s">
        <v>523</v>
      </c>
      <c r="P721" s="107">
        <v>37734.5</v>
      </c>
      <c r="Q721" s="107">
        <v>11500</v>
      </c>
      <c r="R721" s="129"/>
      <c r="S721" s="130"/>
      <c r="T721" s="107">
        <v>26234.5</v>
      </c>
      <c r="U721" s="93"/>
      <c r="V721" s="219"/>
      <c r="W721" s="214"/>
    </row>
    <row r="722" s="43" customFormat="1" ht="22" customHeight="1" spans="1:23">
      <c r="A722" s="142" t="s">
        <v>2733</v>
      </c>
      <c r="B722" s="174" t="s">
        <v>2221</v>
      </c>
      <c r="C722" s="175"/>
      <c r="D722" s="45" t="s">
        <v>31</v>
      </c>
      <c r="E722" s="83" t="s">
        <v>1429</v>
      </c>
      <c r="F722" s="82">
        <f>IFERROR(VLOOKUP(E722,客户!B:C,2,FALSE),"/")</f>
        <v>0</v>
      </c>
      <c r="G722" s="45" t="s">
        <v>2734</v>
      </c>
      <c r="H722" s="229" t="s">
        <v>127</v>
      </c>
      <c r="I722" s="45" t="s">
        <v>1431</v>
      </c>
      <c r="J722" s="110">
        <v>44075</v>
      </c>
      <c r="K722" s="93">
        <v>44131</v>
      </c>
      <c r="L722" s="93">
        <v>44193</v>
      </c>
      <c r="M722" s="202" t="s">
        <v>2735</v>
      </c>
      <c r="N722" s="202" t="s">
        <v>2736</v>
      </c>
      <c r="O722" s="108" t="s">
        <v>523</v>
      </c>
      <c r="P722" s="107">
        <v>76954.45</v>
      </c>
      <c r="Q722" s="107"/>
      <c r="R722" s="129"/>
      <c r="S722" s="130"/>
      <c r="T722" s="107">
        <v>76954.45</v>
      </c>
      <c r="U722" s="93"/>
      <c r="V722" s="219"/>
      <c r="W722" s="214"/>
    </row>
    <row r="723" s="43" customFormat="1" ht="22" customHeight="1" spans="1:23">
      <c r="A723" s="142" t="s">
        <v>2737</v>
      </c>
      <c r="B723" s="174" t="s">
        <v>2221</v>
      </c>
      <c r="C723" s="175"/>
      <c r="D723" s="45" t="s">
        <v>31</v>
      </c>
      <c r="E723" s="83" t="s">
        <v>1377</v>
      </c>
      <c r="F723" s="82">
        <f>IFERROR(VLOOKUP(E723,客户!B:C,2,FALSE),"/")</f>
        <v>0</v>
      </c>
      <c r="G723" s="45" t="s">
        <v>2738</v>
      </c>
      <c r="H723" s="229" t="s">
        <v>123</v>
      </c>
      <c r="I723" s="45" t="s">
        <v>2739</v>
      </c>
      <c r="J723" s="110">
        <v>44090</v>
      </c>
      <c r="K723" s="93">
        <v>44133</v>
      </c>
      <c r="L723" s="93">
        <v>44168</v>
      </c>
      <c r="M723" s="165" t="s">
        <v>2740</v>
      </c>
      <c r="N723" s="202" t="s">
        <v>2741</v>
      </c>
      <c r="O723" s="108" t="s">
        <v>523</v>
      </c>
      <c r="P723" s="107">
        <v>21546.52</v>
      </c>
      <c r="Q723" s="107">
        <v>6057</v>
      </c>
      <c r="R723" s="129"/>
      <c r="S723" s="130"/>
      <c r="T723" s="107">
        <v>15489.52</v>
      </c>
      <c r="U723" s="93"/>
      <c r="V723" s="219"/>
      <c r="W723" s="214"/>
    </row>
    <row r="724" s="43" customFormat="1" ht="20" customHeight="1" spans="1:23">
      <c r="A724" s="142" t="s">
        <v>2742</v>
      </c>
      <c r="B724" s="174" t="s">
        <v>2221</v>
      </c>
      <c r="C724" s="175"/>
      <c r="D724" s="45" t="s">
        <v>31</v>
      </c>
      <c r="E724" s="83" t="s">
        <v>1899</v>
      </c>
      <c r="F724" s="82">
        <f>IFERROR(VLOOKUP(E724,客户!B:C,2,FALSE),"/")</f>
        <v>0</v>
      </c>
      <c r="G724" s="45" t="s">
        <v>40</v>
      </c>
      <c r="H724" s="229" t="s">
        <v>123</v>
      </c>
      <c r="I724" s="45" t="s">
        <v>2743</v>
      </c>
      <c r="J724" s="110">
        <v>44091</v>
      </c>
      <c r="K724" s="93">
        <v>44180</v>
      </c>
      <c r="L724" s="93">
        <v>44221</v>
      </c>
      <c r="M724" s="165" t="s">
        <v>2744</v>
      </c>
      <c r="N724" s="202" t="s">
        <v>2745</v>
      </c>
      <c r="O724" s="108" t="s">
        <v>523</v>
      </c>
      <c r="P724" s="107">
        <v>40721</v>
      </c>
      <c r="Q724" s="107">
        <v>11500</v>
      </c>
      <c r="R724" s="129"/>
      <c r="S724" s="130"/>
      <c r="T724" s="107">
        <v>29221</v>
      </c>
      <c r="U724" s="93"/>
      <c r="V724" s="219"/>
      <c r="W724" s="214"/>
    </row>
    <row r="725" s="43" customFormat="1" ht="22" customHeight="1" spans="1:23">
      <c r="A725" s="142" t="s">
        <v>2746</v>
      </c>
      <c r="B725" s="174" t="s">
        <v>2221</v>
      </c>
      <c r="C725" s="175"/>
      <c r="D725" s="45" t="s">
        <v>31</v>
      </c>
      <c r="E725" s="83" t="s">
        <v>2747</v>
      </c>
      <c r="F725" s="82">
        <f>IFERROR(VLOOKUP(E725,客户!B:C,2,FALSE),"/")</f>
        <v>0</v>
      </c>
      <c r="G725" s="45" t="s">
        <v>941</v>
      </c>
      <c r="H725" s="229" t="s">
        <v>123</v>
      </c>
      <c r="I725" s="45" t="s">
        <v>2748</v>
      </c>
      <c r="J725" s="110">
        <v>44096</v>
      </c>
      <c r="K725" s="93">
        <v>44161</v>
      </c>
      <c r="L725" s="93">
        <v>44211</v>
      </c>
      <c r="M725" s="165" t="s">
        <v>2749</v>
      </c>
      <c r="N725" s="202" t="s">
        <v>2750</v>
      </c>
      <c r="O725" s="108" t="s">
        <v>523</v>
      </c>
      <c r="P725" s="107">
        <v>22210.25</v>
      </c>
      <c r="Q725" s="107">
        <v>4750</v>
      </c>
      <c r="R725" s="129"/>
      <c r="S725" s="130"/>
      <c r="T725" s="107">
        <v>17460.25</v>
      </c>
      <c r="U725" s="93"/>
      <c r="V725" s="219"/>
      <c r="W725" s="214"/>
    </row>
    <row r="726" s="43" customFormat="1" ht="22" customHeight="1" spans="1:23">
      <c r="A726" s="142" t="s">
        <v>2751</v>
      </c>
      <c r="B726" s="174" t="s">
        <v>2221</v>
      </c>
      <c r="C726" s="175"/>
      <c r="D726" s="45" t="s">
        <v>31</v>
      </c>
      <c r="E726" s="83" t="s">
        <v>2752</v>
      </c>
      <c r="F726" s="82">
        <f>IFERROR(VLOOKUP(E726,客户!B:C,2,FALSE),"/")</f>
        <v>0</v>
      </c>
      <c r="G726" s="45" t="s">
        <v>941</v>
      </c>
      <c r="H726" s="229" t="s">
        <v>123</v>
      </c>
      <c r="I726" s="45" t="s">
        <v>2748</v>
      </c>
      <c r="J726" s="110">
        <v>44096</v>
      </c>
      <c r="K726" s="93">
        <v>44147</v>
      </c>
      <c r="L726" s="93">
        <v>44204</v>
      </c>
      <c r="M726" s="202" t="s">
        <v>2753</v>
      </c>
      <c r="N726" s="202" t="s">
        <v>2754</v>
      </c>
      <c r="O726" s="108" t="s">
        <v>523</v>
      </c>
      <c r="P726" s="107">
        <v>22260.88</v>
      </c>
      <c r="Q726" s="107">
        <v>4750</v>
      </c>
      <c r="R726" s="129"/>
      <c r="S726" s="130"/>
      <c r="T726" s="107">
        <v>17510.88</v>
      </c>
      <c r="U726" s="93"/>
      <c r="V726" s="128"/>
      <c r="W726" s="214"/>
    </row>
    <row r="727" s="43" customFormat="1" ht="22" customHeight="1" spans="1:23">
      <c r="A727" s="142" t="s">
        <v>2755</v>
      </c>
      <c r="B727" s="174" t="s">
        <v>2221</v>
      </c>
      <c r="C727" s="175"/>
      <c r="D727" s="45" t="s">
        <v>31</v>
      </c>
      <c r="E727" s="83" t="s">
        <v>2747</v>
      </c>
      <c r="F727" s="82">
        <f>IFERROR(VLOOKUP(E727,客户!B:C,2,FALSE),"/")</f>
        <v>0</v>
      </c>
      <c r="G727" s="45" t="s">
        <v>979</v>
      </c>
      <c r="H727" s="229" t="s">
        <v>123</v>
      </c>
      <c r="I727" s="45" t="s">
        <v>2756</v>
      </c>
      <c r="J727" s="110">
        <v>44103</v>
      </c>
      <c r="K727" s="93">
        <v>44160</v>
      </c>
      <c r="L727" s="93">
        <v>44196</v>
      </c>
      <c r="M727" s="165" t="s">
        <v>2757</v>
      </c>
      <c r="N727" s="202" t="s">
        <v>2758</v>
      </c>
      <c r="O727" s="108" t="s">
        <v>523</v>
      </c>
      <c r="P727" s="107">
        <v>44528</v>
      </c>
      <c r="Q727" s="107">
        <v>10000</v>
      </c>
      <c r="R727" s="129"/>
      <c r="S727" s="130"/>
      <c r="T727" s="107">
        <v>34528</v>
      </c>
      <c r="U727" s="93"/>
      <c r="V727" s="128"/>
      <c r="W727" s="214"/>
    </row>
    <row r="728" s="43" customFormat="1" ht="22" customHeight="1" spans="1:23">
      <c r="A728" s="142" t="s">
        <v>2759</v>
      </c>
      <c r="B728" s="174" t="s">
        <v>2221</v>
      </c>
      <c r="C728" s="175"/>
      <c r="D728" s="45" t="s">
        <v>31</v>
      </c>
      <c r="E728" s="83" t="s">
        <v>2760</v>
      </c>
      <c r="F728" s="82">
        <f>IFERROR(VLOOKUP(E728,客户!B:C,2,FALSE),"/")</f>
        <v>0</v>
      </c>
      <c r="G728" s="45" t="s">
        <v>2761</v>
      </c>
      <c r="H728" s="229" t="s">
        <v>186</v>
      </c>
      <c r="I728" s="45"/>
      <c r="J728" s="110">
        <v>44126</v>
      </c>
      <c r="K728" s="93">
        <v>44137</v>
      </c>
      <c r="L728" s="93"/>
      <c r="M728" s="202"/>
      <c r="N728" s="110"/>
      <c r="O728" s="108" t="s">
        <v>970</v>
      </c>
      <c r="P728" s="240">
        <v>22072.5</v>
      </c>
      <c r="Q728" s="240">
        <v>6600</v>
      </c>
      <c r="R728" s="129"/>
      <c r="S728" s="130"/>
      <c r="T728" s="240">
        <v>15472.5</v>
      </c>
      <c r="U728" s="93"/>
      <c r="V728" s="128"/>
      <c r="W728" s="214"/>
    </row>
    <row r="729" s="43" customFormat="1" ht="22" customHeight="1" spans="1:23">
      <c r="A729" s="142" t="s">
        <v>2762</v>
      </c>
      <c r="B729" s="174" t="s">
        <v>2221</v>
      </c>
      <c r="C729" s="175"/>
      <c r="D729" s="45" t="s">
        <v>31</v>
      </c>
      <c r="E729" s="83" t="s">
        <v>2763</v>
      </c>
      <c r="F729" s="82">
        <f>IFERROR(VLOOKUP(E729,客户!B:C,2,FALSE),"/")</f>
        <v>0</v>
      </c>
      <c r="G729" s="45" t="s">
        <v>2764</v>
      </c>
      <c r="H729" s="229" t="s">
        <v>123</v>
      </c>
      <c r="I729" s="45" t="s">
        <v>2765</v>
      </c>
      <c r="J729" s="110">
        <v>44133</v>
      </c>
      <c r="K729" s="93">
        <v>44231</v>
      </c>
      <c r="L729" s="93">
        <v>44271</v>
      </c>
      <c r="M729" s="202" t="s">
        <v>2766</v>
      </c>
      <c r="N729" s="202" t="s">
        <v>2767</v>
      </c>
      <c r="O729" s="108" t="s">
        <v>523</v>
      </c>
      <c r="P729" s="107">
        <v>19962.5</v>
      </c>
      <c r="Q729" s="107">
        <v>5000</v>
      </c>
      <c r="R729" s="129"/>
      <c r="S729" s="130"/>
      <c r="T729" s="107">
        <f>5000+5000</f>
        <v>10000</v>
      </c>
      <c r="U729" s="107">
        <v>4962</v>
      </c>
      <c r="V729" s="128"/>
      <c r="W729" s="214"/>
    </row>
    <row r="730" s="43" customFormat="1" ht="22" customHeight="1" spans="1:23">
      <c r="A730" s="255"/>
      <c r="B730" s="174"/>
      <c r="C730" s="175"/>
      <c r="D730" s="45"/>
      <c r="E730" s="73"/>
      <c r="F730" s="82" t="str">
        <f>IFERROR(VLOOKUP(E730,客户!B:C,2,FALSE),"/")</f>
        <v>/</v>
      </c>
      <c r="G730" s="45"/>
      <c r="H730" s="45"/>
      <c r="I730" s="45"/>
      <c r="J730" s="110"/>
      <c r="K730" s="93"/>
      <c r="L730" s="93"/>
      <c r="M730" s="110"/>
      <c r="N730" s="110"/>
      <c r="O730" s="108"/>
      <c r="P730" s="107"/>
      <c r="Q730" s="107"/>
      <c r="R730" s="129"/>
      <c r="S730" s="130"/>
      <c r="T730" s="107"/>
      <c r="U730" s="93"/>
      <c r="V730" s="128"/>
      <c r="W730" s="214"/>
    </row>
    <row r="731" s="43" customFormat="1" ht="22" customHeight="1" spans="1:23">
      <c r="A731" s="45" t="s">
        <v>2768</v>
      </c>
      <c r="B731" s="174" t="s">
        <v>2221</v>
      </c>
      <c r="C731" s="175"/>
      <c r="D731" s="45" t="s">
        <v>31</v>
      </c>
      <c r="E731" s="84" t="s">
        <v>2769</v>
      </c>
      <c r="F731" s="82">
        <f>IFERROR(VLOOKUP(E731,客户!B:C,2,FALSE),"/")</f>
        <v>0</v>
      </c>
      <c r="G731" s="45" t="s">
        <v>2011</v>
      </c>
      <c r="H731" s="45" t="s">
        <v>127</v>
      </c>
      <c r="I731" s="45" t="s">
        <v>89</v>
      </c>
      <c r="J731" s="110">
        <v>43292</v>
      </c>
      <c r="K731" s="93"/>
      <c r="L731" s="93"/>
      <c r="M731" s="110"/>
      <c r="N731" s="110"/>
      <c r="O731" s="108"/>
      <c r="P731" s="107">
        <v>13101.2608</v>
      </c>
      <c r="Q731" s="107">
        <v>7000</v>
      </c>
      <c r="R731" s="129"/>
      <c r="S731" s="130"/>
      <c r="T731" s="107">
        <f>P731-R731</f>
        <v>13101.2608</v>
      </c>
      <c r="U731" s="93"/>
      <c r="V731" s="107"/>
      <c r="W731" s="284"/>
    </row>
    <row r="732" s="43" customFormat="1" ht="22" customHeight="1" spans="1:23">
      <c r="A732" s="145" t="s">
        <v>2770</v>
      </c>
      <c r="B732" s="174" t="s">
        <v>2221</v>
      </c>
      <c r="C732" s="175"/>
      <c r="D732" s="45" t="s">
        <v>31</v>
      </c>
      <c r="E732" s="45" t="s">
        <v>2268</v>
      </c>
      <c r="F732" s="82" t="str">
        <f>IFERROR(VLOOKUP(E732,客户!B:C,2,FALSE),"/")</f>
        <v>/</v>
      </c>
      <c r="G732" s="45" t="s">
        <v>2771</v>
      </c>
      <c r="H732" s="45" t="s">
        <v>123</v>
      </c>
      <c r="I732" s="45"/>
      <c r="J732" s="110">
        <v>43368</v>
      </c>
      <c r="K732" s="93"/>
      <c r="L732" s="93"/>
      <c r="M732" s="162" t="s">
        <v>2772</v>
      </c>
      <c r="N732" s="162" t="s">
        <v>2773</v>
      </c>
      <c r="O732" s="108"/>
      <c r="P732" s="107"/>
      <c r="Q732" s="107">
        <v>4500</v>
      </c>
      <c r="R732" s="129"/>
      <c r="S732" s="130"/>
      <c r="T732" s="107"/>
      <c r="U732" s="93"/>
      <c r="V732" s="128"/>
      <c r="W732" s="284"/>
    </row>
    <row r="733" s="43" customFormat="1" ht="22" customHeight="1" spans="1:23">
      <c r="A733" s="115" t="s">
        <v>2774</v>
      </c>
      <c r="B733" s="174" t="s">
        <v>2221</v>
      </c>
      <c r="C733" s="175"/>
      <c r="D733" s="45" t="s">
        <v>31</v>
      </c>
      <c r="E733" s="84" t="s">
        <v>2769</v>
      </c>
      <c r="F733" s="82">
        <f>IFERROR(VLOOKUP(E733,客户!B:C,2,FALSE),"/")</f>
        <v>0</v>
      </c>
      <c r="G733" s="45" t="s">
        <v>2775</v>
      </c>
      <c r="H733" s="45" t="s">
        <v>123</v>
      </c>
      <c r="I733" s="45"/>
      <c r="J733" s="110">
        <v>43362</v>
      </c>
      <c r="K733" s="93"/>
      <c r="L733" s="93"/>
      <c r="M733" s="162" t="s">
        <v>2776</v>
      </c>
      <c r="N733" s="110" t="s">
        <v>2777</v>
      </c>
      <c r="O733" s="108"/>
      <c r="P733" s="107">
        <v>34298</v>
      </c>
      <c r="Q733" s="107">
        <v>19000</v>
      </c>
      <c r="R733" s="129"/>
      <c r="S733" s="130"/>
      <c r="T733" s="107">
        <v>15298</v>
      </c>
      <c r="U733" s="93"/>
      <c r="V733" s="126"/>
      <c r="W733" s="284"/>
    </row>
    <row r="734" s="43" customFormat="1" ht="22" customHeight="1" spans="1:23">
      <c r="A734" s="142" t="s">
        <v>2778</v>
      </c>
      <c r="B734" s="174" t="s">
        <v>2221</v>
      </c>
      <c r="C734" s="175"/>
      <c r="D734" s="45" t="s">
        <v>31</v>
      </c>
      <c r="E734" s="73" t="s">
        <v>2779</v>
      </c>
      <c r="F734" s="82">
        <f>IFERROR(VLOOKUP(E734,客户!B:C,2,FALSE),"/")</f>
        <v>0</v>
      </c>
      <c r="G734" s="45" t="s">
        <v>2780</v>
      </c>
      <c r="H734" s="45"/>
      <c r="I734" s="45" t="s">
        <v>2781</v>
      </c>
      <c r="J734" s="110">
        <v>43392</v>
      </c>
      <c r="K734" s="93">
        <v>43461</v>
      </c>
      <c r="L734" s="93">
        <v>43514</v>
      </c>
      <c r="M734" s="146" t="s">
        <v>2782</v>
      </c>
      <c r="N734" s="110" t="s">
        <v>620</v>
      </c>
      <c r="O734" s="108"/>
      <c r="P734" s="107">
        <v>13801.26</v>
      </c>
      <c r="Q734" s="107">
        <v>6000</v>
      </c>
      <c r="R734" s="129">
        <v>0</v>
      </c>
      <c r="S734" s="130"/>
      <c r="T734" s="107">
        <v>7778.83</v>
      </c>
      <c r="U734" s="93">
        <v>43510</v>
      </c>
      <c r="V734" s="128"/>
      <c r="W734" s="284"/>
    </row>
    <row r="735" s="43" customFormat="1" ht="22" customHeight="1" spans="1:23">
      <c r="A735" s="142" t="s">
        <v>2783</v>
      </c>
      <c r="B735" s="174" t="s">
        <v>2221</v>
      </c>
      <c r="C735" s="175"/>
      <c r="D735" s="45" t="s">
        <v>31</v>
      </c>
      <c r="E735" s="73" t="s">
        <v>2779</v>
      </c>
      <c r="F735" s="82">
        <f>IFERROR(VLOOKUP(E735,客户!B:C,2,FALSE),"/")</f>
        <v>0</v>
      </c>
      <c r="G735" s="45" t="s">
        <v>2784</v>
      </c>
      <c r="H735" s="142" t="s">
        <v>127</v>
      </c>
      <c r="I735" s="45" t="s">
        <v>2785</v>
      </c>
      <c r="J735" s="110">
        <v>43481</v>
      </c>
      <c r="K735" s="93">
        <v>43522</v>
      </c>
      <c r="L735" s="93">
        <v>43574</v>
      </c>
      <c r="M735" s="146" t="s">
        <v>2786</v>
      </c>
      <c r="N735" s="110" t="s">
        <v>2787</v>
      </c>
      <c r="O735" s="108"/>
      <c r="P735" s="107">
        <v>22106.55</v>
      </c>
      <c r="Q735" s="107">
        <v>7000</v>
      </c>
      <c r="R735" s="129">
        <v>0</v>
      </c>
      <c r="S735" s="130"/>
      <c r="T735" s="107" t="s">
        <v>2788</v>
      </c>
      <c r="U735" s="93">
        <v>43546</v>
      </c>
      <c r="V735" s="128"/>
      <c r="W735" s="284"/>
    </row>
    <row r="736" s="43" customFormat="1" ht="22" customHeight="1" spans="1:23">
      <c r="A736" s="142" t="s">
        <v>2789</v>
      </c>
      <c r="B736" s="174" t="s">
        <v>2221</v>
      </c>
      <c r="C736" s="175"/>
      <c r="D736" s="45" t="s">
        <v>31</v>
      </c>
      <c r="E736" s="73" t="s">
        <v>2779</v>
      </c>
      <c r="F736" s="82">
        <f>IFERROR(VLOOKUP(E736,客户!B:C,2,FALSE),"/")</f>
        <v>0</v>
      </c>
      <c r="G736" s="45" t="s">
        <v>2790</v>
      </c>
      <c r="H736" s="142" t="s">
        <v>127</v>
      </c>
      <c r="I736" s="45" t="s">
        <v>2785</v>
      </c>
      <c r="J736" s="110">
        <v>43518</v>
      </c>
      <c r="K736" s="93">
        <v>43536</v>
      </c>
      <c r="L736" s="93">
        <v>43599</v>
      </c>
      <c r="M736" s="146" t="s">
        <v>2791</v>
      </c>
      <c r="N736" s="110"/>
      <c r="O736" s="108"/>
      <c r="P736" s="107">
        <v>33718.18</v>
      </c>
      <c r="Q736" s="107">
        <v>7500</v>
      </c>
      <c r="R736" s="129">
        <v>0</v>
      </c>
      <c r="S736" s="130"/>
      <c r="T736" s="107" t="s">
        <v>2792</v>
      </c>
      <c r="U736" s="93">
        <v>43593</v>
      </c>
      <c r="V736" s="128"/>
      <c r="W736" s="284"/>
    </row>
    <row r="737" s="43" customFormat="1" ht="22" customHeight="1" spans="1:23">
      <c r="A737" s="142" t="s">
        <v>2793</v>
      </c>
      <c r="B737" s="174" t="s">
        <v>2221</v>
      </c>
      <c r="C737" s="175"/>
      <c r="D737" s="45" t="s">
        <v>31</v>
      </c>
      <c r="E737" s="73" t="s">
        <v>2779</v>
      </c>
      <c r="F737" s="82">
        <f>IFERROR(VLOOKUP(E737,客户!B:C,2,FALSE),"/")</f>
        <v>0</v>
      </c>
      <c r="G737" s="45" t="s">
        <v>2794</v>
      </c>
      <c r="H737" s="142" t="s">
        <v>127</v>
      </c>
      <c r="I737" s="45" t="s">
        <v>2785</v>
      </c>
      <c r="J737" s="110">
        <v>43628</v>
      </c>
      <c r="K737" s="93">
        <v>43638</v>
      </c>
      <c r="L737" s="93">
        <v>43684</v>
      </c>
      <c r="M737" s="181" t="s">
        <v>2795</v>
      </c>
      <c r="N737" s="110" t="s">
        <v>2796</v>
      </c>
      <c r="O737" s="108"/>
      <c r="P737" s="107">
        <v>35972.5</v>
      </c>
      <c r="Q737" s="107" t="s">
        <v>2797</v>
      </c>
      <c r="R737" s="129">
        <v>0</v>
      </c>
      <c r="S737" s="130"/>
      <c r="T737" s="107">
        <v>20792</v>
      </c>
      <c r="U737" s="93">
        <v>43700</v>
      </c>
      <c r="V737" s="128"/>
      <c r="W737" s="284"/>
    </row>
    <row r="738" s="43" customFormat="1" ht="22" customHeight="1" spans="1:23">
      <c r="A738" s="190" t="s">
        <v>2798</v>
      </c>
      <c r="B738" s="174" t="s">
        <v>2221</v>
      </c>
      <c r="C738" s="175"/>
      <c r="D738" s="45" t="s">
        <v>31</v>
      </c>
      <c r="E738" s="73" t="s">
        <v>2799</v>
      </c>
      <c r="F738" s="82">
        <f>IFERROR(VLOOKUP(E738,客户!B:C,2,FALSE),"/")</f>
        <v>0</v>
      </c>
      <c r="G738" s="45" t="s">
        <v>2800</v>
      </c>
      <c r="H738" s="45" t="s">
        <v>123</v>
      </c>
      <c r="I738" s="45" t="s">
        <v>2801</v>
      </c>
      <c r="J738" s="110">
        <v>43634</v>
      </c>
      <c r="K738" s="93">
        <v>43665</v>
      </c>
      <c r="L738" s="93"/>
      <c r="M738" s="146" t="s">
        <v>2802</v>
      </c>
      <c r="N738" s="110" t="s">
        <v>2803</v>
      </c>
      <c r="O738" s="108"/>
      <c r="P738" s="107">
        <v>27400</v>
      </c>
      <c r="Q738" s="107">
        <v>5000</v>
      </c>
      <c r="R738" s="129"/>
      <c r="S738" s="130"/>
      <c r="T738" s="107">
        <v>22400</v>
      </c>
      <c r="U738" s="93"/>
      <c r="V738" s="128"/>
      <c r="W738" s="284"/>
    </row>
    <row r="739" s="43" customFormat="1" ht="22" customHeight="1" spans="1:23">
      <c r="A739" s="260" t="s">
        <v>2804</v>
      </c>
      <c r="B739" s="174" t="s">
        <v>2221</v>
      </c>
      <c r="C739" s="175"/>
      <c r="D739" s="45" t="s">
        <v>31</v>
      </c>
      <c r="E739" s="73" t="s">
        <v>2779</v>
      </c>
      <c r="F739" s="82">
        <f>IFERROR(VLOOKUP(E739,客户!B:C,2,FALSE),"/")</f>
        <v>0</v>
      </c>
      <c r="G739" s="295" t="s">
        <v>2805</v>
      </c>
      <c r="H739" s="45" t="s">
        <v>127</v>
      </c>
      <c r="I739" s="45" t="s">
        <v>2806</v>
      </c>
      <c r="J739" s="110">
        <v>43749</v>
      </c>
      <c r="K739" s="93">
        <v>43391</v>
      </c>
      <c r="L739" s="93">
        <v>43796</v>
      </c>
      <c r="M739" s="179" t="s">
        <v>2807</v>
      </c>
      <c r="N739" s="110" t="s">
        <v>2808</v>
      </c>
      <c r="O739" s="108"/>
      <c r="P739" s="107">
        <v>34706.45</v>
      </c>
      <c r="Q739" s="107">
        <v>10000</v>
      </c>
      <c r="R739" s="129"/>
      <c r="S739" s="130"/>
      <c r="T739" s="107" t="s">
        <v>2809</v>
      </c>
      <c r="U739" s="93">
        <v>43773</v>
      </c>
      <c r="V739" s="128"/>
      <c r="W739" s="284"/>
    </row>
    <row r="740" s="43" customFormat="1" ht="22" customHeight="1" spans="1:23">
      <c r="A740" s="290" t="s">
        <v>2810</v>
      </c>
      <c r="B740" s="174" t="s">
        <v>2221</v>
      </c>
      <c r="C740" s="175"/>
      <c r="D740" s="45" t="s">
        <v>31</v>
      </c>
      <c r="E740" s="73" t="s">
        <v>2779</v>
      </c>
      <c r="F740" s="82">
        <f>IFERROR(VLOOKUP(E740,客户!B:C,2,FALSE),"/")</f>
        <v>0</v>
      </c>
      <c r="G740" s="295" t="s">
        <v>2811</v>
      </c>
      <c r="H740" s="45" t="s">
        <v>127</v>
      </c>
      <c r="I740" s="45" t="s">
        <v>2812</v>
      </c>
      <c r="J740" s="110">
        <v>43760</v>
      </c>
      <c r="K740" s="93">
        <v>43777</v>
      </c>
      <c r="L740" s="93">
        <v>43817</v>
      </c>
      <c r="M740" s="146" t="s">
        <v>2813</v>
      </c>
      <c r="N740" s="110" t="s">
        <v>2814</v>
      </c>
      <c r="O740" s="108" t="s">
        <v>523</v>
      </c>
      <c r="P740" s="107">
        <v>16518.85</v>
      </c>
      <c r="Q740" s="107">
        <v>7000</v>
      </c>
      <c r="R740" s="129"/>
      <c r="S740" s="130"/>
      <c r="T740" s="107">
        <v>9950.5</v>
      </c>
      <c r="U740" s="93">
        <v>43837</v>
      </c>
      <c r="V740" s="128"/>
      <c r="W740" s="284"/>
    </row>
    <row r="741" s="43" customFormat="1" ht="22" customHeight="1" spans="1:23">
      <c r="A741" s="260" t="s">
        <v>2815</v>
      </c>
      <c r="B741" s="174" t="s">
        <v>2221</v>
      </c>
      <c r="C741" s="175"/>
      <c r="D741" s="45" t="s">
        <v>31</v>
      </c>
      <c r="E741" s="73" t="s">
        <v>2779</v>
      </c>
      <c r="F741" s="82">
        <f>IFERROR(VLOOKUP(E741,客户!B:C,2,FALSE),"/")</f>
        <v>0</v>
      </c>
      <c r="G741" s="295" t="s">
        <v>2816</v>
      </c>
      <c r="H741" s="45" t="s">
        <v>127</v>
      </c>
      <c r="I741" s="45" t="s">
        <v>2812</v>
      </c>
      <c r="J741" s="110">
        <v>43789</v>
      </c>
      <c r="K741" s="93">
        <v>43805</v>
      </c>
      <c r="L741" s="93">
        <v>43852</v>
      </c>
      <c r="M741" s="146" t="s">
        <v>2817</v>
      </c>
      <c r="N741" s="110" t="s">
        <v>2818</v>
      </c>
      <c r="O741" s="108" t="s">
        <v>523</v>
      </c>
      <c r="P741" s="107">
        <v>11517.9</v>
      </c>
      <c r="Q741" s="107">
        <v>5000</v>
      </c>
      <c r="R741" s="129"/>
      <c r="S741" s="130"/>
      <c r="T741" s="107">
        <v>5986.5</v>
      </c>
      <c r="U741" s="93">
        <v>43840</v>
      </c>
      <c r="V741" s="128"/>
      <c r="W741" s="284"/>
    </row>
    <row r="742" s="43" customFormat="1" ht="22" customHeight="1" spans="1:23">
      <c r="A742" s="260" t="s">
        <v>2819</v>
      </c>
      <c r="B742" s="174" t="s">
        <v>2221</v>
      </c>
      <c r="C742" s="175"/>
      <c r="D742" s="45" t="s">
        <v>31</v>
      </c>
      <c r="E742" s="83" t="s">
        <v>2820</v>
      </c>
      <c r="F742" s="82">
        <f>IFERROR(VLOOKUP(E742,客户!B:C,2,FALSE),"/")</f>
        <v>0</v>
      </c>
      <c r="G742" s="295" t="s">
        <v>2821</v>
      </c>
      <c r="H742" s="45" t="s">
        <v>127</v>
      </c>
      <c r="I742" s="45" t="s">
        <v>2822</v>
      </c>
      <c r="J742" s="110">
        <v>43812</v>
      </c>
      <c r="K742" s="93">
        <v>43821</v>
      </c>
      <c r="L742" s="93"/>
      <c r="M742" s="146" t="s">
        <v>2823</v>
      </c>
      <c r="N742" s="110" t="s">
        <v>2824</v>
      </c>
      <c r="O742" s="108" t="s">
        <v>970</v>
      </c>
      <c r="P742" s="107">
        <v>3859.2</v>
      </c>
      <c r="Q742" s="107"/>
      <c r="R742" s="129"/>
      <c r="S742" s="130"/>
      <c r="T742" s="107">
        <v>3859.2</v>
      </c>
      <c r="U742" s="93">
        <v>43809</v>
      </c>
      <c r="V742" s="128"/>
      <c r="W742" s="284"/>
    </row>
    <row r="743" s="43" customFormat="1" ht="22" customHeight="1" spans="1:23">
      <c r="A743" s="260" t="s">
        <v>2825</v>
      </c>
      <c r="B743" s="174" t="s">
        <v>2221</v>
      </c>
      <c r="C743" s="175"/>
      <c r="D743" s="45" t="s">
        <v>31</v>
      </c>
      <c r="E743" s="83" t="s">
        <v>2826</v>
      </c>
      <c r="F743" s="82">
        <f>IFERROR(VLOOKUP(E743,客户!B:C,2,FALSE),"/")</f>
        <v>0</v>
      </c>
      <c r="G743" s="295" t="s">
        <v>2827</v>
      </c>
      <c r="H743" s="45" t="s">
        <v>127</v>
      </c>
      <c r="I743" s="45" t="s">
        <v>2828</v>
      </c>
      <c r="J743" s="110">
        <v>43874</v>
      </c>
      <c r="K743" s="93">
        <v>43938</v>
      </c>
      <c r="L743" s="93">
        <v>43995</v>
      </c>
      <c r="M743" s="165" t="s">
        <v>2829</v>
      </c>
      <c r="N743" s="202" t="s">
        <v>2830</v>
      </c>
      <c r="O743" s="108" t="s">
        <v>523</v>
      </c>
      <c r="P743" s="107">
        <v>33027.98</v>
      </c>
      <c r="Q743" s="107">
        <v>11628.8</v>
      </c>
      <c r="R743" s="129"/>
      <c r="S743" s="130"/>
      <c r="T743" s="107">
        <v>10000</v>
      </c>
      <c r="U743" s="107">
        <f>10000+1400</f>
        <v>11400</v>
      </c>
      <c r="V743" s="244" t="s">
        <v>2831</v>
      </c>
      <c r="W743" s="284"/>
    </row>
    <row r="744" s="43" customFormat="1" ht="22" customHeight="1" spans="1:23">
      <c r="A744" s="260" t="s">
        <v>2832</v>
      </c>
      <c r="B744" s="174" t="s">
        <v>2221</v>
      </c>
      <c r="C744" s="175"/>
      <c r="D744" s="45" t="s">
        <v>31</v>
      </c>
      <c r="E744" s="84" t="s">
        <v>2833</v>
      </c>
      <c r="F744" s="82">
        <f>IFERROR(VLOOKUP(E744,客户!B:C,2,FALSE),"/")</f>
        <v>0</v>
      </c>
      <c r="G744" s="295" t="s">
        <v>2834</v>
      </c>
      <c r="H744" s="45" t="s">
        <v>127</v>
      </c>
      <c r="I744" s="45" t="s">
        <v>2835</v>
      </c>
      <c r="J744" s="110">
        <v>43887</v>
      </c>
      <c r="K744" s="93">
        <v>43900</v>
      </c>
      <c r="L744" s="93">
        <v>43941</v>
      </c>
      <c r="M744" s="165" t="s">
        <v>2836</v>
      </c>
      <c r="N744" s="110" t="s">
        <v>2837</v>
      </c>
      <c r="O744" s="108" t="s">
        <v>523</v>
      </c>
      <c r="P744" s="107">
        <v>8394.6</v>
      </c>
      <c r="Q744" s="107">
        <v>4049</v>
      </c>
      <c r="R744" s="129"/>
      <c r="S744" s="130"/>
      <c r="T744" s="107">
        <v>4345.6</v>
      </c>
      <c r="U744" s="93">
        <v>43892</v>
      </c>
      <c r="V744" s="128"/>
      <c r="W744" s="284"/>
    </row>
    <row r="745" s="43" customFormat="1" ht="22" customHeight="1" spans="1:23">
      <c r="A745" s="260" t="s">
        <v>2838</v>
      </c>
      <c r="B745" s="174" t="s">
        <v>2221</v>
      </c>
      <c r="C745" s="175"/>
      <c r="D745" s="45" t="s">
        <v>31</v>
      </c>
      <c r="E745" s="83" t="s">
        <v>2839</v>
      </c>
      <c r="F745" s="82">
        <f>IFERROR(VLOOKUP(E745,客户!B:C,2,FALSE),"/")</f>
        <v>0</v>
      </c>
      <c r="G745" s="295" t="s">
        <v>2840</v>
      </c>
      <c r="H745" s="45" t="s">
        <v>123</v>
      </c>
      <c r="I745" s="45" t="s">
        <v>2841</v>
      </c>
      <c r="J745" s="110">
        <v>44014</v>
      </c>
      <c r="K745" s="93">
        <v>44028</v>
      </c>
      <c r="L745" s="93">
        <v>44061</v>
      </c>
      <c r="M745" s="165" t="s">
        <v>2842</v>
      </c>
      <c r="N745" s="202" t="s">
        <v>2843</v>
      </c>
      <c r="O745" s="108" t="s">
        <v>970</v>
      </c>
      <c r="P745" s="107">
        <v>2119.68</v>
      </c>
      <c r="Q745" s="107"/>
      <c r="R745" s="129"/>
      <c r="S745" s="130"/>
      <c r="T745" s="107">
        <v>2095.68</v>
      </c>
      <c r="U745" s="93"/>
      <c r="V745" s="128"/>
      <c r="W745" s="284"/>
    </row>
    <row r="746" s="43" customFormat="1" ht="22" customHeight="1" spans="1:23">
      <c r="A746" s="260" t="s">
        <v>2844</v>
      </c>
      <c r="B746" s="174" t="s">
        <v>2221</v>
      </c>
      <c r="C746" s="175"/>
      <c r="D746" s="45" t="s">
        <v>31</v>
      </c>
      <c r="E746" s="83" t="s">
        <v>2826</v>
      </c>
      <c r="F746" s="82"/>
      <c r="G746" s="295" t="s">
        <v>2845</v>
      </c>
      <c r="H746" s="45" t="s">
        <v>127</v>
      </c>
      <c r="I746" s="45" t="s">
        <v>2179</v>
      </c>
      <c r="J746" s="110">
        <v>44069</v>
      </c>
      <c r="K746" s="93">
        <v>44086</v>
      </c>
      <c r="L746" s="93">
        <v>44139</v>
      </c>
      <c r="M746" s="165" t="s">
        <v>2846</v>
      </c>
      <c r="N746" s="202" t="s">
        <v>2847</v>
      </c>
      <c r="O746" s="108" t="s">
        <v>523</v>
      </c>
      <c r="P746" s="107">
        <v>12766.75</v>
      </c>
      <c r="Q746" s="107">
        <v>5000</v>
      </c>
      <c r="R746" s="129"/>
      <c r="S746" s="130"/>
      <c r="T746" s="107">
        <v>7766.75</v>
      </c>
      <c r="U746" s="93"/>
      <c r="V746" s="128"/>
      <c r="W746" s="284"/>
    </row>
    <row r="747" s="43" customFormat="1" ht="22" customHeight="1" spans="1:23">
      <c r="A747" s="291"/>
      <c r="B747" s="174"/>
      <c r="C747" s="175"/>
      <c r="D747" s="45"/>
      <c r="E747" s="73"/>
      <c r="F747" s="82"/>
      <c r="G747" s="295"/>
      <c r="H747" s="45"/>
      <c r="I747" s="45"/>
      <c r="J747" s="110"/>
      <c r="K747" s="93"/>
      <c r="L747" s="93"/>
      <c r="M747" s="146"/>
      <c r="N747" s="110"/>
      <c r="O747" s="108"/>
      <c r="P747" s="107"/>
      <c r="Q747" s="107"/>
      <c r="R747" s="129"/>
      <c r="S747" s="130"/>
      <c r="T747" s="107"/>
      <c r="U747" s="93"/>
      <c r="V747" s="128"/>
      <c r="W747" s="284"/>
    </row>
    <row r="748" s="43" customFormat="1" ht="22" customHeight="1" spans="1:23">
      <c r="A748" s="291"/>
      <c r="B748" s="174"/>
      <c r="C748" s="175"/>
      <c r="D748" s="45"/>
      <c r="E748" s="73"/>
      <c r="F748" s="82"/>
      <c r="G748" s="295"/>
      <c r="H748" s="45"/>
      <c r="I748" s="45"/>
      <c r="J748" s="110"/>
      <c r="K748" s="93"/>
      <c r="L748" s="93"/>
      <c r="M748" s="146"/>
      <c r="N748" s="110"/>
      <c r="O748" s="108"/>
      <c r="P748" s="107"/>
      <c r="Q748" s="107"/>
      <c r="R748" s="129"/>
      <c r="S748" s="130"/>
      <c r="T748" s="107"/>
      <c r="U748" s="93"/>
      <c r="V748" s="128"/>
      <c r="W748" s="284"/>
    </row>
    <row r="749" s="43" customFormat="1" ht="22" customHeight="1" spans="1:23">
      <c r="A749" s="292"/>
      <c r="B749" s="174"/>
      <c r="C749" s="175"/>
      <c r="D749" s="45"/>
      <c r="E749" s="73"/>
      <c r="F749" s="82" t="str">
        <f>IFERROR(VLOOKUP(E749,客户!B:C,2,FALSE),"/")</f>
        <v>/</v>
      </c>
      <c r="G749" s="45"/>
      <c r="H749" s="45"/>
      <c r="I749" s="45"/>
      <c r="J749" s="110"/>
      <c r="K749" s="93"/>
      <c r="L749" s="93"/>
      <c r="M749" s="179"/>
      <c r="N749" s="110"/>
      <c r="O749" s="108"/>
      <c r="P749" s="107"/>
      <c r="Q749" s="107"/>
      <c r="R749" s="129"/>
      <c r="S749" s="130"/>
      <c r="T749" s="107"/>
      <c r="U749" s="93"/>
      <c r="V749" s="128"/>
      <c r="W749" s="284"/>
    </row>
    <row r="750" s="43" customFormat="1" ht="22" customHeight="1" spans="1:23">
      <c r="A750" s="142" t="s">
        <v>2848</v>
      </c>
      <c r="B750" s="174"/>
      <c r="C750" s="175"/>
      <c r="D750" s="45"/>
      <c r="E750" s="73"/>
      <c r="F750" s="82" t="str">
        <f>IFERROR(VLOOKUP(E750,客户!B:C,2,FALSE),"/")</f>
        <v>/</v>
      </c>
      <c r="G750" s="296"/>
      <c r="H750" s="145"/>
      <c r="I750" s="296"/>
      <c r="J750" s="110"/>
      <c r="K750" s="93"/>
      <c r="L750" s="93"/>
      <c r="M750" s="110"/>
      <c r="N750" s="110"/>
      <c r="O750" s="108"/>
      <c r="P750" s="107"/>
      <c r="Q750" s="296"/>
      <c r="R750" s="129"/>
      <c r="S750" s="130"/>
      <c r="T750" s="107"/>
      <c r="U750" s="93"/>
      <c r="V750" s="128"/>
      <c r="W750" s="284"/>
    </row>
    <row r="751" s="43" customFormat="1" ht="22" customHeight="1" spans="1:23">
      <c r="A751" s="159" t="s">
        <v>2849</v>
      </c>
      <c r="B751" s="293" t="s">
        <v>2850</v>
      </c>
      <c r="C751" s="294"/>
      <c r="D751" s="45" t="s">
        <v>31</v>
      </c>
      <c r="E751" s="45" t="s">
        <v>2851</v>
      </c>
      <c r="F751" s="82">
        <f>IFERROR(VLOOKUP(E751,客户!B:C,2,FALSE),"/")</f>
        <v>0</v>
      </c>
      <c r="G751" s="45" t="s">
        <v>2852</v>
      </c>
      <c r="H751" s="45" t="s">
        <v>123</v>
      </c>
      <c r="I751" s="45"/>
      <c r="J751" s="110"/>
      <c r="K751" s="93"/>
      <c r="L751" s="93"/>
      <c r="M751" s="110"/>
      <c r="N751" s="162" t="s">
        <v>2853</v>
      </c>
      <c r="O751" s="108"/>
      <c r="P751" s="107">
        <v>16410.23</v>
      </c>
      <c r="Q751" s="235">
        <v>4832.86</v>
      </c>
      <c r="R751" s="129"/>
      <c r="S751" s="130"/>
      <c r="T751" s="107">
        <v>11577</v>
      </c>
      <c r="U751" s="93"/>
      <c r="V751" s="126"/>
      <c r="W751" s="284"/>
    </row>
    <row r="752" s="45" customFormat="1" ht="22" customHeight="1" spans="1:23">
      <c r="A752" s="159" t="s">
        <v>2854</v>
      </c>
      <c r="B752" s="293" t="s">
        <v>2850</v>
      </c>
      <c r="C752" s="294"/>
      <c r="D752" s="45" t="s">
        <v>31</v>
      </c>
      <c r="E752" s="45" t="s">
        <v>2855</v>
      </c>
      <c r="F752" s="82" t="str">
        <f>IFERROR(VLOOKUP(E752,客户!B:C,2,FALSE),"/")</f>
        <v>/</v>
      </c>
      <c r="G752" s="45" t="s">
        <v>2856</v>
      </c>
      <c r="H752" s="45" t="s">
        <v>123</v>
      </c>
      <c r="J752" s="146">
        <v>43353</v>
      </c>
      <c r="K752" s="93"/>
      <c r="L752" s="93"/>
      <c r="M752" s="110"/>
      <c r="N752" s="146" t="s">
        <v>2857</v>
      </c>
      <c r="O752" s="108"/>
      <c r="P752" s="107">
        <v>25975.21</v>
      </c>
      <c r="Q752" s="235"/>
      <c r="R752" s="129"/>
      <c r="S752" s="130"/>
      <c r="T752" s="107"/>
      <c r="U752" s="93"/>
      <c r="V752" s="126"/>
      <c r="W752" s="214"/>
    </row>
    <row r="753" s="45" customFormat="1" ht="22" customHeight="1" spans="1:23">
      <c r="A753" s="45" t="s">
        <v>2858</v>
      </c>
      <c r="B753" s="293" t="s">
        <v>2850</v>
      </c>
      <c r="C753" s="294"/>
      <c r="D753" s="45" t="s">
        <v>31</v>
      </c>
      <c r="E753" s="45" t="s">
        <v>2859</v>
      </c>
      <c r="F753" s="82" t="str">
        <f>IFERROR(VLOOKUP(E753,客户!B:C,2,FALSE),"/")</f>
        <v>/</v>
      </c>
      <c r="G753" s="45" t="s">
        <v>2860</v>
      </c>
      <c r="H753" s="45" t="s">
        <v>123</v>
      </c>
      <c r="J753" s="146"/>
      <c r="K753" s="93"/>
      <c r="L753" s="93"/>
      <c r="M753" s="110"/>
      <c r="N753" s="146" t="s">
        <v>2861</v>
      </c>
      <c r="O753" s="108"/>
      <c r="P753" s="107">
        <v>22230</v>
      </c>
      <c r="Q753" s="235">
        <v>6726.34</v>
      </c>
      <c r="R753" s="129"/>
      <c r="S753" s="130"/>
      <c r="T753" s="107"/>
      <c r="U753" s="93"/>
      <c r="V753" s="126"/>
      <c r="W753" s="214"/>
    </row>
    <row r="754" s="45" customFormat="1" ht="22" customHeight="1" spans="1:23">
      <c r="A754" s="45" t="s">
        <v>2862</v>
      </c>
      <c r="B754" s="293" t="s">
        <v>2850</v>
      </c>
      <c r="C754" s="294"/>
      <c r="D754" s="45" t="s">
        <v>31</v>
      </c>
      <c r="E754" s="45" t="s">
        <v>2863</v>
      </c>
      <c r="F754" s="82" t="str">
        <f>IFERROR(VLOOKUP(E754,客户!B:C,2,FALSE),"/")</f>
        <v>/</v>
      </c>
      <c r="G754" s="45" t="s">
        <v>2864</v>
      </c>
      <c r="H754" s="45" t="s">
        <v>123</v>
      </c>
      <c r="J754" s="146">
        <v>43300</v>
      </c>
      <c r="K754" s="93"/>
      <c r="L754" s="93"/>
      <c r="M754" s="110"/>
      <c r="N754" s="165" t="s">
        <v>2865</v>
      </c>
      <c r="O754" s="108"/>
      <c r="P754" s="142"/>
      <c r="Q754" s="235">
        <v>4700</v>
      </c>
      <c r="R754" s="129"/>
      <c r="S754" s="130"/>
      <c r="T754" s="107"/>
      <c r="U754" s="93"/>
      <c r="V754" s="126"/>
      <c r="W754" s="214"/>
    </row>
    <row r="755" s="43" customFormat="1" ht="22" customHeight="1" spans="1:23">
      <c r="A755" s="45" t="s">
        <v>2866</v>
      </c>
      <c r="B755" s="293" t="s">
        <v>2850</v>
      </c>
      <c r="C755" s="294"/>
      <c r="D755" s="45" t="s">
        <v>31</v>
      </c>
      <c r="E755" s="45" t="s">
        <v>2867</v>
      </c>
      <c r="F755" s="82">
        <f>IFERROR(VLOOKUP(E755,客户!B:C,2,FALSE),"/")</f>
        <v>0</v>
      </c>
      <c r="G755" s="45" t="s">
        <v>2868</v>
      </c>
      <c r="H755" s="145" t="s">
        <v>123</v>
      </c>
      <c r="I755" s="145"/>
      <c r="J755" s="110"/>
      <c r="K755" s="93"/>
      <c r="L755" s="93"/>
      <c r="M755" s="110"/>
      <c r="N755" s="162" t="s">
        <v>2869</v>
      </c>
      <c r="O755" s="108"/>
      <c r="P755" s="107">
        <v>47001</v>
      </c>
      <c r="Q755" s="235">
        <v>16100</v>
      </c>
      <c r="R755" s="129"/>
      <c r="S755" s="130"/>
      <c r="T755" s="107">
        <v>30879</v>
      </c>
      <c r="U755" s="93"/>
      <c r="V755" s="126"/>
      <c r="W755" s="284"/>
    </row>
    <row r="756" s="45" customFormat="1" ht="22" customHeight="1" spans="1:23">
      <c r="A756" s="45" t="s">
        <v>2870</v>
      </c>
      <c r="B756" s="293" t="s">
        <v>2850</v>
      </c>
      <c r="C756" s="294"/>
      <c r="D756" s="45" t="s">
        <v>31</v>
      </c>
      <c r="E756" s="45" t="s">
        <v>2855</v>
      </c>
      <c r="F756" s="82" t="str">
        <f>IFERROR(VLOOKUP(E756,客户!B:C,2,FALSE),"/")</f>
        <v>/</v>
      </c>
      <c r="G756" s="45" t="s">
        <v>222</v>
      </c>
      <c r="H756" s="45" t="s">
        <v>123</v>
      </c>
      <c r="J756" s="146">
        <v>43351</v>
      </c>
      <c r="K756" s="93"/>
      <c r="L756" s="93"/>
      <c r="M756" s="110"/>
      <c r="N756" s="165" t="s">
        <v>2871</v>
      </c>
      <c r="O756" s="108"/>
      <c r="P756" s="107">
        <v>26607.9</v>
      </c>
      <c r="Q756" s="235"/>
      <c r="R756" s="129"/>
      <c r="S756" s="130"/>
      <c r="T756" s="107"/>
      <c r="U756" s="93"/>
      <c r="V756" s="126"/>
      <c r="W756" s="214"/>
    </row>
    <row r="757" s="43" customFormat="1" ht="22" customHeight="1" spans="1:23">
      <c r="A757" s="142" t="s">
        <v>2872</v>
      </c>
      <c r="B757" s="293" t="s">
        <v>2850</v>
      </c>
      <c r="C757" s="294"/>
      <c r="D757" s="45" t="s">
        <v>31</v>
      </c>
      <c r="E757" s="45" t="s">
        <v>2873</v>
      </c>
      <c r="F757" s="82">
        <f>IFERROR(VLOOKUP(E757,客户!B:C,2,FALSE),"/")</f>
        <v>0</v>
      </c>
      <c r="G757" s="45" t="s">
        <v>2874</v>
      </c>
      <c r="H757" s="145" t="s">
        <v>147</v>
      </c>
      <c r="I757" s="145"/>
      <c r="J757" s="110"/>
      <c r="K757" s="93"/>
      <c r="L757" s="93"/>
      <c r="M757" s="110"/>
      <c r="N757" s="146" t="s">
        <v>2875</v>
      </c>
      <c r="O757" s="108"/>
      <c r="P757" s="107">
        <v>22255.8</v>
      </c>
      <c r="Q757" s="235">
        <v>4452</v>
      </c>
      <c r="R757" s="282"/>
      <c r="S757" s="130"/>
      <c r="T757" s="107"/>
      <c r="U757" s="93"/>
      <c r="V757" s="126"/>
      <c r="W757" s="214"/>
    </row>
    <row r="758" s="43" customFormat="1" ht="22" customHeight="1" spans="1:23">
      <c r="A758" s="142" t="s">
        <v>2876</v>
      </c>
      <c r="B758" s="293" t="s">
        <v>2850</v>
      </c>
      <c r="C758" s="294"/>
      <c r="D758" s="45" t="s">
        <v>31</v>
      </c>
      <c r="E758" s="45" t="s">
        <v>2877</v>
      </c>
      <c r="F758" s="82" t="str">
        <f>IFERROR(VLOOKUP(E758,客户!B:C,2,FALSE),"/")</f>
        <v>/</v>
      </c>
      <c r="G758" s="45" t="s">
        <v>2878</v>
      </c>
      <c r="H758" s="145"/>
      <c r="I758" s="145"/>
      <c r="J758" s="110">
        <v>43371</v>
      </c>
      <c r="K758" s="93"/>
      <c r="L758" s="93"/>
      <c r="M758" s="110"/>
      <c r="N758" s="162" t="s">
        <v>2879</v>
      </c>
      <c r="O758" s="108"/>
      <c r="P758" s="107">
        <v>49281.2</v>
      </c>
      <c r="Q758" s="235">
        <v>14253</v>
      </c>
      <c r="R758" s="129"/>
      <c r="S758" s="130"/>
      <c r="T758" s="107"/>
      <c r="U758" s="93"/>
      <c r="V758" s="128"/>
      <c r="W758" s="214"/>
    </row>
    <row r="759" s="43" customFormat="1" ht="22" customHeight="1" spans="1:23">
      <c r="A759" s="142" t="s">
        <v>2880</v>
      </c>
      <c r="B759" s="293" t="s">
        <v>2850</v>
      </c>
      <c r="C759" s="294"/>
      <c r="D759" s="45" t="s">
        <v>31</v>
      </c>
      <c r="E759" s="45" t="s">
        <v>2881</v>
      </c>
      <c r="F759" s="82" t="str">
        <f>IFERROR(VLOOKUP(E759,客户!B:C,2,FALSE),"/")</f>
        <v>/</v>
      </c>
      <c r="G759" s="45" t="s">
        <v>2882</v>
      </c>
      <c r="H759" s="145"/>
      <c r="I759" s="145"/>
      <c r="J759" s="110">
        <v>43384</v>
      </c>
      <c r="K759" s="93"/>
      <c r="L759" s="93"/>
      <c r="M759" s="110"/>
      <c r="N759" s="162" t="s">
        <v>2883</v>
      </c>
      <c r="O759" s="108"/>
      <c r="P759" s="107">
        <v>38250.37</v>
      </c>
      <c r="Q759" s="235">
        <v>12064</v>
      </c>
      <c r="R759" s="129"/>
      <c r="S759" s="130"/>
      <c r="T759" s="107"/>
      <c r="U759" s="93"/>
      <c r="V759" s="126"/>
      <c r="W759" s="284"/>
    </row>
    <row r="760" s="43" customFormat="1" ht="22" customHeight="1" spans="1:23">
      <c r="A760" s="142" t="s">
        <v>2884</v>
      </c>
      <c r="B760" s="293" t="s">
        <v>2850</v>
      </c>
      <c r="C760" s="294"/>
      <c r="D760" s="45" t="s">
        <v>31</v>
      </c>
      <c r="E760" s="45" t="s">
        <v>2885</v>
      </c>
      <c r="F760" s="82" t="str">
        <f>IFERROR(VLOOKUP(E760,客户!B:C,2,FALSE),"/")</f>
        <v>/</v>
      </c>
      <c r="G760" s="45" t="s">
        <v>2886</v>
      </c>
      <c r="H760" s="145"/>
      <c r="I760" s="145" t="s">
        <v>2887</v>
      </c>
      <c r="J760" s="110">
        <v>43389</v>
      </c>
      <c r="K760" s="93">
        <v>43427</v>
      </c>
      <c r="L760" s="93">
        <v>43456</v>
      </c>
      <c r="M760" s="110"/>
      <c r="N760" s="110" t="s">
        <v>2888</v>
      </c>
      <c r="O760" s="108"/>
      <c r="P760" s="107">
        <v>22153.1</v>
      </c>
      <c r="Q760" s="235">
        <v>6400</v>
      </c>
      <c r="R760" s="129"/>
      <c r="S760" s="130"/>
      <c r="T760" s="107">
        <v>15744</v>
      </c>
      <c r="U760" s="93"/>
      <c r="V760" s="107"/>
      <c r="W760" s="214"/>
    </row>
    <row r="761" s="43" customFormat="1" ht="22" customHeight="1" spans="1:23">
      <c r="A761" s="142" t="s">
        <v>2889</v>
      </c>
      <c r="B761" s="293" t="s">
        <v>2850</v>
      </c>
      <c r="C761" s="294"/>
      <c r="D761" s="45" t="s">
        <v>31</v>
      </c>
      <c r="E761" s="45" t="s">
        <v>2890</v>
      </c>
      <c r="F761" s="82" t="str">
        <f>IFERROR(VLOOKUP(E761,客户!B:C,2,FALSE),"/")</f>
        <v>/</v>
      </c>
      <c r="G761" s="45" t="s">
        <v>2891</v>
      </c>
      <c r="H761" s="145" t="s">
        <v>123</v>
      </c>
      <c r="I761" s="145" t="s">
        <v>2892</v>
      </c>
      <c r="J761" s="110">
        <v>43427</v>
      </c>
      <c r="K761" s="93">
        <v>43444</v>
      </c>
      <c r="L761" s="93">
        <v>43486</v>
      </c>
      <c r="M761" s="205"/>
      <c r="N761" s="162" t="s">
        <v>2893</v>
      </c>
      <c r="O761" s="108"/>
      <c r="P761" s="107">
        <v>9626.75</v>
      </c>
      <c r="Q761" s="235">
        <v>2706.2</v>
      </c>
      <c r="R761" s="129">
        <v>0</v>
      </c>
      <c r="S761" s="130"/>
      <c r="T761" s="107">
        <v>6911.73</v>
      </c>
      <c r="U761" s="93"/>
      <c r="V761" s="128"/>
      <c r="W761" s="214"/>
    </row>
    <row r="762" s="43" customFormat="1" ht="22" customHeight="1" spans="1:23">
      <c r="A762" s="142" t="s">
        <v>2894</v>
      </c>
      <c r="B762" s="293" t="s">
        <v>2850</v>
      </c>
      <c r="C762" s="294"/>
      <c r="D762" s="45" t="s">
        <v>31</v>
      </c>
      <c r="E762" s="45" t="s">
        <v>2895</v>
      </c>
      <c r="F762" s="82" t="str">
        <f>IFERROR(VLOOKUP(E762,客户!B:C,2,FALSE),"/")</f>
        <v>/</v>
      </c>
      <c r="G762" s="45" t="s">
        <v>2896</v>
      </c>
      <c r="H762" s="145" t="s">
        <v>123</v>
      </c>
      <c r="I762" s="145" t="s">
        <v>2887</v>
      </c>
      <c r="J762" s="110">
        <v>43426</v>
      </c>
      <c r="K762" s="93">
        <v>43466</v>
      </c>
      <c r="L762" s="93">
        <v>43505</v>
      </c>
      <c r="M762" s="298"/>
      <c r="N762" s="110" t="s">
        <v>2897</v>
      </c>
      <c r="O762" s="108"/>
      <c r="P762" s="107">
        <v>48551.5</v>
      </c>
      <c r="Q762" s="235">
        <v>16266.8</v>
      </c>
      <c r="R762" s="129">
        <v>0</v>
      </c>
      <c r="S762" s="130"/>
      <c r="T762" s="107">
        <v>32263</v>
      </c>
      <c r="U762" s="93">
        <v>43494</v>
      </c>
      <c r="V762" s="189"/>
      <c r="W762" s="214"/>
    </row>
    <row r="763" s="43" customFormat="1" ht="22" customHeight="1" spans="1:23">
      <c r="A763" s="142" t="s">
        <v>2898</v>
      </c>
      <c r="B763" s="293" t="s">
        <v>2850</v>
      </c>
      <c r="C763" s="294"/>
      <c r="D763" s="45" t="s">
        <v>31</v>
      </c>
      <c r="E763" s="45" t="s">
        <v>2899</v>
      </c>
      <c r="F763" s="82">
        <f>IFERROR(VLOOKUP(E763,客户!B:C,2,FALSE),"/")</f>
        <v>0</v>
      </c>
      <c r="G763" s="45" t="s">
        <v>2900</v>
      </c>
      <c r="H763" s="145" t="s">
        <v>123</v>
      </c>
      <c r="I763" s="145" t="s">
        <v>2887</v>
      </c>
      <c r="J763" s="110">
        <v>43436</v>
      </c>
      <c r="K763" s="93">
        <v>43476</v>
      </c>
      <c r="L763" s="93">
        <v>43512</v>
      </c>
      <c r="M763" s="298"/>
      <c r="N763" s="110" t="s">
        <v>2901</v>
      </c>
      <c r="O763" s="108"/>
      <c r="P763" s="107">
        <v>71307.2</v>
      </c>
      <c r="Q763" s="300">
        <v>39414.45</v>
      </c>
      <c r="R763" s="129">
        <v>0</v>
      </c>
      <c r="S763" s="130"/>
      <c r="T763" s="107">
        <v>99266</v>
      </c>
      <c r="U763" s="93">
        <v>43490</v>
      </c>
      <c r="V763" s="128"/>
      <c r="W763" s="214"/>
    </row>
    <row r="764" s="43" customFormat="1" ht="22" customHeight="1" spans="1:23">
      <c r="A764" s="142" t="s">
        <v>2902</v>
      </c>
      <c r="B764" s="293" t="s">
        <v>2850</v>
      </c>
      <c r="C764" s="294"/>
      <c r="D764" s="45" t="s">
        <v>31</v>
      </c>
      <c r="E764" s="45" t="s">
        <v>2899</v>
      </c>
      <c r="F764" s="82">
        <f>IFERROR(VLOOKUP(E764,客户!B:C,2,FALSE),"/")</f>
        <v>0</v>
      </c>
      <c r="G764" s="45" t="s">
        <v>2903</v>
      </c>
      <c r="H764" s="145" t="s">
        <v>123</v>
      </c>
      <c r="I764" s="145" t="s">
        <v>2887</v>
      </c>
      <c r="J764" s="110"/>
      <c r="K764" s="93">
        <v>43480</v>
      </c>
      <c r="L764" s="93">
        <v>43519</v>
      </c>
      <c r="M764" s="298"/>
      <c r="N764" s="110" t="s">
        <v>2904</v>
      </c>
      <c r="O764" s="108"/>
      <c r="P764" s="107">
        <v>67391.02</v>
      </c>
      <c r="Q764" s="300"/>
      <c r="R764" s="129"/>
      <c r="S764" s="130"/>
      <c r="T764" s="107"/>
      <c r="U764" s="93">
        <v>43490</v>
      </c>
      <c r="V764" s="128"/>
      <c r="W764" s="214"/>
    </row>
    <row r="765" s="43" customFormat="1" ht="22" customHeight="1" spans="1:23">
      <c r="A765" s="142" t="s">
        <v>2905</v>
      </c>
      <c r="B765" s="293" t="s">
        <v>2850</v>
      </c>
      <c r="C765" s="294"/>
      <c r="D765" s="45" t="s">
        <v>31</v>
      </c>
      <c r="E765" s="45" t="s">
        <v>2873</v>
      </c>
      <c r="F765" s="82">
        <f>IFERROR(VLOOKUP(E765,客户!B:C,2,FALSE),"/")</f>
        <v>0</v>
      </c>
      <c r="G765" s="45" t="s">
        <v>2906</v>
      </c>
      <c r="H765" s="190" t="s">
        <v>147</v>
      </c>
      <c r="I765" s="145" t="s">
        <v>2887</v>
      </c>
      <c r="J765" s="110">
        <v>43446</v>
      </c>
      <c r="K765" s="93">
        <v>43487</v>
      </c>
      <c r="L765" s="93">
        <v>43527</v>
      </c>
      <c r="M765" s="205" t="s">
        <v>2907</v>
      </c>
      <c r="N765" s="110" t="s">
        <v>2908</v>
      </c>
      <c r="O765" s="108"/>
      <c r="P765" s="107">
        <v>39950.9</v>
      </c>
      <c r="Q765" s="235">
        <v>2987.53</v>
      </c>
      <c r="R765" s="129">
        <v>0</v>
      </c>
      <c r="S765" s="130"/>
      <c r="T765" s="210">
        <v>33914</v>
      </c>
      <c r="U765" s="93">
        <v>43511</v>
      </c>
      <c r="V765" s="128"/>
      <c r="W765" s="214"/>
    </row>
    <row r="766" s="43" customFormat="1" ht="22" customHeight="1" spans="1:23">
      <c r="A766" s="142" t="s">
        <v>2909</v>
      </c>
      <c r="B766" s="293" t="s">
        <v>2850</v>
      </c>
      <c r="C766" s="294"/>
      <c r="D766" s="45" t="s">
        <v>31</v>
      </c>
      <c r="E766" s="45" t="s">
        <v>2873</v>
      </c>
      <c r="F766" s="82">
        <f>IFERROR(VLOOKUP(E766,客户!B:C,2,FALSE),"/")</f>
        <v>0</v>
      </c>
      <c r="G766" s="45" t="s">
        <v>2910</v>
      </c>
      <c r="H766" s="190" t="s">
        <v>147</v>
      </c>
      <c r="I766" s="145" t="s">
        <v>2887</v>
      </c>
      <c r="J766" s="110">
        <v>43451</v>
      </c>
      <c r="K766" s="93">
        <v>43487</v>
      </c>
      <c r="L766" s="93">
        <v>43527</v>
      </c>
      <c r="M766" s="205" t="s">
        <v>2907</v>
      </c>
      <c r="N766" s="110" t="s">
        <v>2908</v>
      </c>
      <c r="O766" s="108"/>
      <c r="P766" s="107"/>
      <c r="Q766" s="235">
        <v>3005.1</v>
      </c>
      <c r="R766" s="129"/>
      <c r="S766" s="130"/>
      <c r="T766" s="210"/>
      <c r="U766" s="93">
        <v>43511</v>
      </c>
      <c r="V766" s="128"/>
      <c r="W766" s="214"/>
    </row>
    <row r="767" s="43" customFormat="1" ht="22" customHeight="1" spans="1:23">
      <c r="A767" s="142" t="s">
        <v>2911</v>
      </c>
      <c r="B767" s="293" t="s">
        <v>2850</v>
      </c>
      <c r="C767" s="294"/>
      <c r="D767" s="45" t="s">
        <v>31</v>
      </c>
      <c r="E767" s="45" t="s">
        <v>2912</v>
      </c>
      <c r="F767" s="82" t="str">
        <f>IFERROR(VLOOKUP(E767,客户!B:C,2,FALSE),"/")</f>
        <v>/</v>
      </c>
      <c r="G767" s="45" t="s">
        <v>93</v>
      </c>
      <c r="H767" s="145" t="s">
        <v>123</v>
      </c>
      <c r="I767" s="145" t="s">
        <v>2290</v>
      </c>
      <c r="J767" s="110">
        <v>43454</v>
      </c>
      <c r="K767" s="93">
        <v>43485</v>
      </c>
      <c r="L767" s="93">
        <v>43519</v>
      </c>
      <c r="M767" s="298"/>
      <c r="N767" s="110" t="s">
        <v>2913</v>
      </c>
      <c r="O767" s="108"/>
      <c r="P767" s="107">
        <v>20392.44</v>
      </c>
      <c r="Q767" s="235" t="s">
        <v>2914</v>
      </c>
      <c r="R767" s="129">
        <v>0</v>
      </c>
      <c r="S767" s="130"/>
      <c r="T767" s="107" t="s">
        <v>2915</v>
      </c>
      <c r="U767" s="93">
        <v>43483</v>
      </c>
      <c r="V767" s="128"/>
      <c r="W767" s="214"/>
    </row>
    <row r="768" s="43" customFormat="1" ht="22" customHeight="1" spans="1:23">
      <c r="A768" s="142" t="s">
        <v>2916</v>
      </c>
      <c r="B768" s="293" t="s">
        <v>2850</v>
      </c>
      <c r="C768" s="294"/>
      <c r="D768" s="45" t="s">
        <v>31</v>
      </c>
      <c r="E768" s="45" t="s">
        <v>2873</v>
      </c>
      <c r="F768" s="82">
        <f>IFERROR(VLOOKUP(E768,客户!B:C,2,FALSE),"/")</f>
        <v>0</v>
      </c>
      <c r="G768" s="45" t="s">
        <v>93</v>
      </c>
      <c r="H768" s="190" t="s">
        <v>147</v>
      </c>
      <c r="I768" s="145" t="s">
        <v>1874</v>
      </c>
      <c r="J768" s="110">
        <v>43465</v>
      </c>
      <c r="K768" s="93">
        <v>43496</v>
      </c>
      <c r="L768" s="93">
        <v>43540</v>
      </c>
      <c r="M768" s="205" t="s">
        <v>2917</v>
      </c>
      <c r="N768" s="110" t="s">
        <v>2918</v>
      </c>
      <c r="O768" s="108"/>
      <c r="P768" s="107">
        <v>36100.3</v>
      </c>
      <c r="Q768" s="107">
        <v>3046</v>
      </c>
      <c r="R768" s="129">
        <v>0</v>
      </c>
      <c r="S768" s="130"/>
      <c r="T768" s="210">
        <v>30641</v>
      </c>
      <c r="U768" s="93">
        <v>43538</v>
      </c>
      <c r="V768" s="107"/>
      <c r="W768" s="214"/>
    </row>
    <row r="769" s="43" customFormat="1" ht="22" customHeight="1" spans="1:23">
      <c r="A769" s="142" t="s">
        <v>2919</v>
      </c>
      <c r="B769" s="293" t="s">
        <v>2850</v>
      </c>
      <c r="C769" s="294"/>
      <c r="D769" s="45" t="s">
        <v>31</v>
      </c>
      <c r="E769" s="45" t="s">
        <v>2873</v>
      </c>
      <c r="F769" s="82">
        <f>IFERROR(VLOOKUP(E769,客户!B:C,2,FALSE),"/")</f>
        <v>0</v>
      </c>
      <c r="G769" s="45" t="s">
        <v>1599</v>
      </c>
      <c r="H769" s="190" t="s">
        <v>147</v>
      </c>
      <c r="I769" s="145" t="s">
        <v>1874</v>
      </c>
      <c r="J769" s="110">
        <v>43465</v>
      </c>
      <c r="K769" s="93">
        <v>43496</v>
      </c>
      <c r="L769" s="93">
        <v>43540</v>
      </c>
      <c r="M769" s="205" t="s">
        <v>2917</v>
      </c>
      <c r="N769" s="110" t="s">
        <v>2920</v>
      </c>
      <c r="O769" s="108"/>
      <c r="P769" s="107"/>
      <c r="Q769" s="107">
        <v>2369</v>
      </c>
      <c r="R769" s="129"/>
      <c r="S769" s="130"/>
      <c r="T769" s="210"/>
      <c r="U769" s="93">
        <v>43538</v>
      </c>
      <c r="V769" s="107"/>
      <c r="W769" s="214"/>
    </row>
    <row r="770" s="43" customFormat="1" ht="22" customHeight="1" spans="1:23">
      <c r="A770" s="142" t="s">
        <v>2921</v>
      </c>
      <c r="B770" s="293" t="s">
        <v>2850</v>
      </c>
      <c r="C770" s="294"/>
      <c r="D770" s="45" t="s">
        <v>31</v>
      </c>
      <c r="E770" s="45" t="s">
        <v>2922</v>
      </c>
      <c r="F770" s="82" t="str">
        <f>IFERROR(VLOOKUP(E770,客户!B:C,2,FALSE),"/")</f>
        <v>/</v>
      </c>
      <c r="G770" s="45" t="s">
        <v>2923</v>
      </c>
      <c r="H770" s="145" t="s">
        <v>123</v>
      </c>
      <c r="I770" s="145" t="s">
        <v>1874</v>
      </c>
      <c r="J770" s="110">
        <v>43465</v>
      </c>
      <c r="K770" s="93">
        <v>43496</v>
      </c>
      <c r="L770" s="93">
        <v>43540</v>
      </c>
      <c r="M770" s="205" t="s">
        <v>2924</v>
      </c>
      <c r="N770" s="110" t="s">
        <v>620</v>
      </c>
      <c r="O770" s="108"/>
      <c r="P770" s="107">
        <v>40615.9</v>
      </c>
      <c r="Q770" s="235">
        <v>7633</v>
      </c>
      <c r="R770" s="129">
        <v>0</v>
      </c>
      <c r="S770" s="130"/>
      <c r="T770" s="107">
        <v>32960</v>
      </c>
      <c r="U770" s="93">
        <v>43535</v>
      </c>
      <c r="V770" s="135"/>
      <c r="W770" s="214"/>
    </row>
    <row r="771" s="43" customFormat="1" ht="22" customHeight="1" spans="1:23">
      <c r="A771" s="142" t="s">
        <v>2925</v>
      </c>
      <c r="B771" s="293" t="s">
        <v>2850</v>
      </c>
      <c r="C771" s="294"/>
      <c r="D771" s="45" t="s">
        <v>31</v>
      </c>
      <c r="E771" s="45" t="s">
        <v>2867</v>
      </c>
      <c r="F771" s="82">
        <f>IFERROR(VLOOKUP(E771,客户!B:C,2,FALSE),"/")</f>
        <v>0</v>
      </c>
      <c r="G771" s="45" t="s">
        <v>93</v>
      </c>
      <c r="H771" s="145" t="s">
        <v>123</v>
      </c>
      <c r="I771" s="145" t="s">
        <v>1874</v>
      </c>
      <c r="J771" s="110">
        <v>43469</v>
      </c>
      <c r="K771" s="93">
        <v>43496</v>
      </c>
      <c r="L771" s="93">
        <v>43519</v>
      </c>
      <c r="M771" s="205" t="s">
        <v>2926</v>
      </c>
      <c r="N771" s="110" t="s">
        <v>2927</v>
      </c>
      <c r="O771" s="108"/>
      <c r="P771" s="107">
        <v>20313.7</v>
      </c>
      <c r="Q771" s="235">
        <v>3817</v>
      </c>
      <c r="R771" s="129">
        <v>0</v>
      </c>
      <c r="S771" s="130"/>
      <c r="T771" s="107">
        <v>16474</v>
      </c>
      <c r="U771" s="93">
        <v>43514</v>
      </c>
      <c r="V771" s="135"/>
      <c r="W771" s="214"/>
    </row>
    <row r="772" s="43" customFormat="1" ht="22" customHeight="1" spans="1:23">
      <c r="A772" s="142" t="s">
        <v>2928</v>
      </c>
      <c r="B772" s="293" t="s">
        <v>2850</v>
      </c>
      <c r="C772" s="294"/>
      <c r="D772" s="45" t="s">
        <v>31</v>
      </c>
      <c r="E772" s="45" t="s">
        <v>2929</v>
      </c>
      <c r="F772" s="82" t="str">
        <f>IFERROR(VLOOKUP(E772,客户!B:C,2,FALSE),"/")</f>
        <v>/</v>
      </c>
      <c r="G772" s="45" t="s">
        <v>2416</v>
      </c>
      <c r="H772" s="190" t="s">
        <v>147</v>
      </c>
      <c r="I772" s="145" t="s">
        <v>1874</v>
      </c>
      <c r="J772" s="110">
        <v>43472</v>
      </c>
      <c r="K772" s="93">
        <v>43537</v>
      </c>
      <c r="L772" s="93">
        <v>43582</v>
      </c>
      <c r="M772" s="205" t="s">
        <v>2930</v>
      </c>
      <c r="N772" s="110" t="s">
        <v>2931</v>
      </c>
      <c r="O772" s="108"/>
      <c r="P772" s="107">
        <v>38793</v>
      </c>
      <c r="Q772" s="235">
        <v>7758.6</v>
      </c>
      <c r="R772" s="129">
        <v>0</v>
      </c>
      <c r="S772" s="130"/>
      <c r="T772" s="107">
        <v>30963</v>
      </c>
      <c r="U772" s="93">
        <v>43588</v>
      </c>
      <c r="V772" s="107"/>
      <c r="W772" s="214"/>
    </row>
    <row r="773" s="43" customFormat="1" ht="22" customHeight="1" spans="1:23">
      <c r="A773" s="142" t="s">
        <v>2932</v>
      </c>
      <c r="B773" s="293" t="s">
        <v>2850</v>
      </c>
      <c r="C773" s="294"/>
      <c r="D773" s="45" t="s">
        <v>31</v>
      </c>
      <c r="E773" s="45" t="s">
        <v>2933</v>
      </c>
      <c r="F773" s="82" t="str">
        <f>IFERROR(VLOOKUP(E773,客户!B:C,2,FALSE),"/")</f>
        <v>/</v>
      </c>
      <c r="G773" s="45" t="s">
        <v>91</v>
      </c>
      <c r="H773" s="190" t="s">
        <v>147</v>
      </c>
      <c r="I773" s="145" t="s">
        <v>2934</v>
      </c>
      <c r="J773" s="110">
        <v>43489</v>
      </c>
      <c r="K773" s="93">
        <v>43551</v>
      </c>
      <c r="L773" s="93">
        <v>43564</v>
      </c>
      <c r="M773" s="309" t="s">
        <v>2935</v>
      </c>
      <c r="N773" s="110" t="s">
        <v>2936</v>
      </c>
      <c r="O773" s="108"/>
      <c r="P773" s="107">
        <v>23739.2</v>
      </c>
      <c r="Q773" s="235">
        <v>7103</v>
      </c>
      <c r="R773" s="129">
        <v>0</v>
      </c>
      <c r="S773" s="130"/>
      <c r="T773" s="107">
        <v>16627</v>
      </c>
      <c r="U773" s="93">
        <v>43558</v>
      </c>
      <c r="V773" s="107"/>
      <c r="W773" s="214"/>
    </row>
    <row r="774" s="43" customFormat="1" ht="22" customHeight="1" spans="1:23">
      <c r="A774" s="142" t="s">
        <v>2937</v>
      </c>
      <c r="B774" s="293" t="s">
        <v>2850</v>
      </c>
      <c r="C774" s="294"/>
      <c r="D774" s="45" t="s">
        <v>31</v>
      </c>
      <c r="E774" s="45" t="s">
        <v>2938</v>
      </c>
      <c r="F774" s="82" t="str">
        <f>IFERROR(VLOOKUP(E774,客户!B:C,2,FALSE),"/")</f>
        <v>/</v>
      </c>
      <c r="G774" s="45" t="s">
        <v>2939</v>
      </c>
      <c r="H774" s="145" t="s">
        <v>123</v>
      </c>
      <c r="I774" s="145" t="s">
        <v>2940</v>
      </c>
      <c r="J774" s="110">
        <v>43509</v>
      </c>
      <c r="K774" s="93">
        <v>43545</v>
      </c>
      <c r="L774" s="93" t="s">
        <v>2941</v>
      </c>
      <c r="M774" s="189"/>
      <c r="N774" s="110"/>
      <c r="O774" s="108"/>
      <c r="P774" s="107">
        <v>19496.35</v>
      </c>
      <c r="Q774" s="235" t="s">
        <v>2942</v>
      </c>
      <c r="R774" s="129">
        <v>0</v>
      </c>
      <c r="S774" s="130"/>
      <c r="T774" s="107">
        <v>11670</v>
      </c>
      <c r="U774" s="93">
        <v>43543</v>
      </c>
      <c r="V774" s="107"/>
      <c r="W774" s="214"/>
    </row>
    <row r="775" s="43" customFormat="1" ht="22" customHeight="1" spans="1:23">
      <c r="A775" s="142" t="s">
        <v>2943</v>
      </c>
      <c r="B775" s="293" t="s">
        <v>2850</v>
      </c>
      <c r="C775" s="294"/>
      <c r="D775" s="45" t="s">
        <v>31</v>
      </c>
      <c r="E775" s="45" t="s">
        <v>2944</v>
      </c>
      <c r="F775" s="82">
        <f>IFERROR(VLOOKUP(E775,客户!B:C,2,FALSE),"/")</f>
        <v>0</v>
      </c>
      <c r="G775" s="45" t="s">
        <v>36</v>
      </c>
      <c r="H775" s="145" t="s">
        <v>123</v>
      </c>
      <c r="I775" s="145" t="s">
        <v>1684</v>
      </c>
      <c r="J775" s="110">
        <v>43510</v>
      </c>
      <c r="K775" s="93">
        <v>43546</v>
      </c>
      <c r="L775" s="93">
        <v>43584</v>
      </c>
      <c r="M775" s="205" t="s">
        <v>2945</v>
      </c>
      <c r="N775" s="110" t="s">
        <v>2946</v>
      </c>
      <c r="O775" s="108"/>
      <c r="P775" s="107">
        <v>16301.6</v>
      </c>
      <c r="Q775" s="235">
        <v>5000</v>
      </c>
      <c r="R775" s="129">
        <v>0</v>
      </c>
      <c r="S775" s="130"/>
      <c r="T775" s="107">
        <v>11245</v>
      </c>
      <c r="U775" s="93">
        <v>43585</v>
      </c>
      <c r="V775" s="107"/>
      <c r="W775" s="214"/>
    </row>
    <row r="776" s="43" customFormat="1" ht="22" customHeight="1" spans="1:23">
      <c r="A776" s="142" t="s">
        <v>2947</v>
      </c>
      <c r="B776" s="293" t="s">
        <v>2850</v>
      </c>
      <c r="C776" s="294"/>
      <c r="D776" s="45" t="s">
        <v>31</v>
      </c>
      <c r="E776" s="45" t="s">
        <v>2948</v>
      </c>
      <c r="F776" s="82">
        <f>IFERROR(VLOOKUP(E776,客户!B:C,2,FALSE),"/")</f>
        <v>0</v>
      </c>
      <c r="G776" s="45" t="s">
        <v>2949</v>
      </c>
      <c r="H776" s="190" t="s">
        <v>147</v>
      </c>
      <c r="I776" s="110" t="s">
        <v>2934</v>
      </c>
      <c r="J776" s="110">
        <v>43525</v>
      </c>
      <c r="K776" s="93">
        <v>43561</v>
      </c>
      <c r="L776" s="93">
        <v>43578</v>
      </c>
      <c r="M776" s="162" t="s">
        <v>2950</v>
      </c>
      <c r="N776" s="107" t="s">
        <v>2951</v>
      </c>
      <c r="O776" s="108"/>
      <c r="P776" s="235">
        <v>24790.42</v>
      </c>
      <c r="Q776" s="235">
        <v>7508</v>
      </c>
      <c r="R776" s="129"/>
      <c r="S776" s="130"/>
      <c r="T776" s="107">
        <v>17282.42</v>
      </c>
      <c r="U776" s="93"/>
      <c r="V776" s="107"/>
      <c r="W776" s="214"/>
    </row>
    <row r="777" s="43" customFormat="1" ht="22" customHeight="1" spans="1:23">
      <c r="A777" s="142" t="s">
        <v>2952</v>
      </c>
      <c r="B777" s="293" t="s">
        <v>2850</v>
      </c>
      <c r="C777" s="294"/>
      <c r="D777" s="45" t="s">
        <v>31</v>
      </c>
      <c r="E777" s="45" t="s">
        <v>2899</v>
      </c>
      <c r="F777" s="82">
        <f>IFERROR(VLOOKUP(E777,客户!B:C,2,FALSE),"/")</f>
        <v>0</v>
      </c>
      <c r="G777" s="45" t="s">
        <v>61</v>
      </c>
      <c r="H777" s="145" t="s">
        <v>123</v>
      </c>
      <c r="I777" s="110" t="s">
        <v>1874</v>
      </c>
      <c r="J777" s="110">
        <v>43535</v>
      </c>
      <c r="K777" s="93">
        <v>43578</v>
      </c>
      <c r="L777" s="93">
        <v>43624</v>
      </c>
      <c r="M777" s="146" t="s">
        <v>2953</v>
      </c>
      <c r="N777" s="107" t="s">
        <v>2954</v>
      </c>
      <c r="O777" s="108"/>
      <c r="P777" s="235">
        <v>103129.44</v>
      </c>
      <c r="Q777" s="235">
        <v>48076</v>
      </c>
      <c r="R777" s="129">
        <v>0</v>
      </c>
      <c r="S777" s="130"/>
      <c r="T777" s="107">
        <v>55010</v>
      </c>
      <c r="U777" s="93">
        <v>43600</v>
      </c>
      <c r="V777" s="107"/>
      <c r="W777" s="214"/>
    </row>
    <row r="778" s="43" customFormat="1" ht="22" customHeight="1" spans="1:23">
      <c r="A778" s="142" t="s">
        <v>2955</v>
      </c>
      <c r="B778" s="293" t="s">
        <v>2850</v>
      </c>
      <c r="C778" s="294"/>
      <c r="D778" s="45" t="s">
        <v>31</v>
      </c>
      <c r="E778" s="45" t="s">
        <v>2956</v>
      </c>
      <c r="F778" s="82" t="str">
        <f>IFERROR(VLOOKUP(E778,客户!B:C,2,FALSE),"/")</f>
        <v>/</v>
      </c>
      <c r="G778" s="45" t="s">
        <v>2957</v>
      </c>
      <c r="H778" s="145" t="s">
        <v>123</v>
      </c>
      <c r="I778" s="110" t="s">
        <v>2958</v>
      </c>
      <c r="J778" s="110">
        <v>43539</v>
      </c>
      <c r="K778" s="93">
        <v>43583</v>
      </c>
      <c r="L778" s="93"/>
      <c r="M778" s="182"/>
      <c r="N778" s="107" t="s">
        <v>2959</v>
      </c>
      <c r="O778" s="108"/>
      <c r="P778" s="235">
        <v>19848.8</v>
      </c>
      <c r="Q778" s="235">
        <v>5955</v>
      </c>
      <c r="R778" s="129">
        <v>0</v>
      </c>
      <c r="S778" s="130"/>
      <c r="T778" s="107">
        <v>13855</v>
      </c>
      <c r="U778" s="93">
        <v>43577</v>
      </c>
      <c r="V778" s="107"/>
      <c r="W778" s="214"/>
    </row>
    <row r="779" s="43" customFormat="1" ht="22" customHeight="1" spans="1:23">
      <c r="A779" s="142" t="s">
        <v>2960</v>
      </c>
      <c r="B779" s="293" t="s">
        <v>2850</v>
      </c>
      <c r="C779" s="294"/>
      <c r="D779" s="45" t="s">
        <v>31</v>
      </c>
      <c r="E779" s="45" t="s">
        <v>2867</v>
      </c>
      <c r="F779" s="82">
        <f>IFERROR(VLOOKUP(E779,客户!B:C,2,FALSE),"/")</f>
        <v>0</v>
      </c>
      <c r="G779" s="45" t="s">
        <v>2961</v>
      </c>
      <c r="H779" s="145" t="s">
        <v>123</v>
      </c>
      <c r="I779" s="110" t="s">
        <v>1874</v>
      </c>
      <c r="J779" s="110">
        <v>43550</v>
      </c>
      <c r="K779" s="93">
        <v>43587</v>
      </c>
      <c r="L779" s="93">
        <v>43624</v>
      </c>
      <c r="M779" s="181" t="s">
        <v>2962</v>
      </c>
      <c r="N779" s="107" t="s">
        <v>2963</v>
      </c>
      <c r="O779" s="108"/>
      <c r="P779" s="235">
        <v>43105.1</v>
      </c>
      <c r="Q779" s="235">
        <v>12152</v>
      </c>
      <c r="R779" s="129">
        <v>0</v>
      </c>
      <c r="S779" s="130"/>
      <c r="T779" s="107">
        <v>30931</v>
      </c>
      <c r="U779" s="93">
        <v>43620</v>
      </c>
      <c r="V779" s="107"/>
      <c r="W779" s="214"/>
    </row>
    <row r="780" s="43" customFormat="1" ht="22" customHeight="1" spans="1:23">
      <c r="A780" s="142" t="s">
        <v>2964</v>
      </c>
      <c r="B780" s="293" t="s">
        <v>2850</v>
      </c>
      <c r="C780" s="294"/>
      <c r="D780" s="45" t="s">
        <v>31</v>
      </c>
      <c r="E780" s="45" t="s">
        <v>2929</v>
      </c>
      <c r="F780" s="82" t="str">
        <f>IFERROR(VLOOKUP(E780,客户!B:C,2,FALSE),"/")</f>
        <v>/</v>
      </c>
      <c r="G780" s="45" t="s">
        <v>36</v>
      </c>
      <c r="H780" s="190" t="s">
        <v>147</v>
      </c>
      <c r="I780" s="110" t="s">
        <v>1874</v>
      </c>
      <c r="J780" s="110">
        <v>43556</v>
      </c>
      <c r="K780" s="93">
        <v>43601</v>
      </c>
      <c r="L780" s="93">
        <v>43638</v>
      </c>
      <c r="M780" s="181" t="s">
        <v>2965</v>
      </c>
      <c r="N780" s="107" t="s">
        <v>2966</v>
      </c>
      <c r="O780" s="108"/>
      <c r="P780" s="235">
        <v>22430.2</v>
      </c>
      <c r="Q780" s="235">
        <v>4223.6</v>
      </c>
      <c r="R780" s="129">
        <v>0</v>
      </c>
      <c r="S780" s="130"/>
      <c r="T780" s="107">
        <v>18145</v>
      </c>
      <c r="U780" s="93">
        <v>43642</v>
      </c>
      <c r="V780" s="107"/>
      <c r="W780" s="214"/>
    </row>
    <row r="781" s="43" customFormat="1" ht="22" customHeight="1" spans="1:23">
      <c r="A781" s="142" t="s">
        <v>2967</v>
      </c>
      <c r="B781" s="293" t="s">
        <v>2850</v>
      </c>
      <c r="C781" s="294"/>
      <c r="D781" s="45" t="s">
        <v>31</v>
      </c>
      <c r="E781" s="45" t="s">
        <v>2956</v>
      </c>
      <c r="F781" s="82" t="str">
        <f>IFERROR(VLOOKUP(E781,客户!B:C,2,FALSE),"/")</f>
        <v>/</v>
      </c>
      <c r="G781" s="45" t="s">
        <v>2939</v>
      </c>
      <c r="H781" s="145" t="s">
        <v>123</v>
      </c>
      <c r="I781" s="110" t="s">
        <v>2968</v>
      </c>
      <c r="J781" s="110">
        <v>43556</v>
      </c>
      <c r="K781" s="93">
        <v>43586</v>
      </c>
      <c r="L781" s="93"/>
      <c r="M781" s="181" t="s">
        <v>2969</v>
      </c>
      <c r="N781" s="107" t="s">
        <v>2970</v>
      </c>
      <c r="O781" s="108"/>
      <c r="P781" s="235">
        <v>11861.85</v>
      </c>
      <c r="Q781" s="235">
        <v>3559</v>
      </c>
      <c r="R781" s="129">
        <v>0</v>
      </c>
      <c r="S781" s="130"/>
      <c r="T781" s="107">
        <v>8263</v>
      </c>
      <c r="U781" s="93">
        <v>43585</v>
      </c>
      <c r="V781" s="107"/>
      <c r="W781" s="214"/>
    </row>
    <row r="782" s="43" customFormat="1" ht="22" customHeight="1" spans="1:23">
      <c r="A782" s="142" t="s">
        <v>2971</v>
      </c>
      <c r="B782" s="293" t="s">
        <v>2850</v>
      </c>
      <c r="C782" s="294"/>
      <c r="D782" s="45" t="s">
        <v>31</v>
      </c>
      <c r="E782" s="45" t="s">
        <v>2948</v>
      </c>
      <c r="F782" s="82">
        <f>IFERROR(VLOOKUP(E782,客户!B:C,2,FALSE),"/")</f>
        <v>0</v>
      </c>
      <c r="G782" s="45" t="s">
        <v>2972</v>
      </c>
      <c r="H782" s="190" t="s">
        <v>147</v>
      </c>
      <c r="I782" s="110" t="s">
        <v>2934</v>
      </c>
      <c r="J782" s="110">
        <v>43557</v>
      </c>
      <c r="K782" s="93">
        <v>43596</v>
      </c>
      <c r="L782" s="93">
        <v>43614</v>
      </c>
      <c r="M782" s="181"/>
      <c r="N782" s="107" t="s">
        <v>2973</v>
      </c>
      <c r="O782" s="108"/>
      <c r="P782" s="235">
        <v>23448.08</v>
      </c>
      <c r="Q782" s="235">
        <v>7098</v>
      </c>
      <c r="R782" s="129">
        <v>0</v>
      </c>
      <c r="S782" s="130"/>
      <c r="T782" s="107">
        <v>16341</v>
      </c>
      <c r="U782" s="93">
        <v>43599</v>
      </c>
      <c r="V782" s="107"/>
      <c r="W782" s="214"/>
    </row>
    <row r="783" s="43" customFormat="1" ht="22" customHeight="1" spans="1:23">
      <c r="A783" s="142" t="s">
        <v>2974</v>
      </c>
      <c r="B783" s="293" t="s">
        <v>2850</v>
      </c>
      <c r="C783" s="294"/>
      <c r="D783" s="45" t="s">
        <v>31</v>
      </c>
      <c r="E783" s="45" t="s">
        <v>2873</v>
      </c>
      <c r="F783" s="82">
        <f>IFERROR(VLOOKUP(E783,客户!B:C,2,FALSE),"/")</f>
        <v>0</v>
      </c>
      <c r="G783" s="45" t="s">
        <v>36</v>
      </c>
      <c r="H783" s="190" t="s">
        <v>147</v>
      </c>
      <c r="I783" s="110" t="s">
        <v>1874</v>
      </c>
      <c r="J783" s="110">
        <v>43578</v>
      </c>
      <c r="K783" s="93">
        <v>43609</v>
      </c>
      <c r="L783" s="93">
        <v>43652</v>
      </c>
      <c r="M783" s="181" t="s">
        <v>2975</v>
      </c>
      <c r="N783" s="107" t="s">
        <v>2467</v>
      </c>
      <c r="O783" s="108"/>
      <c r="P783" s="235">
        <v>21192.5</v>
      </c>
      <c r="Q783" s="235">
        <v>3180</v>
      </c>
      <c r="R783" s="129">
        <v>0</v>
      </c>
      <c r="S783" s="130"/>
      <c r="T783" s="107">
        <v>18012</v>
      </c>
      <c r="U783" s="93">
        <v>43643</v>
      </c>
      <c r="V783" s="107"/>
      <c r="W783" s="214"/>
    </row>
    <row r="784" s="43" customFormat="1" ht="22" customHeight="1" spans="1:23">
      <c r="A784" s="142" t="s">
        <v>2976</v>
      </c>
      <c r="B784" s="293" t="s">
        <v>2850</v>
      </c>
      <c r="C784" s="294"/>
      <c r="D784" s="45" t="s">
        <v>31</v>
      </c>
      <c r="E784" s="45" t="s">
        <v>2899</v>
      </c>
      <c r="F784" s="82">
        <f>IFERROR(VLOOKUP(E784,客户!B:C,2,FALSE),"/")</f>
        <v>0</v>
      </c>
      <c r="G784" s="45" t="s">
        <v>513</v>
      </c>
      <c r="H784" s="145" t="s">
        <v>123</v>
      </c>
      <c r="I784" s="110" t="s">
        <v>1874</v>
      </c>
      <c r="J784" s="110">
        <v>43584</v>
      </c>
      <c r="K784" s="93">
        <v>43621</v>
      </c>
      <c r="L784" s="93"/>
      <c r="M784" s="146" t="s">
        <v>2977</v>
      </c>
      <c r="N784" s="107" t="s">
        <v>620</v>
      </c>
      <c r="O784" s="108"/>
      <c r="P784" s="235">
        <v>83331.08</v>
      </c>
      <c r="Q784" s="235">
        <v>68598</v>
      </c>
      <c r="R784" s="129">
        <v>0</v>
      </c>
      <c r="S784" s="130"/>
      <c r="T784" s="107">
        <v>59699</v>
      </c>
      <c r="U784" s="93">
        <v>43635</v>
      </c>
      <c r="V784" s="107"/>
      <c r="W784" s="214"/>
    </row>
    <row r="785" s="43" customFormat="1" ht="22" customHeight="1" spans="1:23">
      <c r="A785" s="142" t="s">
        <v>2978</v>
      </c>
      <c r="B785" s="293" t="s">
        <v>2850</v>
      </c>
      <c r="C785" s="294"/>
      <c r="D785" s="45" t="s">
        <v>31</v>
      </c>
      <c r="E785" s="45" t="s">
        <v>2899</v>
      </c>
      <c r="F785" s="82">
        <f>IFERROR(VLOOKUP(E785,客户!B:C,2,FALSE),"/")</f>
        <v>0</v>
      </c>
      <c r="G785" s="45" t="s">
        <v>2979</v>
      </c>
      <c r="H785" s="145" t="s">
        <v>123</v>
      </c>
      <c r="I785" s="110" t="s">
        <v>1874</v>
      </c>
      <c r="J785" s="110">
        <v>43584</v>
      </c>
      <c r="K785" s="93">
        <v>43634</v>
      </c>
      <c r="L785" s="93">
        <v>43673</v>
      </c>
      <c r="M785" s="181" t="s">
        <v>2980</v>
      </c>
      <c r="N785" s="107" t="s">
        <v>2981</v>
      </c>
      <c r="O785" s="108"/>
      <c r="P785" s="235">
        <v>49051.62</v>
      </c>
      <c r="Q785" s="235"/>
      <c r="R785" s="129"/>
      <c r="S785" s="130"/>
      <c r="T785" s="107"/>
      <c r="U785" s="93"/>
      <c r="V785" s="107"/>
      <c r="W785" s="214"/>
    </row>
    <row r="786" s="43" customFormat="1" ht="22" customHeight="1" spans="1:23">
      <c r="A786" s="142" t="s">
        <v>2982</v>
      </c>
      <c r="B786" s="174" t="s">
        <v>2850</v>
      </c>
      <c r="C786" s="175"/>
      <c r="D786" s="45" t="s">
        <v>31</v>
      </c>
      <c r="E786" s="45" t="s">
        <v>2899</v>
      </c>
      <c r="F786" s="82">
        <f>IFERROR(VLOOKUP(E786,客户!B:C,2,FALSE),"/")</f>
        <v>0</v>
      </c>
      <c r="G786" s="45" t="s">
        <v>234</v>
      </c>
      <c r="H786" s="145" t="s">
        <v>123</v>
      </c>
      <c r="I786" s="110" t="s">
        <v>1874</v>
      </c>
      <c r="J786" s="110">
        <v>43584</v>
      </c>
      <c r="K786" s="93">
        <v>43641</v>
      </c>
      <c r="L786" s="93">
        <v>43687</v>
      </c>
      <c r="M786" s="181" t="s">
        <v>2983</v>
      </c>
      <c r="N786" s="107" t="s">
        <v>2984</v>
      </c>
      <c r="O786" s="108"/>
      <c r="P786" s="235">
        <v>65502.6</v>
      </c>
      <c r="Q786" s="235"/>
      <c r="R786" s="129"/>
      <c r="S786" s="130"/>
      <c r="T786" s="107"/>
      <c r="U786" s="93"/>
      <c r="V786" s="107"/>
      <c r="W786" s="214"/>
    </row>
    <row r="787" s="43" customFormat="1" ht="22" customHeight="1" spans="1:23">
      <c r="A787" s="142" t="s">
        <v>2985</v>
      </c>
      <c r="B787" s="174" t="s">
        <v>2850</v>
      </c>
      <c r="C787" s="175"/>
      <c r="D787" s="45" t="s">
        <v>31</v>
      </c>
      <c r="E787" s="45" t="s">
        <v>2899</v>
      </c>
      <c r="F787" s="82">
        <f>IFERROR(VLOOKUP(E787,客户!B:C,2,FALSE),"/")</f>
        <v>0</v>
      </c>
      <c r="G787" s="45" t="s">
        <v>2986</v>
      </c>
      <c r="H787" s="145" t="s">
        <v>123</v>
      </c>
      <c r="I787" s="110" t="s">
        <v>1874</v>
      </c>
      <c r="J787" s="110">
        <v>43584</v>
      </c>
      <c r="K787" s="93">
        <v>43678</v>
      </c>
      <c r="L787" s="93">
        <v>43728</v>
      </c>
      <c r="M787" s="200" t="s">
        <v>643</v>
      </c>
      <c r="N787" s="107" t="s">
        <v>2987</v>
      </c>
      <c r="O787" s="108"/>
      <c r="P787" s="235">
        <v>41096.6</v>
      </c>
      <c r="Q787" s="235"/>
      <c r="R787" s="129"/>
      <c r="S787" s="130"/>
      <c r="T787" s="107">
        <v>29413</v>
      </c>
      <c r="U787" s="93">
        <v>43718</v>
      </c>
      <c r="V787" s="107"/>
      <c r="W787" s="214"/>
    </row>
    <row r="788" s="43" customFormat="1" ht="22" customHeight="1" spans="1:23">
      <c r="A788" s="142" t="s">
        <v>2988</v>
      </c>
      <c r="B788" s="293" t="s">
        <v>2850</v>
      </c>
      <c r="C788" s="294"/>
      <c r="D788" s="45" t="s">
        <v>31</v>
      </c>
      <c r="E788" s="229" t="s">
        <v>2989</v>
      </c>
      <c r="F788" s="82" t="str">
        <f>IFERROR(VLOOKUP(E788,客户!B:C,2,FALSE),"/")</f>
        <v>安哥拉门及配件给清单  灯的清单和照片 如果HScode是九十五章  提前和报关货代说
2021.3.4收¥55000(汇率6.46，折合美金$8512.93)
冻结中</v>
      </c>
      <c r="G788" s="45" t="s">
        <v>57</v>
      </c>
      <c r="H788" s="145" t="s">
        <v>123</v>
      </c>
      <c r="I788" s="110" t="s">
        <v>2990</v>
      </c>
      <c r="J788" s="110">
        <v>43589</v>
      </c>
      <c r="K788" s="93">
        <v>43614</v>
      </c>
      <c r="L788" s="93">
        <v>43660</v>
      </c>
      <c r="M788" s="182"/>
      <c r="N788" s="107" t="s">
        <v>2991</v>
      </c>
      <c r="O788" s="108"/>
      <c r="P788" s="235">
        <v>20726.08</v>
      </c>
      <c r="Q788" s="235">
        <v>5412.4</v>
      </c>
      <c r="R788" s="129">
        <v>0</v>
      </c>
      <c r="S788" s="130"/>
      <c r="T788" s="317">
        <v>142000</v>
      </c>
      <c r="U788" s="93">
        <v>43650</v>
      </c>
      <c r="V788" s="107"/>
      <c r="W788" s="214"/>
    </row>
    <row r="789" s="43" customFormat="1" ht="22" customHeight="1" spans="1:23">
      <c r="A789" s="142" t="s">
        <v>2992</v>
      </c>
      <c r="B789" s="174" t="s">
        <v>2850</v>
      </c>
      <c r="C789" s="175"/>
      <c r="D789" s="45" t="s">
        <v>31</v>
      </c>
      <c r="E789" s="45" t="s">
        <v>2867</v>
      </c>
      <c r="F789" s="82">
        <f>IFERROR(VLOOKUP(E789,客户!B:C,2,FALSE),"/")</f>
        <v>0</v>
      </c>
      <c r="G789" s="45" t="s">
        <v>2993</v>
      </c>
      <c r="H789" s="145" t="s">
        <v>123</v>
      </c>
      <c r="I789" s="110" t="s">
        <v>1874</v>
      </c>
      <c r="J789" s="110">
        <v>43608</v>
      </c>
      <c r="K789" s="93">
        <v>43655</v>
      </c>
      <c r="L789" s="93">
        <v>43693</v>
      </c>
      <c r="M789" s="181" t="s">
        <v>2994</v>
      </c>
      <c r="N789" s="107" t="s">
        <v>2995</v>
      </c>
      <c r="O789" s="108"/>
      <c r="P789" s="235">
        <v>49639.5</v>
      </c>
      <c r="Q789" s="235">
        <v>16526</v>
      </c>
      <c r="R789" s="129"/>
      <c r="S789" s="130"/>
      <c r="T789" s="107">
        <v>33113</v>
      </c>
      <c r="U789" s="93" t="s">
        <v>2996</v>
      </c>
      <c r="V789" s="107"/>
      <c r="W789" s="214"/>
    </row>
    <row r="790" s="43" customFormat="1" ht="22" customHeight="1" spans="1:23">
      <c r="A790" s="142" t="s">
        <v>2997</v>
      </c>
      <c r="B790" s="293" t="s">
        <v>2850</v>
      </c>
      <c r="C790" s="294"/>
      <c r="D790" s="45" t="s">
        <v>31</v>
      </c>
      <c r="E790" s="45" t="s">
        <v>2998</v>
      </c>
      <c r="F790" s="82" t="str">
        <f>IFERROR(VLOOKUP(E790,客户!B:C,2,FALSE),"/")</f>
        <v>/</v>
      </c>
      <c r="G790" s="45"/>
      <c r="H790" s="145" t="s">
        <v>970</v>
      </c>
      <c r="I790" s="110"/>
      <c r="J790" s="110"/>
      <c r="K790" s="93"/>
      <c r="L790" s="93"/>
      <c r="M790" s="181"/>
      <c r="N790" s="107"/>
      <c r="O790" s="108"/>
      <c r="P790" s="235"/>
      <c r="Q790" s="235"/>
      <c r="R790" s="129"/>
      <c r="S790" s="130"/>
      <c r="T790" s="107" t="s">
        <v>2999</v>
      </c>
      <c r="U790" s="93"/>
      <c r="V790" s="107"/>
      <c r="W790" s="214"/>
    </row>
    <row r="791" s="43" customFormat="1" ht="22" customHeight="1" spans="1:23">
      <c r="A791" s="142" t="s">
        <v>3000</v>
      </c>
      <c r="B791" s="174" t="s">
        <v>2850</v>
      </c>
      <c r="C791" s="175"/>
      <c r="D791" s="45" t="s">
        <v>31</v>
      </c>
      <c r="E791" s="45" t="s">
        <v>2929</v>
      </c>
      <c r="F791" s="82" t="str">
        <f>IFERROR(VLOOKUP(E791,客户!B:C,2,FALSE),"/")</f>
        <v>/</v>
      </c>
      <c r="G791" s="45" t="s">
        <v>3001</v>
      </c>
      <c r="H791" s="190" t="s">
        <v>147</v>
      </c>
      <c r="I791" s="110" t="s">
        <v>1874</v>
      </c>
      <c r="J791" s="110">
        <v>43613</v>
      </c>
      <c r="K791" s="93">
        <v>43655</v>
      </c>
      <c r="L791" s="93">
        <v>43693</v>
      </c>
      <c r="M791" s="181" t="s">
        <v>3002</v>
      </c>
      <c r="N791" s="107" t="s">
        <v>3003</v>
      </c>
      <c r="O791" s="108"/>
      <c r="P791" s="235">
        <v>21688.2</v>
      </c>
      <c r="Q791" s="235" t="s">
        <v>3004</v>
      </c>
      <c r="R791" s="129"/>
      <c r="S791" s="130"/>
      <c r="T791" s="107">
        <v>15534</v>
      </c>
      <c r="U791" s="93">
        <v>43692</v>
      </c>
      <c r="V791" s="107"/>
      <c r="W791" s="214"/>
    </row>
    <row r="792" s="43" customFormat="1" ht="22" customHeight="1" spans="1:23">
      <c r="A792" s="142" t="s">
        <v>3005</v>
      </c>
      <c r="B792" s="174" t="s">
        <v>2850</v>
      </c>
      <c r="C792" s="175"/>
      <c r="D792" s="45" t="s">
        <v>31</v>
      </c>
      <c r="E792" s="45" t="s">
        <v>3006</v>
      </c>
      <c r="F792" s="82">
        <f>IFERROR(VLOOKUP(E792,客户!B:C,2,FALSE),"/")</f>
        <v>0</v>
      </c>
      <c r="G792" s="45" t="s">
        <v>36</v>
      </c>
      <c r="H792" s="145" t="s">
        <v>123</v>
      </c>
      <c r="I792" s="110" t="s">
        <v>3007</v>
      </c>
      <c r="J792" s="110">
        <v>43597</v>
      </c>
      <c r="K792" s="93">
        <v>43729</v>
      </c>
      <c r="L792" s="93">
        <v>43751</v>
      </c>
      <c r="M792" s="182"/>
      <c r="N792" s="107" t="s">
        <v>3008</v>
      </c>
      <c r="O792" s="108"/>
      <c r="P792" s="235">
        <v>19020.76</v>
      </c>
      <c r="Q792" s="235">
        <v>2000</v>
      </c>
      <c r="R792" s="129">
        <v>0</v>
      </c>
      <c r="S792" s="130"/>
      <c r="T792" s="211">
        <v>16998</v>
      </c>
      <c r="U792" s="215">
        <v>43746</v>
      </c>
      <c r="V792" s="107"/>
      <c r="W792" s="214"/>
    </row>
    <row r="793" s="43" customFormat="1" ht="22" customHeight="1" spans="1:23">
      <c r="A793" s="142" t="s">
        <v>3009</v>
      </c>
      <c r="B793" s="174" t="s">
        <v>2850</v>
      </c>
      <c r="C793" s="175"/>
      <c r="D793" s="45" t="s">
        <v>31</v>
      </c>
      <c r="E793" s="45" t="s">
        <v>3006</v>
      </c>
      <c r="F793" s="82">
        <f>IFERROR(VLOOKUP(E793,客户!B:C,2,FALSE),"/")</f>
        <v>0</v>
      </c>
      <c r="G793" s="45" t="s">
        <v>3010</v>
      </c>
      <c r="H793" s="145" t="s">
        <v>123</v>
      </c>
      <c r="I793" s="110" t="s">
        <v>3007</v>
      </c>
      <c r="J793" s="110">
        <v>43597</v>
      </c>
      <c r="K793" s="93">
        <v>43729</v>
      </c>
      <c r="L793" s="93">
        <v>43765</v>
      </c>
      <c r="M793" s="181" t="s">
        <v>3011</v>
      </c>
      <c r="N793" s="107" t="s">
        <v>3008</v>
      </c>
      <c r="O793" s="108"/>
      <c r="P793" s="235">
        <v>19427.8</v>
      </c>
      <c r="Q793" s="318" t="s">
        <v>3012</v>
      </c>
      <c r="R793" s="129">
        <v>0</v>
      </c>
      <c r="S793" s="130"/>
      <c r="T793" s="107">
        <v>19417.8</v>
      </c>
      <c r="U793" s="93">
        <v>43763</v>
      </c>
      <c r="V793" s="107"/>
      <c r="W793" s="214"/>
    </row>
    <row r="794" s="43" customFormat="1" ht="22" customHeight="1" spans="1:23">
      <c r="A794" s="142" t="s">
        <v>3013</v>
      </c>
      <c r="B794" s="174" t="s">
        <v>2850</v>
      </c>
      <c r="C794" s="175"/>
      <c r="D794" s="45" t="s">
        <v>31</v>
      </c>
      <c r="E794" s="45" t="s">
        <v>3014</v>
      </c>
      <c r="F794" s="82" t="str">
        <f>IFERROR(VLOOKUP(E794,客户!B:C,2,FALSE),"/")</f>
        <v>/</v>
      </c>
      <c r="G794" s="45" t="s">
        <v>566</v>
      </c>
      <c r="H794" s="145" t="s">
        <v>123</v>
      </c>
      <c r="I794" s="110" t="s">
        <v>1874</v>
      </c>
      <c r="J794" s="110">
        <v>43640</v>
      </c>
      <c r="K794" s="93">
        <v>43691</v>
      </c>
      <c r="L794" s="93">
        <v>43729</v>
      </c>
      <c r="M794" s="200" t="s">
        <v>3015</v>
      </c>
      <c r="N794" s="107" t="s">
        <v>3016</v>
      </c>
      <c r="O794" s="108"/>
      <c r="P794" s="235">
        <v>41440</v>
      </c>
      <c r="Q794" s="235">
        <v>8091</v>
      </c>
      <c r="R794" s="129"/>
      <c r="S794" s="130"/>
      <c r="T794" s="107">
        <v>33276</v>
      </c>
      <c r="U794" s="93">
        <v>43724</v>
      </c>
      <c r="V794" s="107"/>
      <c r="W794" s="214"/>
    </row>
    <row r="795" s="43" customFormat="1" ht="22" customHeight="1" spans="1:23">
      <c r="A795" s="142" t="s">
        <v>3017</v>
      </c>
      <c r="B795" s="174" t="s">
        <v>2850</v>
      </c>
      <c r="C795" s="175"/>
      <c r="D795" s="45" t="s">
        <v>31</v>
      </c>
      <c r="E795" s="45" t="s">
        <v>2873</v>
      </c>
      <c r="F795" s="82">
        <f>IFERROR(VLOOKUP(E795,客户!B:C,2,FALSE),"/")</f>
        <v>0</v>
      </c>
      <c r="G795" s="45" t="s">
        <v>3018</v>
      </c>
      <c r="H795" s="190" t="s">
        <v>147</v>
      </c>
      <c r="I795" s="110" t="s">
        <v>3019</v>
      </c>
      <c r="J795" s="110">
        <v>43641</v>
      </c>
      <c r="K795" s="93">
        <v>43699</v>
      </c>
      <c r="L795" s="93">
        <v>43735</v>
      </c>
      <c r="M795" s="181" t="s">
        <v>3020</v>
      </c>
      <c r="N795" s="107" t="s">
        <v>3021</v>
      </c>
      <c r="O795" s="108"/>
      <c r="P795" s="235">
        <v>43020</v>
      </c>
      <c r="Q795" s="235"/>
      <c r="R795" s="129"/>
      <c r="S795" s="130"/>
      <c r="T795" s="107">
        <v>36109</v>
      </c>
      <c r="U795" s="93">
        <v>43726</v>
      </c>
      <c r="V795" s="107"/>
      <c r="W795" s="214"/>
    </row>
    <row r="796" s="43" customFormat="1" ht="22" customHeight="1" spans="1:23">
      <c r="A796" s="191" t="s">
        <v>3022</v>
      </c>
      <c r="B796" s="257" t="s">
        <v>2850</v>
      </c>
      <c r="C796" s="258"/>
      <c r="D796" s="45" t="s">
        <v>31</v>
      </c>
      <c r="E796" s="192" t="s">
        <v>3006</v>
      </c>
      <c r="F796" s="82">
        <f>IFERROR(VLOOKUP(E796,客户!B:C,2,FALSE),"/")</f>
        <v>0</v>
      </c>
      <c r="G796" s="192" t="s">
        <v>36</v>
      </c>
      <c r="H796" s="303" t="s">
        <v>123</v>
      </c>
      <c r="I796" s="108" t="s">
        <v>3007</v>
      </c>
      <c r="J796" s="108">
        <v>43597</v>
      </c>
      <c r="K796" s="199">
        <v>43750</v>
      </c>
      <c r="L796" s="93">
        <v>43786</v>
      </c>
      <c r="M796" s="182" t="s">
        <v>3023</v>
      </c>
      <c r="N796" s="207" t="s">
        <v>3008</v>
      </c>
      <c r="O796" s="108" t="s">
        <v>523</v>
      </c>
      <c r="P796" s="211">
        <v>19190.36</v>
      </c>
      <c r="Q796" s="235"/>
      <c r="R796" s="129">
        <v>0</v>
      </c>
      <c r="S796" s="130"/>
      <c r="T796" s="107">
        <v>19180.36</v>
      </c>
      <c r="U796" s="93">
        <v>43784</v>
      </c>
      <c r="V796" s="107"/>
      <c r="W796" s="214"/>
    </row>
    <row r="797" s="43" customFormat="1" ht="22" customHeight="1" spans="1:23">
      <c r="A797" s="256" t="s">
        <v>3024</v>
      </c>
      <c r="B797" s="257" t="s">
        <v>2850</v>
      </c>
      <c r="C797" s="258"/>
      <c r="D797" s="45" t="s">
        <v>31</v>
      </c>
      <c r="E797" s="192" t="s">
        <v>3006</v>
      </c>
      <c r="F797" s="82">
        <f>IFERROR(VLOOKUP(E797,客户!B:C,2,FALSE),"/")</f>
        <v>0</v>
      </c>
      <c r="G797" s="192" t="s">
        <v>36</v>
      </c>
      <c r="H797" s="303" t="s">
        <v>123</v>
      </c>
      <c r="I797" s="108" t="s">
        <v>3007</v>
      </c>
      <c r="J797" s="108">
        <v>43597</v>
      </c>
      <c r="K797" s="93">
        <v>43764</v>
      </c>
      <c r="L797" s="93">
        <v>43800</v>
      </c>
      <c r="M797" s="146" t="s">
        <v>3025</v>
      </c>
      <c r="N797" s="107" t="s">
        <v>3026</v>
      </c>
      <c r="O797" s="108" t="s">
        <v>523</v>
      </c>
      <c r="P797" s="235">
        <v>18350.5</v>
      </c>
      <c r="Q797" s="235"/>
      <c r="R797" s="129">
        <v>0</v>
      </c>
      <c r="S797" s="130"/>
      <c r="T797" s="107">
        <v>18340.5</v>
      </c>
      <c r="U797" s="93">
        <v>43797</v>
      </c>
      <c r="V797" s="107"/>
      <c r="W797" s="214"/>
    </row>
    <row r="798" s="43" customFormat="1" ht="22" customHeight="1" spans="1:23">
      <c r="A798" s="191" t="s">
        <v>3027</v>
      </c>
      <c r="B798" s="257" t="s">
        <v>2850</v>
      </c>
      <c r="C798" s="258"/>
      <c r="D798" s="45" t="s">
        <v>31</v>
      </c>
      <c r="E798" s="192" t="s">
        <v>3006</v>
      </c>
      <c r="F798" s="82">
        <f>IFERROR(VLOOKUP(E798,客户!B:C,2,FALSE),"/")</f>
        <v>0</v>
      </c>
      <c r="G798" s="192" t="s">
        <v>36</v>
      </c>
      <c r="H798" s="303" t="s">
        <v>123</v>
      </c>
      <c r="I798" s="108" t="s">
        <v>3007</v>
      </c>
      <c r="J798" s="108">
        <v>43597</v>
      </c>
      <c r="K798" s="93">
        <v>43799</v>
      </c>
      <c r="L798" s="93">
        <v>43835</v>
      </c>
      <c r="M798" s="181" t="s">
        <v>3028</v>
      </c>
      <c r="N798" s="107" t="s">
        <v>3026</v>
      </c>
      <c r="O798" s="108" t="s">
        <v>523</v>
      </c>
      <c r="P798" s="235">
        <v>18781.51</v>
      </c>
      <c r="Q798" s="235"/>
      <c r="R798" s="129"/>
      <c r="S798" s="130"/>
      <c r="T798" s="107">
        <v>18781.51</v>
      </c>
      <c r="U798" s="93"/>
      <c r="V798" s="107"/>
      <c r="W798" s="214"/>
    </row>
    <row r="799" s="43" customFormat="1" ht="22" customHeight="1" spans="1:23">
      <c r="A799" s="142" t="s">
        <v>3029</v>
      </c>
      <c r="B799" s="174" t="s">
        <v>2850</v>
      </c>
      <c r="C799" s="175"/>
      <c r="D799" s="45" t="s">
        <v>31</v>
      </c>
      <c r="E799" s="45" t="s">
        <v>2873</v>
      </c>
      <c r="F799" s="82">
        <f>IFERROR(VLOOKUP(E799,客户!B:C,2,FALSE),"/")</f>
        <v>0</v>
      </c>
      <c r="G799" s="45" t="s">
        <v>3018</v>
      </c>
      <c r="H799" s="190" t="s">
        <v>147</v>
      </c>
      <c r="I799" s="110" t="s">
        <v>3019</v>
      </c>
      <c r="J799" s="110">
        <v>43641</v>
      </c>
      <c r="K799" s="93">
        <v>43700</v>
      </c>
      <c r="L799" s="93">
        <v>43745</v>
      </c>
      <c r="M799" s="179" t="s">
        <v>3030</v>
      </c>
      <c r="N799" s="107" t="s">
        <v>3031</v>
      </c>
      <c r="O799" s="108"/>
      <c r="P799" s="235">
        <v>43066</v>
      </c>
      <c r="Q799" s="235">
        <v>13721.25</v>
      </c>
      <c r="R799" s="129">
        <v>0</v>
      </c>
      <c r="S799" s="130"/>
      <c r="T799" s="211">
        <v>36200</v>
      </c>
      <c r="U799" s="215">
        <v>43738</v>
      </c>
      <c r="V799" s="107"/>
      <c r="W799" s="214"/>
    </row>
    <row r="800" s="43" customFormat="1" ht="22" customHeight="1" spans="1:23">
      <c r="A800" s="142" t="s">
        <v>3032</v>
      </c>
      <c r="B800" s="174" t="s">
        <v>2850</v>
      </c>
      <c r="C800" s="175"/>
      <c r="D800" s="45" t="s">
        <v>31</v>
      </c>
      <c r="E800" s="45" t="s">
        <v>2881</v>
      </c>
      <c r="F800" s="82" t="str">
        <f>IFERROR(VLOOKUP(E800,客户!B:C,2,FALSE),"/")</f>
        <v>/</v>
      </c>
      <c r="G800" s="45" t="s">
        <v>3033</v>
      </c>
      <c r="H800" s="145" t="s">
        <v>123</v>
      </c>
      <c r="I800" s="110" t="s">
        <v>3034</v>
      </c>
      <c r="J800" s="110">
        <v>43647</v>
      </c>
      <c r="K800" s="93">
        <v>43675</v>
      </c>
      <c r="L800" s="201"/>
      <c r="M800" s="181"/>
      <c r="N800" s="107" t="s">
        <v>3035</v>
      </c>
      <c r="O800" s="108"/>
      <c r="P800" s="235">
        <v>18856.78</v>
      </c>
      <c r="Q800" s="235">
        <v>5682</v>
      </c>
      <c r="R800" s="129"/>
      <c r="S800" s="130"/>
      <c r="T800" s="107">
        <v>13174</v>
      </c>
      <c r="U800" s="93">
        <v>43690</v>
      </c>
      <c r="V800" s="107"/>
      <c r="W800" s="214"/>
    </row>
    <row r="801" s="43" customFormat="1" ht="22" customHeight="1" spans="1:23">
      <c r="A801" s="142" t="s">
        <v>3036</v>
      </c>
      <c r="B801" s="174" t="s">
        <v>2850</v>
      </c>
      <c r="C801" s="175"/>
      <c r="D801" s="45" t="s">
        <v>31</v>
      </c>
      <c r="E801" s="45" t="s">
        <v>3037</v>
      </c>
      <c r="F801" s="82" t="str">
        <f>IFERROR(VLOOKUP(E801,客户!B:C,2,FALSE),"/")</f>
        <v>/</v>
      </c>
      <c r="G801" s="45" t="s">
        <v>2923</v>
      </c>
      <c r="H801" s="145" t="s">
        <v>123</v>
      </c>
      <c r="I801" s="110" t="s">
        <v>3019</v>
      </c>
      <c r="J801" s="110">
        <v>43675</v>
      </c>
      <c r="K801" s="93">
        <v>43731</v>
      </c>
      <c r="L801" s="93">
        <v>43777</v>
      </c>
      <c r="M801" s="179" t="s">
        <v>3038</v>
      </c>
      <c r="N801" s="107" t="s">
        <v>3039</v>
      </c>
      <c r="O801" s="108"/>
      <c r="P801" s="235">
        <v>41479.04</v>
      </c>
      <c r="Q801" s="235">
        <v>13854</v>
      </c>
      <c r="R801" s="129"/>
      <c r="S801" s="130"/>
      <c r="T801" s="107">
        <v>27534.5</v>
      </c>
      <c r="U801" s="93">
        <v>43773</v>
      </c>
      <c r="V801" s="107"/>
      <c r="W801" s="214"/>
    </row>
    <row r="802" s="43" customFormat="1" ht="22" customHeight="1" spans="1:23">
      <c r="A802" s="143" t="s">
        <v>3040</v>
      </c>
      <c r="B802" s="174" t="s">
        <v>2850</v>
      </c>
      <c r="C802" s="175"/>
      <c r="D802" s="45" t="s">
        <v>31</v>
      </c>
      <c r="E802" s="83" t="s">
        <v>3041</v>
      </c>
      <c r="F802" s="82">
        <f>IFERROR(VLOOKUP(E802,客户!B:C,2,FALSE),"/")</f>
        <v>0</v>
      </c>
      <c r="G802" s="73" t="s">
        <v>598</v>
      </c>
      <c r="H802" s="304" t="s">
        <v>147</v>
      </c>
      <c r="I802" s="110" t="s">
        <v>3019</v>
      </c>
      <c r="J802" s="110">
        <v>43700</v>
      </c>
      <c r="K802" s="93">
        <v>43761</v>
      </c>
      <c r="L802" s="231">
        <v>43798</v>
      </c>
      <c r="M802" s="179" t="s">
        <v>3042</v>
      </c>
      <c r="N802" s="107" t="s">
        <v>3043</v>
      </c>
      <c r="O802" s="108" t="s">
        <v>523</v>
      </c>
      <c r="P802" s="235">
        <v>20001.14</v>
      </c>
      <c r="Q802" s="235">
        <v>4117</v>
      </c>
      <c r="R802" s="129"/>
      <c r="S802" s="130"/>
      <c r="T802" s="107">
        <v>15851.64</v>
      </c>
      <c r="U802" s="93">
        <v>43795</v>
      </c>
      <c r="V802" s="107"/>
      <c r="W802" s="214"/>
    </row>
    <row r="803" s="43" customFormat="1" ht="22" customHeight="1" spans="1:23">
      <c r="A803" s="143" t="s">
        <v>3044</v>
      </c>
      <c r="B803" s="174" t="s">
        <v>2850</v>
      </c>
      <c r="C803" s="175"/>
      <c r="D803" s="45" t="s">
        <v>31</v>
      </c>
      <c r="E803" s="73" t="s">
        <v>2873</v>
      </c>
      <c r="F803" s="82">
        <f>IFERROR(VLOOKUP(E803,客户!B:C,2,FALSE),"/")</f>
        <v>0</v>
      </c>
      <c r="G803" s="73" t="s">
        <v>3045</v>
      </c>
      <c r="H803" s="304" t="s">
        <v>147</v>
      </c>
      <c r="I803" s="110" t="s">
        <v>1874</v>
      </c>
      <c r="J803" s="110">
        <v>43714</v>
      </c>
      <c r="K803" s="93">
        <v>43767</v>
      </c>
      <c r="L803" s="93">
        <v>43812</v>
      </c>
      <c r="M803" s="146" t="s">
        <v>3046</v>
      </c>
      <c r="N803" s="107" t="s">
        <v>3047</v>
      </c>
      <c r="O803" s="108" t="s">
        <v>523</v>
      </c>
      <c r="P803" s="235">
        <v>36002</v>
      </c>
      <c r="Q803" s="235">
        <v>4998.33</v>
      </c>
      <c r="R803" s="129"/>
      <c r="S803" s="130"/>
      <c r="T803" s="107">
        <v>31003.67</v>
      </c>
      <c r="U803" s="93">
        <v>43784</v>
      </c>
      <c r="V803" s="107"/>
      <c r="W803" s="214"/>
    </row>
    <row r="804" s="43" customFormat="1" ht="22" customHeight="1" spans="1:23">
      <c r="A804" s="142" t="s">
        <v>3048</v>
      </c>
      <c r="B804" s="293" t="s">
        <v>2850</v>
      </c>
      <c r="C804" s="294"/>
      <c r="D804" s="45" t="s">
        <v>31</v>
      </c>
      <c r="E804" s="73" t="s">
        <v>3049</v>
      </c>
      <c r="F804" s="82" t="str">
        <f>IFERROR(VLOOKUP(E804,客户!B:C,2,FALSE),"/")</f>
        <v>/</v>
      </c>
      <c r="G804" s="73" t="s">
        <v>3050</v>
      </c>
      <c r="H804" s="304" t="s">
        <v>147</v>
      </c>
      <c r="I804" s="110" t="s">
        <v>3051</v>
      </c>
      <c r="J804" s="110">
        <v>43714</v>
      </c>
      <c r="K804" s="93">
        <v>43766</v>
      </c>
      <c r="L804" s="93">
        <v>43810</v>
      </c>
      <c r="M804" s="179" t="s">
        <v>3052</v>
      </c>
      <c r="N804" s="107" t="s">
        <v>3053</v>
      </c>
      <c r="O804" s="108"/>
      <c r="P804" s="235">
        <v>24798.64</v>
      </c>
      <c r="Q804" s="235">
        <v>8200</v>
      </c>
      <c r="R804" s="129"/>
      <c r="S804" s="130"/>
      <c r="T804" s="107">
        <v>16598.64</v>
      </c>
      <c r="U804" s="93">
        <v>43781</v>
      </c>
      <c r="V804" s="107"/>
      <c r="W804" s="214"/>
    </row>
    <row r="805" s="43" customFormat="1" ht="22" customHeight="1" spans="1:23">
      <c r="A805" s="191" t="s">
        <v>3054</v>
      </c>
      <c r="B805" s="257" t="s">
        <v>2850</v>
      </c>
      <c r="C805" s="258"/>
      <c r="D805" s="45" t="s">
        <v>31</v>
      </c>
      <c r="E805" s="194" t="s">
        <v>2989</v>
      </c>
      <c r="F805" s="82" t="str">
        <f>IFERROR(VLOOKUP(E805,客户!B:C,2,FALSE),"/")</f>
        <v>安哥拉门及配件给清单  灯的清单和照片 如果HScode是九十五章  提前和报关货代说
2021.3.4收¥55000(汇率6.46，折合美金$8512.93)
冻结中</v>
      </c>
      <c r="G805" s="305" t="s">
        <v>3055</v>
      </c>
      <c r="H805" s="306" t="s">
        <v>123</v>
      </c>
      <c r="I805" s="108" t="s">
        <v>3056</v>
      </c>
      <c r="J805" s="108">
        <v>43731</v>
      </c>
      <c r="K805" s="199">
        <v>43775</v>
      </c>
      <c r="L805" s="199">
        <v>43825</v>
      </c>
      <c r="M805" s="310" t="s">
        <v>3057</v>
      </c>
      <c r="N805" s="207" t="s">
        <v>3058</v>
      </c>
      <c r="O805" s="108" t="s">
        <v>523</v>
      </c>
      <c r="P805" s="311">
        <v>25305.09</v>
      </c>
      <c r="Q805" s="311">
        <v>9302</v>
      </c>
      <c r="R805" s="241"/>
      <c r="S805" s="242"/>
      <c r="T805" s="207">
        <v>16003.09</v>
      </c>
      <c r="U805" s="199">
        <v>43824</v>
      </c>
      <c r="V805" s="207"/>
      <c r="W805" s="321"/>
    </row>
    <row r="806" s="43" customFormat="1" ht="22" customHeight="1" spans="1:23">
      <c r="A806" s="191" t="s">
        <v>3059</v>
      </c>
      <c r="B806" s="257" t="s">
        <v>2850</v>
      </c>
      <c r="C806" s="258"/>
      <c r="D806" s="45" t="s">
        <v>31</v>
      </c>
      <c r="E806" s="194" t="s">
        <v>2989</v>
      </c>
      <c r="F806" s="82" t="str">
        <f>IFERROR(VLOOKUP(E806,客户!B:C,2,FALSE),"/")</f>
        <v>安哥拉门及配件给清单  灯的清单和照片 如果HScode是九十五章  提前和报关货代说
2021.3.4收¥55000(汇率6.46，折合美金$8512.93)
冻结中</v>
      </c>
      <c r="G806" s="305" t="s">
        <v>3060</v>
      </c>
      <c r="H806" s="306" t="s">
        <v>123</v>
      </c>
      <c r="I806" s="108" t="s">
        <v>3056</v>
      </c>
      <c r="J806" s="108">
        <v>43731</v>
      </c>
      <c r="K806" s="199">
        <v>43796</v>
      </c>
      <c r="L806" s="199">
        <v>43843</v>
      </c>
      <c r="M806" s="312" t="s">
        <v>3061</v>
      </c>
      <c r="N806" s="207" t="s">
        <v>3058</v>
      </c>
      <c r="O806" s="108" t="s">
        <v>523</v>
      </c>
      <c r="P806" s="311">
        <v>23534.48</v>
      </c>
      <c r="Q806" s="311">
        <v>4570.39</v>
      </c>
      <c r="R806" s="241"/>
      <c r="S806" s="242"/>
      <c r="T806" s="207">
        <v>18930.64</v>
      </c>
      <c r="U806" s="199">
        <v>43840</v>
      </c>
      <c r="V806" s="207"/>
      <c r="W806" s="321"/>
    </row>
    <row r="807" s="43" customFormat="1" ht="22" customHeight="1" spans="1:23">
      <c r="A807" s="142" t="s">
        <v>3062</v>
      </c>
      <c r="B807" s="174" t="s">
        <v>2850</v>
      </c>
      <c r="C807" s="175"/>
      <c r="D807" s="45" t="s">
        <v>31</v>
      </c>
      <c r="E807" s="83" t="s">
        <v>3063</v>
      </c>
      <c r="F807" s="82" t="str">
        <f>IFERROR(VLOOKUP(E807,客户!B:C,2,FALSE),"/")</f>
        <v>/</v>
      </c>
      <c r="G807" s="85" t="s">
        <v>3064</v>
      </c>
      <c r="H807" s="144" t="s">
        <v>123</v>
      </c>
      <c r="I807" s="110" t="s">
        <v>3019</v>
      </c>
      <c r="J807" s="110">
        <v>43735</v>
      </c>
      <c r="K807" s="93">
        <v>43792</v>
      </c>
      <c r="L807" s="93">
        <v>43833</v>
      </c>
      <c r="M807" s="146" t="s">
        <v>3065</v>
      </c>
      <c r="N807" s="107" t="s">
        <v>3066</v>
      </c>
      <c r="O807" s="108" t="s">
        <v>523</v>
      </c>
      <c r="P807" s="235">
        <v>44822.5</v>
      </c>
      <c r="Q807" s="235">
        <v>14903</v>
      </c>
      <c r="R807" s="129"/>
      <c r="S807" s="130"/>
      <c r="T807" s="107">
        <v>29919</v>
      </c>
      <c r="U807" s="93">
        <v>43825</v>
      </c>
      <c r="V807" s="107"/>
      <c r="W807" s="214"/>
    </row>
    <row r="808" s="43" customFormat="1" ht="22" customHeight="1" spans="1:23">
      <c r="A808" s="260" t="s">
        <v>3067</v>
      </c>
      <c r="B808" s="174" t="s">
        <v>2850</v>
      </c>
      <c r="C808" s="175"/>
      <c r="D808" s="45" t="s">
        <v>31</v>
      </c>
      <c r="E808" s="307" t="s">
        <v>3068</v>
      </c>
      <c r="F808" s="82" t="str">
        <f>IFERROR(VLOOKUP(E808,客户!B:C,2,FALSE),"/")</f>
        <v>/</v>
      </c>
      <c r="G808" s="307" t="s">
        <v>3069</v>
      </c>
      <c r="H808" s="144" t="s">
        <v>123</v>
      </c>
      <c r="I808" s="110" t="s">
        <v>3034</v>
      </c>
      <c r="J808" s="110">
        <v>43746</v>
      </c>
      <c r="K808" s="93">
        <v>43784</v>
      </c>
      <c r="L808" s="93">
        <v>43818</v>
      </c>
      <c r="M808" s="181" t="s">
        <v>3070</v>
      </c>
      <c r="N808" s="107" t="s">
        <v>3071</v>
      </c>
      <c r="O808" s="108" t="s">
        <v>523</v>
      </c>
      <c r="P808" s="235">
        <v>20515</v>
      </c>
      <c r="Q808" s="235">
        <v>6155</v>
      </c>
      <c r="R808" s="129"/>
      <c r="S808" s="130"/>
      <c r="T808" s="107">
        <v>14325.5</v>
      </c>
      <c r="U808" s="93">
        <v>43782</v>
      </c>
      <c r="V808" s="107"/>
      <c r="W808" s="214"/>
    </row>
    <row r="809" s="43" customFormat="1" ht="22" customHeight="1" spans="1:23">
      <c r="A809" s="260" t="s">
        <v>3072</v>
      </c>
      <c r="B809" s="174" t="s">
        <v>2850</v>
      </c>
      <c r="C809" s="175"/>
      <c r="D809" s="45" t="s">
        <v>31</v>
      </c>
      <c r="E809" s="307" t="s">
        <v>3073</v>
      </c>
      <c r="F809" s="82">
        <f>IFERROR(VLOOKUP(E809,客户!B:C,2,FALSE),"/")</f>
        <v>0</v>
      </c>
      <c r="G809" s="307" t="s">
        <v>3074</v>
      </c>
      <c r="H809" s="144" t="s">
        <v>147</v>
      </c>
      <c r="I809" s="110" t="s">
        <v>2887</v>
      </c>
      <c r="J809" s="110">
        <v>43752</v>
      </c>
      <c r="K809" s="93">
        <v>43793</v>
      </c>
      <c r="L809" s="93">
        <v>43835</v>
      </c>
      <c r="M809" s="146" t="s">
        <v>3075</v>
      </c>
      <c r="N809" s="107" t="s">
        <v>3076</v>
      </c>
      <c r="O809" s="108" t="s">
        <v>523</v>
      </c>
      <c r="P809" s="235">
        <v>20357.88</v>
      </c>
      <c r="Q809" s="235">
        <v>2862</v>
      </c>
      <c r="R809" s="129"/>
      <c r="S809" s="130"/>
      <c r="T809" s="107">
        <v>17495.88</v>
      </c>
      <c r="U809" s="93">
        <v>43829</v>
      </c>
      <c r="V809" s="107"/>
      <c r="W809" s="214"/>
    </row>
    <row r="810" s="43" customFormat="1" ht="22" customHeight="1" spans="1:23">
      <c r="A810" s="290" t="s">
        <v>3077</v>
      </c>
      <c r="B810" s="174" t="s">
        <v>2850</v>
      </c>
      <c r="C810" s="175"/>
      <c r="D810" s="45" t="s">
        <v>31</v>
      </c>
      <c r="E810" s="308" t="s">
        <v>3078</v>
      </c>
      <c r="F810" s="82" t="str">
        <f>IFERROR(VLOOKUP(E810,客户!B:C,2,FALSE),"/")</f>
        <v>/</v>
      </c>
      <c r="G810" s="307" t="s">
        <v>3074</v>
      </c>
      <c r="H810" s="144" t="s">
        <v>147</v>
      </c>
      <c r="I810" s="110" t="s">
        <v>2934</v>
      </c>
      <c r="J810" s="110">
        <v>43755</v>
      </c>
      <c r="K810" s="93">
        <v>43778</v>
      </c>
      <c r="L810" s="93">
        <v>43804</v>
      </c>
      <c r="M810" s="200" t="s">
        <v>3079</v>
      </c>
      <c r="N810" s="107" t="s">
        <v>3080</v>
      </c>
      <c r="O810" s="108" t="s">
        <v>523</v>
      </c>
      <c r="P810" s="235">
        <v>22590</v>
      </c>
      <c r="Q810" s="235">
        <v>6763.59</v>
      </c>
      <c r="R810" s="129"/>
      <c r="S810" s="130"/>
      <c r="T810" s="107">
        <v>15799.56</v>
      </c>
      <c r="U810" s="93">
        <v>43790</v>
      </c>
      <c r="V810" s="107"/>
      <c r="W810" s="214"/>
    </row>
    <row r="811" s="43" customFormat="1" ht="22" customHeight="1" spans="1:23">
      <c r="A811" s="260" t="s">
        <v>3081</v>
      </c>
      <c r="B811" s="174" t="s">
        <v>2850</v>
      </c>
      <c r="C811" s="175"/>
      <c r="D811" s="45" t="s">
        <v>31</v>
      </c>
      <c r="E811" s="307" t="s">
        <v>3073</v>
      </c>
      <c r="F811" s="82">
        <f>IFERROR(VLOOKUP(E811,客户!B:C,2,FALSE),"/")</f>
        <v>0</v>
      </c>
      <c r="G811" s="307" t="s">
        <v>3082</v>
      </c>
      <c r="H811" s="144" t="s">
        <v>147</v>
      </c>
      <c r="I811" s="110" t="s">
        <v>1874</v>
      </c>
      <c r="J811" s="110">
        <v>43762</v>
      </c>
      <c r="K811" s="93">
        <v>43793</v>
      </c>
      <c r="L811" s="93">
        <v>43835</v>
      </c>
      <c r="M811" s="313" t="s">
        <v>3083</v>
      </c>
      <c r="N811" s="107" t="s">
        <v>3084</v>
      </c>
      <c r="O811" s="108" t="s">
        <v>523</v>
      </c>
      <c r="P811" s="235">
        <v>19816.77</v>
      </c>
      <c r="Q811" s="235">
        <v>3163</v>
      </c>
      <c r="R811" s="319">
        <v>136.98</v>
      </c>
      <c r="S811" s="320"/>
      <c r="T811" s="107">
        <v>16515.79</v>
      </c>
      <c r="U811" s="93">
        <v>43829</v>
      </c>
      <c r="V811" s="107"/>
      <c r="W811" s="214"/>
    </row>
    <row r="812" s="43" customFormat="1" ht="22" customHeight="1" spans="1:23">
      <c r="A812" s="260" t="s">
        <v>3085</v>
      </c>
      <c r="B812" s="174" t="s">
        <v>2850</v>
      </c>
      <c r="C812" s="175"/>
      <c r="D812" s="45" t="s">
        <v>31</v>
      </c>
      <c r="E812" s="73" t="s">
        <v>2873</v>
      </c>
      <c r="F812" s="82">
        <f>IFERROR(VLOOKUP(E812,客户!B:C,2,FALSE),"/")</f>
        <v>0</v>
      </c>
      <c r="G812" s="307" t="s">
        <v>3086</v>
      </c>
      <c r="H812" s="144" t="s">
        <v>147</v>
      </c>
      <c r="I812" s="110" t="s">
        <v>1874</v>
      </c>
      <c r="J812" s="110">
        <v>43782</v>
      </c>
      <c r="K812" s="93">
        <v>43830</v>
      </c>
      <c r="L812" s="93">
        <v>43868</v>
      </c>
      <c r="M812" s="313" t="s">
        <v>3087</v>
      </c>
      <c r="N812" s="107" t="s">
        <v>3088</v>
      </c>
      <c r="O812" s="108" t="s">
        <v>523</v>
      </c>
      <c r="P812" s="235">
        <v>60720</v>
      </c>
      <c r="Q812" s="235">
        <v>9108.2</v>
      </c>
      <c r="R812" s="129"/>
      <c r="S812" s="130"/>
      <c r="T812" s="107">
        <v>51584.5</v>
      </c>
      <c r="U812" s="93">
        <v>43846</v>
      </c>
      <c r="V812" s="107"/>
      <c r="W812" s="214"/>
    </row>
    <row r="813" s="43" customFormat="1" ht="22" customHeight="1" spans="1:23">
      <c r="A813" s="260" t="s">
        <v>3089</v>
      </c>
      <c r="B813" s="174" t="s">
        <v>2850</v>
      </c>
      <c r="C813" s="175"/>
      <c r="D813" s="45" t="s">
        <v>31</v>
      </c>
      <c r="E813" s="308" t="s">
        <v>3090</v>
      </c>
      <c r="F813" s="82">
        <f>IFERROR(VLOOKUP(E813,客户!B:C,2,FALSE),"/")</f>
        <v>0</v>
      </c>
      <c r="G813" s="307" t="s">
        <v>3091</v>
      </c>
      <c r="H813" s="144" t="s">
        <v>147</v>
      </c>
      <c r="I813" s="110" t="s">
        <v>1874</v>
      </c>
      <c r="J813" s="110">
        <v>43788</v>
      </c>
      <c r="K813" s="93">
        <v>43833</v>
      </c>
      <c r="L813" s="93">
        <v>43877</v>
      </c>
      <c r="M813" s="314" t="s">
        <v>3092</v>
      </c>
      <c r="N813" s="107" t="s">
        <v>3093</v>
      </c>
      <c r="O813" s="108" t="s">
        <v>523</v>
      </c>
      <c r="P813" s="235">
        <v>22223.4</v>
      </c>
      <c r="Q813" s="235">
        <v>4353.28</v>
      </c>
      <c r="R813" s="129"/>
      <c r="S813" s="130"/>
      <c r="T813" s="107">
        <v>17987.62</v>
      </c>
      <c r="U813" s="93">
        <v>43871</v>
      </c>
      <c r="V813" s="107"/>
      <c r="W813" s="214"/>
    </row>
    <row r="814" s="43" customFormat="1" ht="22" customHeight="1" spans="1:23">
      <c r="A814" s="260" t="s">
        <v>3094</v>
      </c>
      <c r="B814" s="174" t="s">
        <v>2850</v>
      </c>
      <c r="C814" s="175"/>
      <c r="D814" s="45" t="s">
        <v>31</v>
      </c>
      <c r="E814" s="307" t="s">
        <v>3095</v>
      </c>
      <c r="F814" s="82" t="str">
        <f>IFERROR(VLOOKUP(E814,客户!B:C,2,FALSE),"/")</f>
        <v>/</v>
      </c>
      <c r="G814" s="307" t="s">
        <v>3096</v>
      </c>
      <c r="H814" s="144" t="s">
        <v>123</v>
      </c>
      <c r="I814" s="110" t="s">
        <v>3034</v>
      </c>
      <c r="J814" s="110">
        <v>43794</v>
      </c>
      <c r="K814" s="93">
        <v>43820</v>
      </c>
      <c r="L814" s="93"/>
      <c r="M814" s="313" t="s">
        <v>3097</v>
      </c>
      <c r="N814" s="107" t="s">
        <v>3098</v>
      </c>
      <c r="O814" s="108" t="s">
        <v>970</v>
      </c>
      <c r="P814" s="235">
        <v>19815.08</v>
      </c>
      <c r="Q814" s="235">
        <v>5945</v>
      </c>
      <c r="R814" s="129"/>
      <c r="S814" s="130"/>
      <c r="T814" s="107">
        <v>13870.08</v>
      </c>
      <c r="U814" s="93">
        <v>43815</v>
      </c>
      <c r="V814" s="107"/>
      <c r="W814" s="214"/>
    </row>
    <row r="815" s="43" customFormat="1" ht="22" customHeight="1" spans="1:23">
      <c r="A815" s="260" t="s">
        <v>3099</v>
      </c>
      <c r="B815" s="174" t="s">
        <v>2850</v>
      </c>
      <c r="C815" s="175"/>
      <c r="D815" s="45" t="s">
        <v>31</v>
      </c>
      <c r="E815" s="307" t="s">
        <v>3095</v>
      </c>
      <c r="F815" s="82" t="str">
        <f>IFERROR(VLOOKUP(E815,客户!B:C,2,FALSE),"/")</f>
        <v>/</v>
      </c>
      <c r="G815" s="307" t="s">
        <v>3100</v>
      </c>
      <c r="H815" s="144" t="s">
        <v>123</v>
      </c>
      <c r="I815" s="110" t="s">
        <v>3034</v>
      </c>
      <c r="J815" s="110">
        <v>43800</v>
      </c>
      <c r="K815" s="93">
        <v>43826</v>
      </c>
      <c r="L815" s="93"/>
      <c r="M815" s="313" t="s">
        <v>3101</v>
      </c>
      <c r="N815" s="107" t="s">
        <v>2959</v>
      </c>
      <c r="O815" s="108" t="s">
        <v>970</v>
      </c>
      <c r="P815" s="235">
        <v>19335.62</v>
      </c>
      <c r="Q815" s="235">
        <v>5763.5</v>
      </c>
      <c r="R815" s="129"/>
      <c r="S815" s="130"/>
      <c r="T815" s="107">
        <v>13572.12</v>
      </c>
      <c r="U815" s="93">
        <v>43823</v>
      </c>
      <c r="V815" s="107"/>
      <c r="W815" s="214"/>
    </row>
    <row r="816" s="43" customFormat="1" ht="22" customHeight="1" spans="1:23">
      <c r="A816" s="260" t="s">
        <v>3102</v>
      </c>
      <c r="B816" s="174" t="s">
        <v>2850</v>
      </c>
      <c r="C816" s="175"/>
      <c r="D816" s="45" t="s">
        <v>31</v>
      </c>
      <c r="E816" s="307" t="s">
        <v>3103</v>
      </c>
      <c r="F816" s="82" t="str">
        <f>IFERROR(VLOOKUP(E816,客户!B:C,2,FALSE),"/")</f>
        <v>/</v>
      </c>
      <c r="G816" s="307" t="s">
        <v>3104</v>
      </c>
      <c r="H816" s="144" t="s">
        <v>123</v>
      </c>
      <c r="I816" s="110" t="s">
        <v>1874</v>
      </c>
      <c r="J816" s="110">
        <v>43805</v>
      </c>
      <c r="K816" s="93">
        <v>43867</v>
      </c>
      <c r="L816" s="93">
        <v>43910</v>
      </c>
      <c r="M816" s="313" t="s">
        <v>3105</v>
      </c>
      <c r="N816" s="107" t="s">
        <v>3106</v>
      </c>
      <c r="O816" s="108" t="s">
        <v>523</v>
      </c>
      <c r="P816" s="235">
        <v>81505.8</v>
      </c>
      <c r="Q816" s="235">
        <v>22507.74</v>
      </c>
      <c r="R816" s="129"/>
      <c r="S816" s="130"/>
      <c r="T816" s="107">
        <v>58965.5</v>
      </c>
      <c r="U816" s="93">
        <v>43900</v>
      </c>
      <c r="V816" s="107"/>
      <c r="W816" s="214"/>
    </row>
    <row r="817" s="43" customFormat="1" ht="22" customHeight="1" spans="1:23">
      <c r="A817" s="260" t="s">
        <v>3107</v>
      </c>
      <c r="B817" s="174" t="s">
        <v>2850</v>
      </c>
      <c r="C817" s="175"/>
      <c r="D817" s="45" t="s">
        <v>31</v>
      </c>
      <c r="E817" s="73" t="s">
        <v>3108</v>
      </c>
      <c r="F817" s="82">
        <f>IFERROR(VLOOKUP(E817,客户!B:C,2,FALSE),"/")</f>
        <v>0</v>
      </c>
      <c r="G817" s="307" t="s">
        <v>3091</v>
      </c>
      <c r="H817" s="144" t="s">
        <v>123</v>
      </c>
      <c r="I817" s="110" t="s">
        <v>3109</v>
      </c>
      <c r="J817" s="110">
        <v>43805</v>
      </c>
      <c r="K817" s="93">
        <v>43894</v>
      </c>
      <c r="L817" s="93">
        <v>43941</v>
      </c>
      <c r="M817" s="315" t="s">
        <v>3110</v>
      </c>
      <c r="N817" s="107" t="s">
        <v>3111</v>
      </c>
      <c r="O817" s="108" t="s">
        <v>523</v>
      </c>
      <c r="P817" s="235">
        <v>17074.6</v>
      </c>
      <c r="Q817" s="235">
        <v>5122</v>
      </c>
      <c r="R817" s="129"/>
      <c r="S817" s="130"/>
      <c r="T817" s="107">
        <v>11952.6</v>
      </c>
      <c r="U817" s="93">
        <v>43823</v>
      </c>
      <c r="V817" s="107"/>
      <c r="W817" s="214"/>
    </row>
    <row r="818" s="43" customFormat="1" ht="22" customHeight="1" spans="1:23">
      <c r="A818" s="260" t="s">
        <v>3112</v>
      </c>
      <c r="B818" s="174" t="s">
        <v>2850</v>
      </c>
      <c r="C818" s="175"/>
      <c r="D818" s="45" t="s">
        <v>31</v>
      </c>
      <c r="E818" s="307" t="s">
        <v>3113</v>
      </c>
      <c r="F818" s="82">
        <f>IFERROR(VLOOKUP(E818,客户!B:C,2,FALSE),"/")</f>
        <v>0</v>
      </c>
      <c r="G818" s="307" t="s">
        <v>3114</v>
      </c>
      <c r="H818" s="144" t="s">
        <v>123</v>
      </c>
      <c r="I818" s="110" t="s">
        <v>3019</v>
      </c>
      <c r="J818" s="110">
        <v>43812</v>
      </c>
      <c r="K818" s="93">
        <v>43848</v>
      </c>
      <c r="L818" s="93">
        <v>43883</v>
      </c>
      <c r="M818" s="316" t="s">
        <v>3115</v>
      </c>
      <c r="N818" s="107" t="s">
        <v>3116</v>
      </c>
      <c r="O818" s="108" t="s">
        <v>523</v>
      </c>
      <c r="P818" s="235">
        <v>41740.4</v>
      </c>
      <c r="Q818" s="235">
        <v>21474</v>
      </c>
      <c r="R818" s="129"/>
      <c r="S818" s="130"/>
      <c r="T818" s="107">
        <v>19901</v>
      </c>
      <c r="U818" s="93">
        <v>43873</v>
      </c>
      <c r="V818" s="107" t="s">
        <v>3117</v>
      </c>
      <c r="W818" s="214"/>
    </row>
    <row r="819" s="43" customFormat="1" ht="22" customHeight="1" spans="1:23">
      <c r="A819" s="260" t="s">
        <v>3118</v>
      </c>
      <c r="B819" s="174" t="s">
        <v>2850</v>
      </c>
      <c r="C819" s="175"/>
      <c r="D819" s="45" t="s">
        <v>31</v>
      </c>
      <c r="E819" s="307" t="s">
        <v>3113</v>
      </c>
      <c r="F819" s="82">
        <f>IFERROR(VLOOKUP(E819,客户!B:C,2,FALSE),"/")</f>
        <v>0</v>
      </c>
      <c r="G819" s="307" t="s">
        <v>3119</v>
      </c>
      <c r="H819" s="144" t="s">
        <v>123</v>
      </c>
      <c r="I819" s="110" t="s">
        <v>3019</v>
      </c>
      <c r="J819" s="110">
        <v>43812</v>
      </c>
      <c r="K819" s="93">
        <v>43856</v>
      </c>
      <c r="L819" s="93">
        <v>43896</v>
      </c>
      <c r="M819" s="313" t="s">
        <v>3120</v>
      </c>
      <c r="N819" s="107" t="s">
        <v>3121</v>
      </c>
      <c r="O819" s="108" t="s">
        <v>523</v>
      </c>
      <c r="P819" s="235">
        <v>23099.12</v>
      </c>
      <c r="Q819" s="235"/>
      <c r="R819" s="129"/>
      <c r="S819" s="130"/>
      <c r="T819" s="107">
        <v>23099</v>
      </c>
      <c r="U819" s="93">
        <v>43873</v>
      </c>
      <c r="V819" s="107"/>
      <c r="W819" s="214"/>
    </row>
    <row r="820" s="43" customFormat="1" ht="22" customHeight="1" spans="1:23">
      <c r="A820" s="260" t="s">
        <v>3122</v>
      </c>
      <c r="B820" s="174" t="s">
        <v>2850</v>
      </c>
      <c r="C820" s="175"/>
      <c r="D820" s="45" t="s">
        <v>31</v>
      </c>
      <c r="E820" s="73" t="s">
        <v>3123</v>
      </c>
      <c r="F820" s="82">
        <f>IFERROR(VLOOKUP(E820,客户!B:C,2,FALSE),"/")</f>
        <v>0</v>
      </c>
      <c r="G820" s="307" t="s">
        <v>3124</v>
      </c>
      <c r="H820" s="144" t="s">
        <v>123</v>
      </c>
      <c r="I820" s="110" t="s">
        <v>3125</v>
      </c>
      <c r="J820" s="110">
        <v>43839</v>
      </c>
      <c r="K820" s="93">
        <v>43966</v>
      </c>
      <c r="L820" s="93"/>
      <c r="M820" s="315" t="s">
        <v>3126</v>
      </c>
      <c r="N820" s="247" t="s">
        <v>3127</v>
      </c>
      <c r="O820" s="108" t="s">
        <v>970</v>
      </c>
      <c r="P820" s="235">
        <v>10653.93</v>
      </c>
      <c r="Q820" s="235">
        <v>3200</v>
      </c>
      <c r="R820" s="129"/>
      <c r="S820" s="130"/>
      <c r="T820" s="107">
        <v>6979.61</v>
      </c>
      <c r="U820" s="107">
        <f>288+143.35</f>
        <v>431.35</v>
      </c>
      <c r="V820" s="247" t="s">
        <v>3128</v>
      </c>
      <c r="W820" s="214"/>
    </row>
    <row r="821" s="43" customFormat="1" ht="22" customHeight="1" spans="1:23">
      <c r="A821" s="302" t="s">
        <v>3129</v>
      </c>
      <c r="B821" s="174" t="s">
        <v>2850</v>
      </c>
      <c r="C821" s="175"/>
      <c r="D821" s="45" t="s">
        <v>31</v>
      </c>
      <c r="E821" s="83" t="s">
        <v>3130</v>
      </c>
      <c r="F821" s="82">
        <f>IFERROR(VLOOKUP(E821,客户!B:C,2,FALSE),"/")</f>
        <v>0</v>
      </c>
      <c r="G821" s="307" t="s">
        <v>3131</v>
      </c>
      <c r="H821" s="144" t="s">
        <v>147</v>
      </c>
      <c r="I821" s="110" t="s">
        <v>1874</v>
      </c>
      <c r="J821" s="110">
        <v>43843</v>
      </c>
      <c r="K821" s="93">
        <v>43981</v>
      </c>
      <c r="L821" s="93">
        <v>44011</v>
      </c>
      <c r="M821" s="315" t="s">
        <v>3132</v>
      </c>
      <c r="N821" s="247" t="s">
        <v>3133</v>
      </c>
      <c r="O821" s="108" t="s">
        <v>523</v>
      </c>
      <c r="P821" s="235">
        <v>64960.5</v>
      </c>
      <c r="Q821" s="235">
        <v>10911</v>
      </c>
      <c r="R821" s="129"/>
      <c r="S821" s="130"/>
      <c r="T821" s="107">
        <v>29948</v>
      </c>
      <c r="U821" s="322">
        <v>24002.5</v>
      </c>
      <c r="V821" s="247" t="s">
        <v>3134</v>
      </c>
      <c r="W821" s="214"/>
    </row>
    <row r="822" s="43" customFormat="1" ht="22" customHeight="1" spans="1:23">
      <c r="A822" s="260" t="s">
        <v>3135</v>
      </c>
      <c r="B822" s="174" t="s">
        <v>2850</v>
      </c>
      <c r="C822" s="175"/>
      <c r="D822" s="45" t="s">
        <v>31</v>
      </c>
      <c r="E822" s="83" t="s">
        <v>3130</v>
      </c>
      <c r="F822" s="82">
        <f>IFERROR(VLOOKUP(E822,客户!B:C,2,FALSE),"/")</f>
        <v>0</v>
      </c>
      <c r="G822" s="307" t="s">
        <v>3136</v>
      </c>
      <c r="H822" s="144" t="s">
        <v>147</v>
      </c>
      <c r="I822" s="110" t="s">
        <v>1874</v>
      </c>
      <c r="J822" s="110">
        <v>43843</v>
      </c>
      <c r="K822" s="93">
        <v>43911</v>
      </c>
      <c r="L822" s="93">
        <v>43945</v>
      </c>
      <c r="M822" s="315" t="s">
        <v>3137</v>
      </c>
      <c r="N822" s="247" t="s">
        <v>3138</v>
      </c>
      <c r="O822" s="108" t="s">
        <v>523</v>
      </c>
      <c r="P822" s="235">
        <v>20590.14</v>
      </c>
      <c r="Q822" s="235">
        <v>3088</v>
      </c>
      <c r="R822" s="129"/>
      <c r="S822" s="130"/>
      <c r="T822" s="107">
        <v>17481.16</v>
      </c>
      <c r="U822" s="93"/>
      <c r="V822" s="247" t="s">
        <v>3139</v>
      </c>
      <c r="W822" s="214"/>
    </row>
    <row r="823" s="43" customFormat="1" ht="22" customHeight="1" spans="1:23">
      <c r="A823" s="302" t="s">
        <v>3140</v>
      </c>
      <c r="B823" s="174" t="s">
        <v>2850</v>
      </c>
      <c r="C823" s="175"/>
      <c r="D823" s="45" t="s">
        <v>31</v>
      </c>
      <c r="E823" s="83" t="s">
        <v>3130</v>
      </c>
      <c r="F823" s="82">
        <f>IFERROR(VLOOKUP(E823,客户!B:C,2,FALSE),"/")</f>
        <v>0</v>
      </c>
      <c r="G823" s="307" t="s">
        <v>3141</v>
      </c>
      <c r="H823" s="144" t="s">
        <v>147</v>
      </c>
      <c r="I823" s="110" t="s">
        <v>1874</v>
      </c>
      <c r="J823" s="110">
        <v>43843</v>
      </c>
      <c r="K823" s="93">
        <v>43976</v>
      </c>
      <c r="L823" s="93">
        <v>44015</v>
      </c>
      <c r="M823" s="315" t="s">
        <v>3142</v>
      </c>
      <c r="N823" s="247" t="s">
        <v>3143</v>
      </c>
      <c r="O823" s="108" t="s">
        <v>523</v>
      </c>
      <c r="P823" s="235">
        <v>41395.26</v>
      </c>
      <c r="Q823" s="235">
        <v>6209</v>
      </c>
      <c r="R823" s="129"/>
      <c r="S823" s="130"/>
      <c r="T823" s="107">
        <v>35134.26</v>
      </c>
      <c r="U823" s="93"/>
      <c r="V823" s="247" t="s">
        <v>3144</v>
      </c>
      <c r="W823" s="214"/>
    </row>
    <row r="824" s="43" customFormat="1" ht="22" customHeight="1" spans="1:23">
      <c r="A824" s="260" t="s">
        <v>3145</v>
      </c>
      <c r="B824" s="174" t="s">
        <v>2850</v>
      </c>
      <c r="C824" s="175"/>
      <c r="D824" s="45" t="s">
        <v>31</v>
      </c>
      <c r="E824" s="83" t="s">
        <v>3146</v>
      </c>
      <c r="F824" s="82">
        <f>IFERROR(VLOOKUP(E824,客户!B:C,2,FALSE),"/")</f>
        <v>0</v>
      </c>
      <c r="G824" s="307" t="s">
        <v>3147</v>
      </c>
      <c r="H824" s="144" t="s">
        <v>147</v>
      </c>
      <c r="I824" s="110" t="s">
        <v>2934</v>
      </c>
      <c r="J824" s="110">
        <v>43850</v>
      </c>
      <c r="K824" s="93">
        <v>43947</v>
      </c>
      <c r="L824" s="93">
        <v>43970</v>
      </c>
      <c r="M824" s="313" t="s">
        <v>3148</v>
      </c>
      <c r="N824" s="247" t="s">
        <v>3149</v>
      </c>
      <c r="O824" s="108" t="s">
        <v>523</v>
      </c>
      <c r="P824" s="235">
        <v>23745</v>
      </c>
      <c r="Q824" s="235">
        <v>7123</v>
      </c>
      <c r="R824" s="129"/>
      <c r="S824" s="130"/>
      <c r="T824" s="107">
        <v>16594.5</v>
      </c>
      <c r="U824" s="93"/>
      <c r="V824" s="247" t="s">
        <v>3150</v>
      </c>
      <c r="W824" s="214"/>
    </row>
    <row r="825" s="43" customFormat="1" ht="22" customHeight="1" spans="1:23">
      <c r="A825" s="260" t="s">
        <v>3151</v>
      </c>
      <c r="B825" s="174" t="s">
        <v>2850</v>
      </c>
      <c r="C825" s="175"/>
      <c r="D825" s="45" t="s">
        <v>31</v>
      </c>
      <c r="E825" s="73" t="s">
        <v>3108</v>
      </c>
      <c r="F825" s="82">
        <f>IFERROR(VLOOKUP(E825,客户!B:C,2,FALSE),"/")</f>
        <v>0</v>
      </c>
      <c r="G825" s="307" t="s">
        <v>3152</v>
      </c>
      <c r="H825" s="144" t="s">
        <v>123</v>
      </c>
      <c r="I825" s="110" t="s">
        <v>3153</v>
      </c>
      <c r="J825" s="110">
        <v>43859</v>
      </c>
      <c r="K825" s="93">
        <v>43929</v>
      </c>
      <c r="L825" s="93">
        <v>43959</v>
      </c>
      <c r="M825" s="315" t="s">
        <v>3154</v>
      </c>
      <c r="N825" s="247" t="s">
        <v>3155</v>
      </c>
      <c r="O825" s="108" t="s">
        <v>523</v>
      </c>
      <c r="P825" s="235">
        <v>20216.12</v>
      </c>
      <c r="Q825" s="235">
        <v>6030.5</v>
      </c>
      <c r="R825" s="129"/>
      <c r="S825" s="130"/>
      <c r="T825" s="107">
        <v>14116.62</v>
      </c>
      <c r="U825" s="93"/>
      <c r="V825" s="247" t="s">
        <v>3156</v>
      </c>
      <c r="W825" s="214"/>
    </row>
    <row r="826" s="43" customFormat="1" ht="22" customHeight="1" spans="1:23">
      <c r="A826" s="302" t="s">
        <v>3157</v>
      </c>
      <c r="B826" s="174" t="s">
        <v>2850</v>
      </c>
      <c r="C826" s="175"/>
      <c r="D826" s="45" t="s">
        <v>31</v>
      </c>
      <c r="E826" s="73" t="s">
        <v>3006</v>
      </c>
      <c r="F826" s="82">
        <f>IFERROR(VLOOKUP(E826,客户!B:C,2,FALSE),"/")</f>
        <v>0</v>
      </c>
      <c r="G826" s="307" t="s">
        <v>3091</v>
      </c>
      <c r="H826" s="144" t="s">
        <v>123</v>
      </c>
      <c r="I826" s="110" t="s">
        <v>3007</v>
      </c>
      <c r="J826" s="110">
        <v>43867</v>
      </c>
      <c r="K826" s="93">
        <v>44016</v>
      </c>
      <c r="L826" s="93">
        <v>44053</v>
      </c>
      <c r="M826" s="315" t="s">
        <v>3158</v>
      </c>
      <c r="N826" s="107" t="s">
        <v>3026</v>
      </c>
      <c r="O826" s="108" t="s">
        <v>523</v>
      </c>
      <c r="P826" s="235">
        <v>17254.81</v>
      </c>
      <c r="Q826" s="235">
        <v>5428.24</v>
      </c>
      <c r="R826" s="129"/>
      <c r="S826" s="130"/>
      <c r="T826" s="107">
        <v>11826.57</v>
      </c>
      <c r="U826" s="93"/>
      <c r="V826" s="107" t="s">
        <v>3159</v>
      </c>
      <c r="W826" s="214"/>
    </row>
    <row r="827" s="43" customFormat="1" ht="22" customHeight="1" spans="1:23">
      <c r="A827" s="260" t="s">
        <v>3160</v>
      </c>
      <c r="B827" s="174" t="s">
        <v>2850</v>
      </c>
      <c r="C827" s="175"/>
      <c r="D827" s="45" t="s">
        <v>31</v>
      </c>
      <c r="E827" s="73" t="s">
        <v>3006</v>
      </c>
      <c r="F827" s="82">
        <f>IFERROR(VLOOKUP(E827,客户!B:C,2,FALSE),"/")</f>
        <v>0</v>
      </c>
      <c r="G827" s="307" t="s">
        <v>3091</v>
      </c>
      <c r="H827" s="144" t="s">
        <v>123</v>
      </c>
      <c r="I827" s="110" t="s">
        <v>3007</v>
      </c>
      <c r="J827" s="110">
        <v>43867</v>
      </c>
      <c r="K827" s="93">
        <v>43939</v>
      </c>
      <c r="L827" s="93">
        <v>44000</v>
      </c>
      <c r="M827" s="315" t="s">
        <v>3161</v>
      </c>
      <c r="N827" s="247" t="s">
        <v>3026</v>
      </c>
      <c r="O827" s="108" t="s">
        <v>523</v>
      </c>
      <c r="P827" s="235">
        <v>17654.19</v>
      </c>
      <c r="Q827" s="235">
        <v>5428</v>
      </c>
      <c r="R827" s="129"/>
      <c r="S827" s="130"/>
      <c r="T827" s="107">
        <v>12216.11</v>
      </c>
      <c r="U827" s="93"/>
      <c r="V827" s="247" t="s">
        <v>3162</v>
      </c>
      <c r="W827" s="214"/>
    </row>
    <row r="828" s="43" customFormat="1" ht="22" customHeight="1" spans="1:23">
      <c r="A828" s="302" t="s">
        <v>3163</v>
      </c>
      <c r="B828" s="174" t="s">
        <v>2850</v>
      </c>
      <c r="C828" s="175"/>
      <c r="D828" s="45" t="s">
        <v>31</v>
      </c>
      <c r="E828" s="73" t="s">
        <v>3006</v>
      </c>
      <c r="F828" s="82">
        <f>IFERROR(VLOOKUP(E828,客户!B:C,2,FALSE),"/")</f>
        <v>0</v>
      </c>
      <c r="G828" s="307" t="s">
        <v>3091</v>
      </c>
      <c r="H828" s="144" t="s">
        <v>123</v>
      </c>
      <c r="I828" s="110" t="s">
        <v>3007</v>
      </c>
      <c r="J828" s="110">
        <v>43867</v>
      </c>
      <c r="K828" s="93">
        <v>43995</v>
      </c>
      <c r="L828" s="93">
        <v>44030</v>
      </c>
      <c r="M828" s="315" t="s">
        <v>3164</v>
      </c>
      <c r="N828" s="247" t="s">
        <v>3165</v>
      </c>
      <c r="O828" s="108" t="s">
        <v>523</v>
      </c>
      <c r="P828" s="235">
        <v>17359.91</v>
      </c>
      <c r="Q828" s="235">
        <v>5428</v>
      </c>
      <c r="R828" s="129"/>
      <c r="S828" s="130"/>
      <c r="T828" s="107">
        <v>11921.83</v>
      </c>
      <c r="U828" s="93"/>
      <c r="V828" s="247" t="s">
        <v>3166</v>
      </c>
      <c r="W828" s="214"/>
    </row>
    <row r="829" s="43" customFormat="1" ht="22" customHeight="1" spans="1:23">
      <c r="A829" s="260" t="s">
        <v>3167</v>
      </c>
      <c r="B829" s="174" t="s">
        <v>2850</v>
      </c>
      <c r="C829" s="175"/>
      <c r="D829" s="45" t="s">
        <v>31</v>
      </c>
      <c r="E829" s="83" t="s">
        <v>3168</v>
      </c>
      <c r="F829" s="82">
        <f>IFERROR(VLOOKUP(E829,客户!B:C,2,FALSE),"/")</f>
        <v>0</v>
      </c>
      <c r="G829" s="307" t="s">
        <v>3169</v>
      </c>
      <c r="H829" s="144" t="s">
        <v>123</v>
      </c>
      <c r="I829" s="110" t="s">
        <v>3170</v>
      </c>
      <c r="J829" s="110">
        <v>43874</v>
      </c>
      <c r="K829" s="93">
        <v>43946</v>
      </c>
      <c r="L829" s="93">
        <v>43994</v>
      </c>
      <c r="M829" s="315" t="s">
        <v>3171</v>
      </c>
      <c r="N829" s="247" t="s">
        <v>3172</v>
      </c>
      <c r="O829" s="108" t="s">
        <v>523</v>
      </c>
      <c r="P829" s="235">
        <v>22915.65</v>
      </c>
      <c r="Q829" s="235">
        <v>8150</v>
      </c>
      <c r="R829" s="129"/>
      <c r="S829" s="130"/>
      <c r="T829" s="107">
        <v>14732.5</v>
      </c>
      <c r="U829" s="93"/>
      <c r="V829" s="247" t="s">
        <v>3173</v>
      </c>
      <c r="W829" s="214"/>
    </row>
    <row r="830" s="43" customFormat="1" ht="22" customHeight="1" spans="1:23">
      <c r="A830" s="260" t="s">
        <v>3174</v>
      </c>
      <c r="B830" s="174" t="s">
        <v>2850</v>
      </c>
      <c r="C830" s="175"/>
      <c r="D830" s="45" t="s">
        <v>31</v>
      </c>
      <c r="E830" s="83" t="s">
        <v>3168</v>
      </c>
      <c r="F830" s="82"/>
      <c r="G830" s="307" t="s">
        <v>3175</v>
      </c>
      <c r="H830" s="144" t="s">
        <v>123</v>
      </c>
      <c r="I830" s="110" t="s">
        <v>3170</v>
      </c>
      <c r="J830" s="110">
        <v>43874</v>
      </c>
      <c r="K830" s="93">
        <v>43938</v>
      </c>
      <c r="L830" s="93">
        <v>43974</v>
      </c>
      <c r="M830" s="315" t="s">
        <v>3176</v>
      </c>
      <c r="N830" s="247" t="s">
        <v>3177</v>
      </c>
      <c r="O830" s="108" t="s">
        <v>523</v>
      </c>
      <c r="P830" s="235">
        <v>20116</v>
      </c>
      <c r="Q830" s="235">
        <v>6000</v>
      </c>
      <c r="R830" s="129"/>
      <c r="S830" s="130"/>
      <c r="T830" s="107">
        <v>14116</v>
      </c>
      <c r="U830" s="93"/>
      <c r="V830" s="247" t="s">
        <v>3178</v>
      </c>
      <c r="W830" s="214"/>
    </row>
    <row r="831" s="43" customFormat="1" ht="22" customHeight="1" spans="1:23">
      <c r="A831" s="260" t="s">
        <v>3179</v>
      </c>
      <c r="B831" s="174" t="s">
        <v>2850</v>
      </c>
      <c r="C831" s="175"/>
      <c r="D831" s="45" t="s">
        <v>31</v>
      </c>
      <c r="E831" s="83" t="s">
        <v>3041</v>
      </c>
      <c r="F831" s="82">
        <f>IFERROR(VLOOKUP(E831,客户!B:C,2,FALSE),"/")</f>
        <v>0</v>
      </c>
      <c r="G831" s="307" t="s">
        <v>3180</v>
      </c>
      <c r="H831" s="144" t="s">
        <v>147</v>
      </c>
      <c r="I831" s="110" t="s">
        <v>3170</v>
      </c>
      <c r="J831" s="110">
        <v>43874</v>
      </c>
      <c r="K831" s="93">
        <v>43947</v>
      </c>
      <c r="L831" s="93">
        <v>43988</v>
      </c>
      <c r="M831" s="315" t="s">
        <v>3181</v>
      </c>
      <c r="N831" s="247" t="s">
        <v>3182</v>
      </c>
      <c r="O831" s="108" t="s">
        <v>523</v>
      </c>
      <c r="P831" s="235">
        <v>21956</v>
      </c>
      <c r="Q831" s="235">
        <v>4391.2</v>
      </c>
      <c r="R831" s="129"/>
      <c r="S831" s="130"/>
      <c r="T831" s="107">
        <v>17532.3</v>
      </c>
      <c r="U831" s="93"/>
      <c r="V831" s="247" t="s">
        <v>3183</v>
      </c>
      <c r="W831" s="214"/>
    </row>
    <row r="832" s="43" customFormat="1" ht="22" customHeight="1" spans="1:23">
      <c r="A832" s="302" t="s">
        <v>3184</v>
      </c>
      <c r="B832" s="174" t="s">
        <v>2850</v>
      </c>
      <c r="C832" s="175"/>
      <c r="D832" s="45" t="s">
        <v>31</v>
      </c>
      <c r="E832" s="73" t="s">
        <v>3108</v>
      </c>
      <c r="F832" s="82">
        <f>IFERROR(VLOOKUP(E832,客户!B:C,2,FALSE),"/")</f>
        <v>0</v>
      </c>
      <c r="G832" s="307" t="s">
        <v>3091</v>
      </c>
      <c r="H832" s="144" t="s">
        <v>123</v>
      </c>
      <c r="I832" s="110" t="s">
        <v>3109</v>
      </c>
      <c r="J832" s="110">
        <v>43897</v>
      </c>
      <c r="K832" s="93">
        <v>43953</v>
      </c>
      <c r="L832" s="93">
        <v>43997</v>
      </c>
      <c r="M832" s="315" t="s">
        <v>3185</v>
      </c>
      <c r="N832" s="247" t="s">
        <v>3186</v>
      </c>
      <c r="O832" s="108" t="s">
        <v>970</v>
      </c>
      <c r="P832" s="235">
        <v>17687.6</v>
      </c>
      <c r="Q832" s="235">
        <v>5301</v>
      </c>
      <c r="R832" s="129"/>
      <c r="S832" s="130"/>
      <c r="T832" s="107">
        <v>12335.5</v>
      </c>
      <c r="U832" s="93"/>
      <c r="V832" s="247" t="s">
        <v>3187</v>
      </c>
      <c r="W832" s="214"/>
    </row>
    <row r="833" s="43" customFormat="1" ht="22" customHeight="1" spans="1:23">
      <c r="A833" s="260" t="s">
        <v>3188</v>
      </c>
      <c r="B833" s="174" t="s">
        <v>2850</v>
      </c>
      <c r="C833" s="175"/>
      <c r="D833" s="45" t="s">
        <v>31</v>
      </c>
      <c r="E833" s="83" t="s">
        <v>2989</v>
      </c>
      <c r="F833" s="82" t="str">
        <f>IFERROR(VLOOKUP(E833,客户!B:C,2,FALSE),"/")</f>
        <v>安哥拉门及配件给清单  灯的清单和照片 如果HScode是九十五章  提前和报关货代说
2021.3.4收¥55000(汇率6.46，折合美金$8512.93)
冻结中</v>
      </c>
      <c r="G833" s="307" t="s">
        <v>3189</v>
      </c>
      <c r="H833" s="144" t="s">
        <v>123</v>
      </c>
      <c r="I833" s="110" t="s">
        <v>3190</v>
      </c>
      <c r="J833" s="110">
        <v>43916</v>
      </c>
      <c r="K833" s="93">
        <v>44023</v>
      </c>
      <c r="L833" s="93">
        <v>44082</v>
      </c>
      <c r="M833" s="315" t="s">
        <v>3191</v>
      </c>
      <c r="N833" s="247" t="s">
        <v>3192</v>
      </c>
      <c r="O833" s="108" t="s">
        <v>523</v>
      </c>
      <c r="P833" s="235">
        <v>47634.09</v>
      </c>
      <c r="Q833" s="235">
        <v>4799</v>
      </c>
      <c r="R833" s="129"/>
      <c r="S833" s="130"/>
      <c r="T833" s="107">
        <f>236000/6.87</f>
        <v>34352.2561863173</v>
      </c>
      <c r="U833" s="107">
        <f>58000/6.8</f>
        <v>8529.41176470588</v>
      </c>
      <c r="V833" s="107"/>
      <c r="W833" s="214"/>
    </row>
    <row r="834" s="43" customFormat="1" ht="22" customHeight="1" spans="1:23">
      <c r="A834" s="323" t="s">
        <v>3193</v>
      </c>
      <c r="B834" s="174" t="s">
        <v>2850</v>
      </c>
      <c r="C834" s="175"/>
      <c r="D834" s="45" t="s">
        <v>31</v>
      </c>
      <c r="E834" s="83" t="s">
        <v>3194</v>
      </c>
      <c r="F834" s="82">
        <f>IFERROR(VLOOKUP(E834,客户!B:C,2,FALSE),"/")</f>
        <v>0</v>
      </c>
      <c r="G834" s="307" t="s">
        <v>3195</v>
      </c>
      <c r="H834" s="144" t="s">
        <v>123</v>
      </c>
      <c r="I834" s="110" t="s">
        <v>2887</v>
      </c>
      <c r="J834" s="110">
        <v>43944</v>
      </c>
      <c r="K834" s="93">
        <v>43966</v>
      </c>
      <c r="L834" s="93">
        <v>44002</v>
      </c>
      <c r="M834" s="315" t="s">
        <v>3196</v>
      </c>
      <c r="N834" s="247" t="s">
        <v>3197</v>
      </c>
      <c r="O834" s="108" t="s">
        <v>523</v>
      </c>
      <c r="P834" s="235">
        <v>38198.5</v>
      </c>
      <c r="Q834" s="235">
        <v>17481</v>
      </c>
      <c r="R834" s="129"/>
      <c r="S834" s="130"/>
      <c r="T834" s="107">
        <v>20235</v>
      </c>
      <c r="U834" s="93"/>
      <c r="V834" s="247" t="s">
        <v>3198</v>
      </c>
      <c r="W834" s="214"/>
    </row>
    <row r="835" s="43" customFormat="1" ht="22" customHeight="1" spans="1:23">
      <c r="A835" s="323" t="s">
        <v>3199</v>
      </c>
      <c r="B835" s="174" t="s">
        <v>2850</v>
      </c>
      <c r="C835" s="175"/>
      <c r="D835" s="45" t="s">
        <v>31</v>
      </c>
      <c r="E835" s="73" t="s">
        <v>3200</v>
      </c>
      <c r="F835" s="82"/>
      <c r="G835" s="307" t="s">
        <v>3201</v>
      </c>
      <c r="H835" s="144" t="s">
        <v>123</v>
      </c>
      <c r="I835" s="110" t="s">
        <v>2887</v>
      </c>
      <c r="J835" s="110">
        <v>43944</v>
      </c>
      <c r="K835" s="93">
        <v>43956</v>
      </c>
      <c r="L835" s="93">
        <v>43994</v>
      </c>
      <c r="M835" s="315" t="s">
        <v>3202</v>
      </c>
      <c r="N835" s="247" t="s">
        <v>3203</v>
      </c>
      <c r="O835" s="108" t="s">
        <v>523</v>
      </c>
      <c r="P835" s="235">
        <v>19180</v>
      </c>
      <c r="Q835" s="235">
        <v>9590</v>
      </c>
      <c r="R835" s="129"/>
      <c r="S835" s="130"/>
      <c r="T835" s="107">
        <v>10015.5</v>
      </c>
      <c r="U835" s="93"/>
      <c r="V835" s="247" t="s">
        <v>3204</v>
      </c>
      <c r="W835" s="214"/>
    </row>
    <row r="836" s="43" customFormat="1" ht="22" customHeight="1" spans="1:23">
      <c r="A836" s="323" t="s">
        <v>3205</v>
      </c>
      <c r="B836" s="174" t="s">
        <v>2850</v>
      </c>
      <c r="C836" s="175"/>
      <c r="D836" s="45" t="s">
        <v>31</v>
      </c>
      <c r="E836" s="83" t="s">
        <v>3041</v>
      </c>
      <c r="F836" s="82">
        <f>IFERROR(VLOOKUP(E836,客户!B:C,2,FALSE),"/")</f>
        <v>0</v>
      </c>
      <c r="G836" s="307" t="s">
        <v>3091</v>
      </c>
      <c r="H836" s="144" t="s">
        <v>147</v>
      </c>
      <c r="I836" s="110" t="s">
        <v>2612</v>
      </c>
      <c r="J836" s="110">
        <v>43950</v>
      </c>
      <c r="K836" s="93">
        <v>44008</v>
      </c>
      <c r="L836" s="93">
        <v>44052</v>
      </c>
      <c r="M836" s="315" t="s">
        <v>3206</v>
      </c>
      <c r="N836" s="247" t="s">
        <v>3207</v>
      </c>
      <c r="O836" s="108" t="s">
        <v>523</v>
      </c>
      <c r="P836" s="235">
        <v>19825.3</v>
      </c>
      <c r="Q836" s="235">
        <v>3961.1</v>
      </c>
      <c r="R836" s="129"/>
      <c r="S836" s="130"/>
      <c r="T836" s="107">
        <v>15864.2</v>
      </c>
      <c r="U836" s="93"/>
      <c r="V836" s="107"/>
      <c r="W836" s="214"/>
    </row>
    <row r="837" s="43" customFormat="1" ht="22" customHeight="1" spans="1:23">
      <c r="A837" s="260" t="s">
        <v>3208</v>
      </c>
      <c r="B837" s="174" t="s">
        <v>2850</v>
      </c>
      <c r="C837" s="175"/>
      <c r="D837" s="45" t="s">
        <v>31</v>
      </c>
      <c r="E837" s="73" t="s">
        <v>3209</v>
      </c>
      <c r="F837" s="82">
        <f>IFERROR(VLOOKUP(E837,客户!B:C,2,FALSE),"/")</f>
        <v>0</v>
      </c>
      <c r="G837" s="307" t="s">
        <v>3091</v>
      </c>
      <c r="H837" s="144" t="s">
        <v>123</v>
      </c>
      <c r="I837" s="110" t="s">
        <v>3109</v>
      </c>
      <c r="J837" s="110">
        <v>43957</v>
      </c>
      <c r="K837" s="93">
        <v>43997</v>
      </c>
      <c r="L837" s="93"/>
      <c r="M837" s="315" t="s">
        <v>3210</v>
      </c>
      <c r="N837" s="247" t="s">
        <v>3211</v>
      </c>
      <c r="O837" s="108" t="s">
        <v>970</v>
      </c>
      <c r="P837" s="235">
        <v>17129.6</v>
      </c>
      <c r="Q837" s="235">
        <v>5139</v>
      </c>
      <c r="R837" s="129"/>
      <c r="S837" s="130"/>
      <c r="T837" s="107">
        <v>11956.1</v>
      </c>
      <c r="U837" s="93"/>
      <c r="V837" s="247" t="s">
        <v>3212</v>
      </c>
      <c r="W837" s="214"/>
    </row>
    <row r="838" s="43" customFormat="1" ht="22" customHeight="1" spans="1:23">
      <c r="A838" s="260" t="s">
        <v>3213</v>
      </c>
      <c r="B838" s="174" t="s">
        <v>2850</v>
      </c>
      <c r="C838" s="175"/>
      <c r="D838" s="45" t="s">
        <v>31</v>
      </c>
      <c r="E838" s="83" t="s">
        <v>3168</v>
      </c>
      <c r="F838" s="82">
        <f>IFERROR(VLOOKUP(E838,客户!B:C,2,FALSE),"/")</f>
        <v>0</v>
      </c>
      <c r="G838" s="307" t="s">
        <v>3214</v>
      </c>
      <c r="H838" s="144" t="s">
        <v>154</v>
      </c>
      <c r="I838" s="110" t="s">
        <v>1874</v>
      </c>
      <c r="J838" s="110">
        <v>43957</v>
      </c>
      <c r="K838" s="93">
        <v>44029</v>
      </c>
      <c r="L838" s="93">
        <v>44066</v>
      </c>
      <c r="M838" s="315" t="s">
        <v>3215</v>
      </c>
      <c r="N838" s="247" t="s">
        <v>3216</v>
      </c>
      <c r="O838" s="108" t="s">
        <v>523</v>
      </c>
      <c r="P838" s="235">
        <v>69427</v>
      </c>
      <c r="Q838" s="235">
        <f>23000-1160</f>
        <v>21840</v>
      </c>
      <c r="R838" s="129"/>
      <c r="S838" s="130"/>
      <c r="T838" s="107">
        <v>47587</v>
      </c>
      <c r="U838" s="93"/>
      <c r="V838" s="107"/>
      <c r="W838" s="214"/>
    </row>
    <row r="839" s="43" customFormat="1" ht="22" customHeight="1" spans="1:23">
      <c r="A839" s="260" t="s">
        <v>3217</v>
      </c>
      <c r="B839" s="174" t="s">
        <v>2850</v>
      </c>
      <c r="C839" s="175"/>
      <c r="D839" s="45" t="s">
        <v>31</v>
      </c>
      <c r="E839" s="83" t="s">
        <v>3218</v>
      </c>
      <c r="F839" s="82">
        <f>IFERROR(VLOOKUP(E839,客户!B:C,2,FALSE),"/")</f>
        <v>0</v>
      </c>
      <c r="G839" s="307" t="s">
        <v>3219</v>
      </c>
      <c r="H839" s="144" t="s">
        <v>123</v>
      </c>
      <c r="I839" s="110" t="s">
        <v>3220</v>
      </c>
      <c r="J839" s="110">
        <v>43967</v>
      </c>
      <c r="K839" s="93">
        <v>43997</v>
      </c>
      <c r="L839" s="93"/>
      <c r="M839" s="315" t="s">
        <v>3221</v>
      </c>
      <c r="N839" s="247" t="s">
        <v>3222</v>
      </c>
      <c r="O839" s="108" t="s">
        <v>970</v>
      </c>
      <c r="P839" s="235">
        <v>16338</v>
      </c>
      <c r="Q839" s="235">
        <v>4901</v>
      </c>
      <c r="R839" s="129"/>
      <c r="S839" s="130"/>
      <c r="T839" s="107">
        <v>11405</v>
      </c>
      <c r="U839" s="93"/>
      <c r="V839" s="247" t="s">
        <v>3223</v>
      </c>
      <c r="W839" s="214"/>
    </row>
    <row r="840" s="43" customFormat="1" ht="22" customHeight="1" spans="1:23">
      <c r="A840" s="260" t="s">
        <v>3224</v>
      </c>
      <c r="B840" s="174" t="s">
        <v>2850</v>
      </c>
      <c r="C840" s="175"/>
      <c r="D840" s="45" t="s">
        <v>31</v>
      </c>
      <c r="E840" s="83" t="s">
        <v>3209</v>
      </c>
      <c r="F840" s="82">
        <f>IFERROR(VLOOKUP(E840,客户!B:C,2,FALSE),"/")</f>
        <v>0</v>
      </c>
      <c r="G840" s="307" t="s">
        <v>3225</v>
      </c>
      <c r="H840" s="144" t="s">
        <v>123</v>
      </c>
      <c r="I840" s="110" t="s">
        <v>3034</v>
      </c>
      <c r="J840" s="110">
        <v>43980</v>
      </c>
      <c r="K840" s="93">
        <v>44028</v>
      </c>
      <c r="L840" s="93"/>
      <c r="M840" s="315" t="s">
        <v>3226</v>
      </c>
      <c r="N840" s="247" t="s">
        <v>3227</v>
      </c>
      <c r="O840" s="108" t="s">
        <v>970</v>
      </c>
      <c r="P840" s="235">
        <v>21237.5</v>
      </c>
      <c r="Q840" s="235">
        <v>6371</v>
      </c>
      <c r="R840" s="129"/>
      <c r="S840" s="130"/>
      <c r="T840" s="107">
        <v>14834.5</v>
      </c>
      <c r="U840" s="93"/>
      <c r="V840" s="107"/>
      <c r="W840" s="214"/>
    </row>
    <row r="841" s="43" customFormat="1" ht="22" customHeight="1" spans="1:23">
      <c r="A841" s="260" t="s">
        <v>3228</v>
      </c>
      <c r="B841" s="174" t="s">
        <v>2850</v>
      </c>
      <c r="C841" s="175"/>
      <c r="D841" s="45" t="s">
        <v>31</v>
      </c>
      <c r="E841" s="83" t="s">
        <v>3229</v>
      </c>
      <c r="F841" s="82">
        <f>IFERROR(VLOOKUP(E841,客户!B:C,2,FALSE),"/")</f>
        <v>0</v>
      </c>
      <c r="G841" s="307" t="s">
        <v>3230</v>
      </c>
      <c r="H841" s="144" t="s">
        <v>147</v>
      </c>
      <c r="I841" s="110" t="s">
        <v>2756</v>
      </c>
      <c r="J841" s="110">
        <v>44006</v>
      </c>
      <c r="K841" s="93">
        <v>44037</v>
      </c>
      <c r="L841" s="231">
        <v>44074</v>
      </c>
      <c r="M841" s="325" t="s">
        <v>3231</v>
      </c>
      <c r="N841" s="247" t="s">
        <v>3232</v>
      </c>
      <c r="O841" s="108" t="s">
        <v>523</v>
      </c>
      <c r="P841" s="235">
        <v>39125.5</v>
      </c>
      <c r="Q841" s="235">
        <v>7825.1</v>
      </c>
      <c r="R841" s="129"/>
      <c r="S841" s="130"/>
      <c r="T841" s="107">
        <v>31300</v>
      </c>
      <c r="U841" s="93"/>
      <c r="V841" s="107"/>
      <c r="W841" s="214"/>
    </row>
    <row r="842" s="43" customFormat="1" ht="22" customHeight="1" spans="1:23">
      <c r="A842" s="260" t="s">
        <v>3233</v>
      </c>
      <c r="B842" s="174" t="s">
        <v>2850</v>
      </c>
      <c r="C842" s="175"/>
      <c r="D842" s="45" t="s">
        <v>31</v>
      </c>
      <c r="E842" s="83" t="s">
        <v>3234</v>
      </c>
      <c r="F842" s="82">
        <f>IFERROR(VLOOKUP(E842,客户!B:C,2,FALSE),"/")</f>
        <v>0</v>
      </c>
      <c r="G842" s="307" t="s">
        <v>3235</v>
      </c>
      <c r="H842" s="144" t="s">
        <v>154</v>
      </c>
      <c r="I842" s="110" t="s">
        <v>1874</v>
      </c>
      <c r="J842" s="110">
        <v>44019</v>
      </c>
      <c r="K842" s="93">
        <v>44053</v>
      </c>
      <c r="L842" s="93">
        <v>44092</v>
      </c>
      <c r="M842" s="315" t="s">
        <v>3236</v>
      </c>
      <c r="N842" s="247" t="s">
        <v>3237</v>
      </c>
      <c r="O842" s="108" t="s">
        <v>523</v>
      </c>
      <c r="P842" s="235">
        <v>61527.3</v>
      </c>
      <c r="Q842" s="235">
        <v>20920</v>
      </c>
      <c r="R842" s="129"/>
      <c r="S842" s="130"/>
      <c r="T842" s="107">
        <v>40607.3</v>
      </c>
      <c r="U842" s="93"/>
      <c r="V842" s="107"/>
      <c r="W842" s="214"/>
    </row>
    <row r="843" s="43" customFormat="1" ht="22" customHeight="1" spans="1:23">
      <c r="A843" s="260" t="s">
        <v>3238</v>
      </c>
      <c r="B843" s="174" t="s">
        <v>2850</v>
      </c>
      <c r="C843" s="175"/>
      <c r="D843" s="45" t="s">
        <v>31</v>
      </c>
      <c r="E843" s="83" t="s">
        <v>3234</v>
      </c>
      <c r="F843" s="82">
        <f>IFERROR(VLOOKUP(E843,客户!B:C,2,FALSE),"/")</f>
        <v>0</v>
      </c>
      <c r="G843" s="307" t="s">
        <v>3239</v>
      </c>
      <c r="H843" s="144" t="s">
        <v>154</v>
      </c>
      <c r="I843" s="110" t="s">
        <v>1874</v>
      </c>
      <c r="J843" s="110">
        <v>44019</v>
      </c>
      <c r="K843" s="93">
        <v>44062</v>
      </c>
      <c r="L843" s="93">
        <v>44099</v>
      </c>
      <c r="M843" s="315" t="s">
        <v>3240</v>
      </c>
      <c r="N843" s="247" t="s">
        <v>3241</v>
      </c>
      <c r="O843" s="108" t="s">
        <v>523</v>
      </c>
      <c r="P843" s="235">
        <v>27520.8</v>
      </c>
      <c r="Q843" s="235">
        <v>8820</v>
      </c>
      <c r="R843" s="129"/>
      <c r="S843" s="130"/>
      <c r="T843" s="107">
        <v>18700.8</v>
      </c>
      <c r="U843" s="93"/>
      <c r="V843" s="107"/>
      <c r="W843" s="214"/>
    </row>
    <row r="844" s="43" customFormat="1" ht="22" customHeight="1" spans="1:23">
      <c r="A844" s="260" t="s">
        <v>3242</v>
      </c>
      <c r="B844" s="174" t="s">
        <v>2850</v>
      </c>
      <c r="C844" s="175"/>
      <c r="D844" s="45" t="s">
        <v>31</v>
      </c>
      <c r="E844" s="83" t="s">
        <v>3218</v>
      </c>
      <c r="F844" s="82">
        <f>IFERROR(VLOOKUP(E844,客户!B:C,2,FALSE),"/")</f>
        <v>0</v>
      </c>
      <c r="G844" s="307" t="s">
        <v>3243</v>
      </c>
      <c r="H844" s="144" t="s">
        <v>154</v>
      </c>
      <c r="I844" s="110" t="s">
        <v>3034</v>
      </c>
      <c r="J844" s="110">
        <v>44021</v>
      </c>
      <c r="K844" s="93">
        <v>44055</v>
      </c>
      <c r="L844" s="93">
        <v>44086</v>
      </c>
      <c r="M844" s="315" t="s">
        <v>3244</v>
      </c>
      <c r="N844" s="247" t="s">
        <v>3245</v>
      </c>
      <c r="O844" s="108" t="s">
        <v>970</v>
      </c>
      <c r="P844" s="235">
        <v>20611.55</v>
      </c>
      <c r="Q844" s="235">
        <v>6194</v>
      </c>
      <c r="R844" s="129"/>
      <c r="S844" s="130"/>
      <c r="T844" s="107">
        <v>14452.95</v>
      </c>
      <c r="U844" s="93"/>
      <c r="V844" s="247" t="s">
        <v>3246</v>
      </c>
      <c r="W844" s="214"/>
    </row>
    <row r="845" s="43" customFormat="1" ht="22" customHeight="1" spans="1:23">
      <c r="A845" s="260" t="s">
        <v>3247</v>
      </c>
      <c r="B845" s="174" t="s">
        <v>2850</v>
      </c>
      <c r="C845" s="175"/>
      <c r="D845" s="45" t="s">
        <v>31</v>
      </c>
      <c r="E845" s="83" t="s">
        <v>3248</v>
      </c>
      <c r="F845" s="82">
        <f>IFERROR(VLOOKUP(E845,客户!B:C,2,FALSE),"/")</f>
        <v>0</v>
      </c>
      <c r="G845" s="307" t="s">
        <v>3091</v>
      </c>
      <c r="H845" s="144" t="s">
        <v>154</v>
      </c>
      <c r="I845" s="110" t="s">
        <v>1230</v>
      </c>
      <c r="J845" s="110">
        <v>44042</v>
      </c>
      <c r="K845" s="93">
        <v>44096</v>
      </c>
      <c r="L845" s="93">
        <v>44132</v>
      </c>
      <c r="M845" s="315" t="s">
        <v>3249</v>
      </c>
      <c r="N845" s="247" t="s">
        <v>3250</v>
      </c>
      <c r="O845" s="108" t="s">
        <v>970</v>
      </c>
      <c r="P845" s="235">
        <v>21476</v>
      </c>
      <c r="Q845" s="235">
        <f>42728.47/6.99</f>
        <v>6112.79971387697</v>
      </c>
      <c r="R845" s="129"/>
      <c r="S845" s="130"/>
      <c r="T845" s="107">
        <f>95885.38/6.82</f>
        <v>14059.4398826979</v>
      </c>
      <c r="U845" s="107">
        <f>7590/6.9</f>
        <v>1100</v>
      </c>
      <c r="V845" s="107" t="s">
        <v>3251</v>
      </c>
      <c r="W845" s="214"/>
    </row>
    <row r="846" s="43" customFormat="1" ht="22" customHeight="1" spans="1:23">
      <c r="A846" s="260" t="s">
        <v>3252</v>
      </c>
      <c r="B846" s="174" t="s">
        <v>2850</v>
      </c>
      <c r="C846" s="175"/>
      <c r="D846" s="45" t="s">
        <v>31</v>
      </c>
      <c r="E846" s="83" t="s">
        <v>3209</v>
      </c>
      <c r="F846" s="82"/>
      <c r="G846" s="307" t="s">
        <v>3253</v>
      </c>
      <c r="H846" s="144" t="s">
        <v>154</v>
      </c>
      <c r="I846" s="110" t="s">
        <v>3034</v>
      </c>
      <c r="J846" s="110">
        <v>44046</v>
      </c>
      <c r="K846" s="93">
        <v>44079</v>
      </c>
      <c r="L846" s="93"/>
      <c r="M846" s="315" t="s">
        <v>3254</v>
      </c>
      <c r="N846" s="247" t="s">
        <v>3211</v>
      </c>
      <c r="O846" s="108" t="s">
        <v>970</v>
      </c>
      <c r="P846" s="235">
        <v>28379.3</v>
      </c>
      <c r="Q846" s="235">
        <f>35.4+8514</f>
        <v>8549.4</v>
      </c>
      <c r="R846" s="129"/>
      <c r="S846" s="130"/>
      <c r="T846" s="107">
        <v>19829.9</v>
      </c>
      <c r="U846" s="93"/>
      <c r="V846" s="107"/>
      <c r="W846" s="214"/>
    </row>
    <row r="847" s="43" customFormat="1" ht="22" customHeight="1" spans="1:23">
      <c r="A847" s="260" t="s">
        <v>3255</v>
      </c>
      <c r="B847" s="174" t="s">
        <v>2850</v>
      </c>
      <c r="C847" s="175"/>
      <c r="D847" s="45" t="s">
        <v>31</v>
      </c>
      <c r="E847" s="83" t="s">
        <v>3209</v>
      </c>
      <c r="F847" s="82">
        <f>IFERROR(VLOOKUP(E847,客户!B:C,2,FALSE),"/")</f>
        <v>0</v>
      </c>
      <c r="G847" s="307" t="s">
        <v>3256</v>
      </c>
      <c r="H847" s="144" t="s">
        <v>154</v>
      </c>
      <c r="I847" s="110" t="s">
        <v>3034</v>
      </c>
      <c r="J847" s="110">
        <v>44065</v>
      </c>
      <c r="K847" s="93">
        <v>44100</v>
      </c>
      <c r="L847" s="93"/>
      <c r="M847" s="315" t="s">
        <v>3257</v>
      </c>
      <c r="N847" s="247" t="s">
        <v>3245</v>
      </c>
      <c r="O847" s="108" t="s">
        <v>970</v>
      </c>
      <c r="P847" s="235">
        <v>18696.25</v>
      </c>
      <c r="Q847" s="235">
        <v>5609</v>
      </c>
      <c r="R847" s="129"/>
      <c r="S847" s="130"/>
      <c r="T847" s="107">
        <v>13087.25</v>
      </c>
      <c r="U847" s="93"/>
      <c r="V847" s="107"/>
      <c r="W847" s="214"/>
    </row>
    <row r="848" s="43" customFormat="1" ht="22" customHeight="1" spans="1:23">
      <c r="A848" s="260" t="s">
        <v>3258</v>
      </c>
      <c r="B848" s="174" t="s">
        <v>2850</v>
      </c>
      <c r="C848" s="175"/>
      <c r="D848" s="45" t="s">
        <v>31</v>
      </c>
      <c r="E848" s="83" t="s">
        <v>3259</v>
      </c>
      <c r="F848" s="82">
        <f>IFERROR(VLOOKUP(E848,客户!B:C,2,FALSE),"/")</f>
        <v>0</v>
      </c>
      <c r="G848" s="307" t="s">
        <v>3141</v>
      </c>
      <c r="H848" s="144" t="s">
        <v>147</v>
      </c>
      <c r="I848" s="110" t="s">
        <v>1874</v>
      </c>
      <c r="J848" s="110">
        <v>44075</v>
      </c>
      <c r="K848" s="93">
        <v>44118</v>
      </c>
      <c r="L848" s="93">
        <v>44162</v>
      </c>
      <c r="M848" s="315" t="s">
        <v>3260</v>
      </c>
      <c r="N848" s="247" t="s">
        <v>3261</v>
      </c>
      <c r="O848" s="108" t="s">
        <v>523</v>
      </c>
      <c r="P848" s="235">
        <v>38182</v>
      </c>
      <c r="Q848" s="235">
        <v>5727</v>
      </c>
      <c r="R848" s="129"/>
      <c r="S848" s="130"/>
      <c r="T848" s="107">
        <v>31558.45</v>
      </c>
      <c r="U848" s="93"/>
      <c r="V848" s="107"/>
      <c r="W848" s="214"/>
    </row>
    <row r="849" s="43" customFormat="1" ht="20" customHeight="1" spans="1:23">
      <c r="A849" s="260" t="s">
        <v>3262</v>
      </c>
      <c r="B849" s="174" t="s">
        <v>2850</v>
      </c>
      <c r="C849" s="175"/>
      <c r="D849" s="45" t="s">
        <v>31</v>
      </c>
      <c r="E849" s="83" t="s">
        <v>3259</v>
      </c>
      <c r="F849" s="82">
        <f>IFERROR(VLOOKUP(E849,客户!B:C,2,FALSE),"/")</f>
        <v>0</v>
      </c>
      <c r="G849" s="307" t="s">
        <v>3263</v>
      </c>
      <c r="H849" s="144" t="s">
        <v>147</v>
      </c>
      <c r="I849" s="110" t="s">
        <v>1874</v>
      </c>
      <c r="J849" s="110">
        <v>44075</v>
      </c>
      <c r="K849" s="93">
        <v>44133</v>
      </c>
      <c r="L849" s="93">
        <v>44171</v>
      </c>
      <c r="M849" s="315" t="s">
        <v>3264</v>
      </c>
      <c r="N849" s="247" t="s">
        <v>3265</v>
      </c>
      <c r="O849" s="108" t="s">
        <v>523</v>
      </c>
      <c r="P849" s="235">
        <v>42084.8</v>
      </c>
      <c r="Q849" s="235">
        <f>13164.3-5727</f>
        <v>7437.3</v>
      </c>
      <c r="R849" s="129"/>
      <c r="S849" s="130"/>
      <c r="T849" s="107">
        <v>20000</v>
      </c>
      <c r="U849" s="107">
        <v>14647.5</v>
      </c>
      <c r="V849" s="107"/>
      <c r="W849" s="214"/>
    </row>
    <row r="850" s="43" customFormat="1" ht="22" customHeight="1" spans="1:23">
      <c r="A850" s="260" t="s">
        <v>3266</v>
      </c>
      <c r="B850" s="174" t="s">
        <v>2850</v>
      </c>
      <c r="C850" s="175"/>
      <c r="D850" s="45" t="s">
        <v>31</v>
      </c>
      <c r="E850" s="83" t="s">
        <v>3234</v>
      </c>
      <c r="F850" s="82">
        <f>IFERROR(VLOOKUP(E850,客户!B:C,2,FALSE),"/")</f>
        <v>0</v>
      </c>
      <c r="G850" s="307" t="s">
        <v>3267</v>
      </c>
      <c r="H850" s="144" t="s">
        <v>123</v>
      </c>
      <c r="I850" s="110" t="s">
        <v>1874</v>
      </c>
      <c r="J850" s="110">
        <v>44076</v>
      </c>
      <c r="K850" s="93">
        <v>44106</v>
      </c>
      <c r="L850" s="93">
        <v>44145</v>
      </c>
      <c r="M850" s="315" t="s">
        <v>3268</v>
      </c>
      <c r="N850" s="247" t="s">
        <v>3269</v>
      </c>
      <c r="O850" s="108" t="s">
        <v>523</v>
      </c>
      <c r="P850" s="235">
        <v>42732.2</v>
      </c>
      <c r="Q850" s="235">
        <v>13000</v>
      </c>
      <c r="R850" s="129"/>
      <c r="S850" s="130"/>
      <c r="T850" s="107">
        <v>29732.2</v>
      </c>
      <c r="U850" s="93"/>
      <c r="V850" s="107"/>
      <c r="W850" s="214"/>
    </row>
    <row r="851" s="43" customFormat="1" ht="22" customHeight="1" spans="1:23">
      <c r="A851" s="260" t="s">
        <v>3270</v>
      </c>
      <c r="B851" s="174" t="s">
        <v>2850</v>
      </c>
      <c r="C851" s="175"/>
      <c r="D851" s="45" t="s">
        <v>31</v>
      </c>
      <c r="E851" s="83" t="s">
        <v>3234</v>
      </c>
      <c r="F851" s="82">
        <f>IFERROR(VLOOKUP(E851,客户!B:C,2,FALSE),"/")</f>
        <v>0</v>
      </c>
      <c r="G851" s="307" t="s">
        <v>3271</v>
      </c>
      <c r="H851" s="144" t="s">
        <v>123</v>
      </c>
      <c r="I851" s="110" t="s">
        <v>1874</v>
      </c>
      <c r="J851" s="110">
        <v>44076</v>
      </c>
      <c r="K851" s="93">
        <v>44125</v>
      </c>
      <c r="L851" s="93">
        <v>44161</v>
      </c>
      <c r="M851" s="315" t="s">
        <v>3272</v>
      </c>
      <c r="N851" s="247" t="s">
        <v>3273</v>
      </c>
      <c r="O851" s="108" t="s">
        <v>523</v>
      </c>
      <c r="P851" s="235">
        <v>51496.3</v>
      </c>
      <c r="Q851" s="235">
        <f>31210-13000</f>
        <v>18210</v>
      </c>
      <c r="R851" s="129"/>
      <c r="S851" s="130"/>
      <c r="T851" s="107">
        <v>33286</v>
      </c>
      <c r="U851" s="93"/>
      <c r="V851" s="107"/>
      <c r="W851" s="214"/>
    </row>
    <row r="852" s="43" customFormat="1" ht="22" customHeight="1" spans="1:23">
      <c r="A852" s="260" t="s">
        <v>3274</v>
      </c>
      <c r="B852" s="174" t="s">
        <v>2850</v>
      </c>
      <c r="C852" s="175"/>
      <c r="D852" s="45" t="s">
        <v>31</v>
      </c>
      <c r="E852" s="83" t="s">
        <v>3275</v>
      </c>
      <c r="F852" s="82" t="str">
        <f>IFERROR(VLOOKUP(E852,客户!B:C,2,FALSE),"/")</f>
        <v>安哥拉门及配件给清单  灯的清单和照片 如果HScode是九十五章  提前和报关货代说
2021.3.4收¥55000(汇率6.46，折合美金$8512.93)
冻结中</v>
      </c>
      <c r="G852" s="307" t="s">
        <v>3276</v>
      </c>
      <c r="H852" s="144" t="s">
        <v>123</v>
      </c>
      <c r="I852" s="110" t="s">
        <v>2990</v>
      </c>
      <c r="J852" s="110">
        <v>44081</v>
      </c>
      <c r="K852" s="93">
        <v>44137</v>
      </c>
      <c r="L852" s="93">
        <v>44189</v>
      </c>
      <c r="M852" s="315" t="s">
        <v>3277</v>
      </c>
      <c r="N852" s="247" t="s">
        <v>3278</v>
      </c>
      <c r="O852" s="108" t="s">
        <v>523</v>
      </c>
      <c r="P852" s="235">
        <v>41937.5</v>
      </c>
      <c r="Q852" s="235">
        <f>45000/6.82</f>
        <v>6598.24046920821</v>
      </c>
      <c r="R852" s="129"/>
      <c r="S852" s="130"/>
      <c r="T852" s="107">
        <f>190000/6.5337</f>
        <v>29080.0006122105</v>
      </c>
      <c r="U852" s="107">
        <f>40896/6.5337</f>
        <v>6259.24055282612</v>
      </c>
      <c r="V852" s="107"/>
      <c r="W852" s="214"/>
    </row>
    <row r="853" s="43" customFormat="1" ht="22" customHeight="1" spans="1:23">
      <c r="A853" s="260" t="s">
        <v>3279</v>
      </c>
      <c r="B853" s="174" t="s">
        <v>2850</v>
      </c>
      <c r="C853" s="175"/>
      <c r="D853" s="45" t="s">
        <v>31</v>
      </c>
      <c r="E853" s="83" t="s">
        <v>3280</v>
      </c>
      <c r="F853" s="82">
        <f>IFERROR(VLOOKUP(E853,客户!B:C,2,FALSE),"/")</f>
        <v>0</v>
      </c>
      <c r="G853" s="307" t="s">
        <v>3281</v>
      </c>
      <c r="H853" s="144" t="s">
        <v>123</v>
      </c>
      <c r="I853" s="110" t="s">
        <v>3282</v>
      </c>
      <c r="J853" s="110">
        <v>44088</v>
      </c>
      <c r="K853" s="97">
        <v>44284</v>
      </c>
      <c r="L853" s="93">
        <v>44331</v>
      </c>
      <c r="M853" s="315" t="s">
        <v>3283</v>
      </c>
      <c r="N853" s="247" t="s">
        <v>3284</v>
      </c>
      <c r="O853" s="108" t="s">
        <v>970</v>
      </c>
      <c r="P853" s="235">
        <v>21828.65</v>
      </c>
      <c r="Q853" s="235">
        <v>8200</v>
      </c>
      <c r="R853" s="129"/>
      <c r="S853" s="130"/>
      <c r="T853" s="107">
        <v>13628.65</v>
      </c>
      <c r="U853" s="93"/>
      <c r="V853" s="107"/>
      <c r="W853" s="214"/>
    </row>
    <row r="854" s="43" customFormat="1" ht="22" customHeight="1" spans="1:23">
      <c r="A854" s="260" t="s">
        <v>3285</v>
      </c>
      <c r="B854" s="174" t="s">
        <v>2850</v>
      </c>
      <c r="C854" s="175"/>
      <c r="D854" s="45" t="s">
        <v>31</v>
      </c>
      <c r="E854" s="83" t="s">
        <v>3286</v>
      </c>
      <c r="F854" s="82">
        <f>IFERROR(VLOOKUP(E854,客户!B:C,2,FALSE),"/")</f>
        <v>0</v>
      </c>
      <c r="G854" s="307" t="s">
        <v>3287</v>
      </c>
      <c r="H854" s="144" t="s">
        <v>147</v>
      </c>
      <c r="I854" s="110" t="s">
        <v>2934</v>
      </c>
      <c r="J854" s="110">
        <v>44096</v>
      </c>
      <c r="K854" s="93">
        <v>44164</v>
      </c>
      <c r="L854" s="93">
        <v>44175</v>
      </c>
      <c r="M854" s="315" t="s">
        <v>3288</v>
      </c>
      <c r="N854" s="247" t="s">
        <v>3289</v>
      </c>
      <c r="O854" s="108" t="s">
        <v>523</v>
      </c>
      <c r="P854" s="235">
        <v>25239.1</v>
      </c>
      <c r="Q854" s="235">
        <v>7618</v>
      </c>
      <c r="R854" s="129"/>
      <c r="S854" s="130"/>
      <c r="T854" s="107">
        <v>17621.1</v>
      </c>
      <c r="U854" s="93"/>
      <c r="V854" s="107"/>
      <c r="W854" s="214"/>
    </row>
    <row r="855" s="43" customFormat="1" ht="22" customHeight="1" spans="1:23">
      <c r="A855" s="260" t="s">
        <v>3290</v>
      </c>
      <c r="B855" s="174" t="s">
        <v>2850</v>
      </c>
      <c r="C855" s="175"/>
      <c r="D855" s="45" t="s">
        <v>31</v>
      </c>
      <c r="E855" s="83" t="s">
        <v>3291</v>
      </c>
      <c r="F855" s="82">
        <f>IFERROR(VLOOKUP(E855,客户!B:C,2,FALSE),"/")</f>
        <v>0</v>
      </c>
      <c r="G855" s="307" t="s">
        <v>3292</v>
      </c>
      <c r="H855" s="144" t="s">
        <v>123</v>
      </c>
      <c r="I855" s="110" t="s">
        <v>2990</v>
      </c>
      <c r="J855" s="110">
        <v>44104</v>
      </c>
      <c r="K855" s="93">
        <v>44142</v>
      </c>
      <c r="L855" s="93"/>
      <c r="M855" s="315" t="s">
        <v>3293</v>
      </c>
      <c r="N855" s="247" t="s">
        <v>3294</v>
      </c>
      <c r="O855" s="108" t="s">
        <v>970</v>
      </c>
      <c r="P855" s="235">
        <v>22173</v>
      </c>
      <c r="Q855" s="235">
        <v>6000</v>
      </c>
      <c r="R855" s="129"/>
      <c r="S855" s="130"/>
      <c r="T855" s="107">
        <v>16173</v>
      </c>
      <c r="U855" s="93"/>
      <c r="V855" s="107"/>
      <c r="W855" s="214"/>
    </row>
    <row r="856" s="43" customFormat="1" ht="22" customHeight="1" spans="1:23">
      <c r="A856" s="260" t="s">
        <v>3295</v>
      </c>
      <c r="B856" s="174" t="s">
        <v>2850</v>
      </c>
      <c r="C856" s="175"/>
      <c r="D856" s="45" t="s">
        <v>31</v>
      </c>
      <c r="E856" s="83" t="s">
        <v>3229</v>
      </c>
      <c r="F856" s="82">
        <f>IFERROR(VLOOKUP(E856,客户!B:C,2,FALSE),"/")</f>
        <v>0</v>
      </c>
      <c r="G856" s="307" t="s">
        <v>3296</v>
      </c>
      <c r="H856" s="144" t="s">
        <v>147</v>
      </c>
      <c r="I856" s="110" t="s">
        <v>1546</v>
      </c>
      <c r="J856" s="110">
        <v>44117</v>
      </c>
      <c r="K856" s="93">
        <v>44154</v>
      </c>
      <c r="L856" s="93">
        <v>44190</v>
      </c>
      <c r="M856" s="315" t="s">
        <v>3297</v>
      </c>
      <c r="N856" s="247" t="s">
        <v>3298</v>
      </c>
      <c r="O856" s="108" t="s">
        <v>523</v>
      </c>
      <c r="P856" s="235">
        <v>22310</v>
      </c>
      <c r="Q856" s="235">
        <v>4398</v>
      </c>
      <c r="R856" s="129"/>
      <c r="S856" s="130"/>
      <c r="T856" s="107">
        <v>17912</v>
      </c>
      <c r="U856" s="93"/>
      <c r="V856" s="107"/>
      <c r="W856" s="214"/>
    </row>
    <row r="857" s="43" customFormat="1" ht="20" customHeight="1" spans="1:23">
      <c r="A857" s="260" t="s">
        <v>3299</v>
      </c>
      <c r="B857" s="174" t="s">
        <v>2850</v>
      </c>
      <c r="C857" s="175"/>
      <c r="D857" s="45" t="s">
        <v>31</v>
      </c>
      <c r="E857" s="83" t="s">
        <v>3229</v>
      </c>
      <c r="F857" s="82">
        <f>IFERROR(VLOOKUP(E857,客户!B:C,2,FALSE),"/")</f>
        <v>0</v>
      </c>
      <c r="G857" s="307" t="s">
        <v>3300</v>
      </c>
      <c r="H857" s="144" t="s">
        <v>147</v>
      </c>
      <c r="I857" s="110" t="s">
        <v>1546</v>
      </c>
      <c r="J857" s="110">
        <v>44119</v>
      </c>
      <c r="K857" s="93">
        <v>44162</v>
      </c>
      <c r="L857" s="93">
        <v>44205</v>
      </c>
      <c r="M857" s="326" t="s">
        <v>3301</v>
      </c>
      <c r="N857" s="247" t="s">
        <v>3302</v>
      </c>
      <c r="O857" s="108" t="s">
        <v>523</v>
      </c>
      <c r="P857" s="235">
        <v>47268.37</v>
      </c>
      <c r="Q857" s="235">
        <v>9132.28</v>
      </c>
      <c r="R857" s="129"/>
      <c r="S857" s="130"/>
      <c r="T857" s="107">
        <v>38136.09</v>
      </c>
      <c r="U857" s="93"/>
      <c r="V857" s="107"/>
      <c r="W857" s="214"/>
    </row>
    <row r="858" s="43" customFormat="1" ht="22" customHeight="1" spans="1:23">
      <c r="A858" s="290" t="s">
        <v>3303</v>
      </c>
      <c r="B858" s="174" t="s">
        <v>2850</v>
      </c>
      <c r="C858" s="175"/>
      <c r="D858" s="45" t="s">
        <v>31</v>
      </c>
      <c r="E858" s="83" t="s">
        <v>3259</v>
      </c>
      <c r="F858" s="82">
        <f>IFERROR(VLOOKUP(E858,客户!B:C,2,FALSE),"/")</f>
        <v>0</v>
      </c>
      <c r="G858" s="307" t="s">
        <v>3304</v>
      </c>
      <c r="H858" s="144" t="s">
        <v>147</v>
      </c>
      <c r="I858" s="110" t="s">
        <v>1546</v>
      </c>
      <c r="J858" s="110">
        <v>44139</v>
      </c>
      <c r="K858" s="93">
        <v>44176</v>
      </c>
      <c r="L858" s="196">
        <v>44212</v>
      </c>
      <c r="M858" s="315" t="s">
        <v>3305</v>
      </c>
      <c r="N858" s="247" t="s">
        <v>3306</v>
      </c>
      <c r="O858" s="108" t="s">
        <v>523</v>
      </c>
      <c r="P858" s="235">
        <v>44253.2</v>
      </c>
      <c r="Q858" s="235">
        <v>6634.5</v>
      </c>
      <c r="R858" s="129"/>
      <c r="S858" s="130"/>
      <c r="T858" s="107">
        <v>17618.7</v>
      </c>
      <c r="U858" s="107">
        <v>20000</v>
      </c>
      <c r="V858" s="107"/>
      <c r="W858" s="214"/>
    </row>
    <row r="859" s="43" customFormat="1" ht="22" customHeight="1" spans="1:23">
      <c r="A859" s="260" t="s">
        <v>3307</v>
      </c>
      <c r="B859" s="174" t="s">
        <v>2850</v>
      </c>
      <c r="C859" s="175"/>
      <c r="D859" s="45" t="s">
        <v>31</v>
      </c>
      <c r="E859" s="83" t="s">
        <v>3259</v>
      </c>
      <c r="F859" s="82">
        <f>IFERROR(VLOOKUP(E859,客户!B:C,2,FALSE),"/")</f>
        <v>0</v>
      </c>
      <c r="G859" s="307" t="s">
        <v>3304</v>
      </c>
      <c r="H859" s="144" t="s">
        <v>147</v>
      </c>
      <c r="I859" s="110" t="s">
        <v>1546</v>
      </c>
      <c r="J859" s="110">
        <v>44139</v>
      </c>
      <c r="K859" s="93">
        <v>44184</v>
      </c>
      <c r="L859" s="196">
        <v>44223</v>
      </c>
      <c r="M859" s="315" t="s">
        <v>3308</v>
      </c>
      <c r="N859" s="247" t="s">
        <v>3309</v>
      </c>
      <c r="O859" s="108" t="s">
        <v>523</v>
      </c>
      <c r="P859" s="235">
        <v>44908.8</v>
      </c>
      <c r="Q859" s="235">
        <v>6634.5</v>
      </c>
      <c r="R859" s="129"/>
      <c r="S859" s="130"/>
      <c r="T859" s="107">
        <v>2000</v>
      </c>
      <c r="U859" s="235">
        <v>18274.3</v>
      </c>
      <c r="V859" s="107"/>
      <c r="W859" s="214"/>
    </row>
    <row r="860" s="43" customFormat="1" ht="22" customHeight="1" spans="1:23">
      <c r="A860" s="290" t="s">
        <v>3310</v>
      </c>
      <c r="B860" s="174" t="s">
        <v>2850</v>
      </c>
      <c r="C860" s="175"/>
      <c r="D860" s="45" t="s">
        <v>31</v>
      </c>
      <c r="E860" s="83" t="s">
        <v>3209</v>
      </c>
      <c r="F860" s="82">
        <f>IFERROR(VLOOKUP(E860,客户!B:C,2,FALSE),"/")</f>
        <v>0</v>
      </c>
      <c r="G860" s="307" t="s">
        <v>3311</v>
      </c>
      <c r="H860" s="144" t="s">
        <v>123</v>
      </c>
      <c r="I860" s="110" t="s">
        <v>3109</v>
      </c>
      <c r="J860" s="110">
        <v>44146</v>
      </c>
      <c r="K860" s="93">
        <v>44231</v>
      </c>
      <c r="L860" s="93"/>
      <c r="M860" s="315" t="s">
        <v>3312</v>
      </c>
      <c r="N860" s="247" t="s">
        <v>3313</v>
      </c>
      <c r="O860" s="108" t="s">
        <v>970</v>
      </c>
      <c r="P860" s="235">
        <v>21703.58</v>
      </c>
      <c r="Q860" s="235">
        <v>6777</v>
      </c>
      <c r="R860" s="129"/>
      <c r="S860" s="130"/>
      <c r="T860" s="107">
        <v>14926.58</v>
      </c>
      <c r="U860" s="93"/>
      <c r="V860" s="107"/>
      <c r="W860" s="214"/>
    </row>
    <row r="861" s="43" customFormat="1" ht="22" customHeight="1" spans="1:23">
      <c r="A861" s="260" t="s">
        <v>3314</v>
      </c>
      <c r="B861" s="174" t="s">
        <v>2850</v>
      </c>
      <c r="C861" s="175"/>
      <c r="D861" s="45" t="s">
        <v>31</v>
      </c>
      <c r="E861" s="83" t="s">
        <v>3209</v>
      </c>
      <c r="F861" s="82">
        <f>IFERROR(VLOOKUP(E861,客户!B:C,2,FALSE),"/")</f>
        <v>0</v>
      </c>
      <c r="G861" s="307" t="s">
        <v>3315</v>
      </c>
      <c r="H861" s="144" t="s">
        <v>123</v>
      </c>
      <c r="I861" s="110" t="s">
        <v>3034</v>
      </c>
      <c r="J861" s="110">
        <v>44146</v>
      </c>
      <c r="K861" s="93">
        <v>44190</v>
      </c>
      <c r="L861" s="93"/>
      <c r="M861" s="315" t="s">
        <v>3316</v>
      </c>
      <c r="N861" s="247" t="s">
        <v>3222</v>
      </c>
      <c r="O861" s="108" t="s">
        <v>970</v>
      </c>
      <c r="P861" s="235">
        <v>18955</v>
      </c>
      <c r="Q861" s="235">
        <v>5687</v>
      </c>
      <c r="R861" s="129"/>
      <c r="S861" s="130"/>
      <c r="T861" s="107">
        <v>13268</v>
      </c>
      <c r="U861" s="93"/>
      <c r="V861" s="107"/>
      <c r="W861" s="214"/>
    </row>
    <row r="862" s="43" customFormat="1" ht="22" customHeight="1" spans="1:23">
      <c r="A862" s="290" t="s">
        <v>3317</v>
      </c>
      <c r="B862" s="174" t="s">
        <v>2850</v>
      </c>
      <c r="C862" s="175"/>
      <c r="D862" s="45" t="s">
        <v>31</v>
      </c>
      <c r="E862" s="83" t="s">
        <v>3209</v>
      </c>
      <c r="F862" s="82">
        <f>IFERROR(VLOOKUP(E862,客户!B:C,2,FALSE),"/")</f>
        <v>0</v>
      </c>
      <c r="G862" s="307" t="s">
        <v>3318</v>
      </c>
      <c r="H862" s="144" t="s">
        <v>123</v>
      </c>
      <c r="I862" s="110" t="s">
        <v>3109</v>
      </c>
      <c r="J862" s="110">
        <v>44148</v>
      </c>
      <c r="K862" s="93">
        <v>44231</v>
      </c>
      <c r="L862" s="93"/>
      <c r="M862" s="315" t="s">
        <v>3319</v>
      </c>
      <c r="N862" s="247" t="s">
        <v>3320</v>
      </c>
      <c r="O862" s="108" t="s">
        <v>970</v>
      </c>
      <c r="P862" s="235">
        <v>17452.75</v>
      </c>
      <c r="Q862" s="235">
        <v>5301</v>
      </c>
      <c r="R862" s="129"/>
      <c r="S862" s="130"/>
      <c r="T862" s="107">
        <v>12151.75</v>
      </c>
      <c r="U862" s="93"/>
      <c r="V862" s="107"/>
      <c r="W862" s="214"/>
    </row>
    <row r="863" s="43" customFormat="1" ht="22" customHeight="1" spans="1:23">
      <c r="A863" s="260" t="s">
        <v>3321</v>
      </c>
      <c r="B863" s="174" t="s">
        <v>2850</v>
      </c>
      <c r="C863" s="175"/>
      <c r="D863" s="229" t="s">
        <v>31</v>
      </c>
      <c r="E863" s="83" t="s">
        <v>3322</v>
      </c>
      <c r="F863" s="82">
        <f>IFERROR(VLOOKUP(E863,客户!B:C,2,FALSE),"/")</f>
        <v>0</v>
      </c>
      <c r="G863" s="307" t="s">
        <v>3323</v>
      </c>
      <c r="H863" s="144" t="s">
        <v>123</v>
      </c>
      <c r="I863" s="110" t="s">
        <v>2448</v>
      </c>
      <c r="J863" s="110">
        <v>44158</v>
      </c>
      <c r="K863" s="93">
        <v>44354</v>
      </c>
      <c r="L863" s="93"/>
      <c r="M863" s="315" t="s">
        <v>3324</v>
      </c>
      <c r="N863" s="247"/>
      <c r="O863" s="108" t="s">
        <v>970</v>
      </c>
      <c r="P863" s="235">
        <v>14170.3</v>
      </c>
      <c r="Q863" s="235">
        <v>5000</v>
      </c>
      <c r="R863" s="129"/>
      <c r="S863" s="130"/>
      <c r="T863" s="107">
        <v>9170.3</v>
      </c>
      <c r="U863" s="93"/>
      <c r="V863" s="107"/>
      <c r="W863" s="214"/>
    </row>
    <row r="864" s="43" customFormat="1" ht="22" customHeight="1" spans="1:23">
      <c r="A864" s="260" t="s">
        <v>3325</v>
      </c>
      <c r="B864" s="174" t="s">
        <v>2850</v>
      </c>
      <c r="C864" s="175"/>
      <c r="D864" s="45" t="s">
        <v>31</v>
      </c>
      <c r="E864" s="83" t="s">
        <v>3275</v>
      </c>
      <c r="F864" s="82" t="str">
        <f>IFERROR(VLOOKUP(E864,客户!B:C,2,FALSE),"/")</f>
        <v>安哥拉门及配件给清单  灯的清单和照片 如果HScode是九十五章  提前和报关货代说
2021.3.4收¥55000(汇率6.46，折合美金$8512.93)
冻结中</v>
      </c>
      <c r="G864" s="307" t="s">
        <v>3326</v>
      </c>
      <c r="H864" s="144" t="s">
        <v>123</v>
      </c>
      <c r="I864" s="203" t="s">
        <v>3327</v>
      </c>
      <c r="J864" s="110">
        <v>44158</v>
      </c>
      <c r="K864" s="93">
        <v>44227</v>
      </c>
      <c r="L864" s="93">
        <v>44298</v>
      </c>
      <c r="M864" s="315" t="s">
        <v>3328</v>
      </c>
      <c r="N864" s="247" t="s">
        <v>3329</v>
      </c>
      <c r="O864" s="108" t="s">
        <v>523</v>
      </c>
      <c r="P864" s="235">
        <v>45189.44</v>
      </c>
      <c r="Q864" s="235">
        <f>43993/6.5522</f>
        <v>6714.23338725924</v>
      </c>
      <c r="R864" s="129">
        <v>125.21</v>
      </c>
      <c r="S864" s="130"/>
      <c r="T864" s="107">
        <v>38350</v>
      </c>
      <c r="U864" s="93"/>
      <c r="V864" s="247" t="s">
        <v>3330</v>
      </c>
      <c r="W864" s="214"/>
    </row>
    <row r="865" s="43" customFormat="1" ht="22" customHeight="1" spans="1:23">
      <c r="A865" s="260" t="s">
        <v>3331</v>
      </c>
      <c r="B865" s="174" t="s">
        <v>2850</v>
      </c>
      <c r="C865" s="175"/>
      <c r="D865" s="45" t="s">
        <v>31</v>
      </c>
      <c r="E865" s="83" t="s">
        <v>3209</v>
      </c>
      <c r="F865" s="82">
        <f>IFERROR(VLOOKUP(E865,客户!B:C,2,FALSE),"/")</f>
        <v>0</v>
      </c>
      <c r="G865" s="307" t="s">
        <v>3332</v>
      </c>
      <c r="H865" s="144" t="s">
        <v>123</v>
      </c>
      <c r="I865" s="146" t="s">
        <v>3034</v>
      </c>
      <c r="J865" s="110">
        <v>44202</v>
      </c>
      <c r="K865" s="93">
        <v>44305</v>
      </c>
      <c r="L865" s="93"/>
      <c r="M865" s="315" t="s">
        <v>3333</v>
      </c>
      <c r="N865" s="247" t="s">
        <v>3334</v>
      </c>
      <c r="O865" s="108" t="s">
        <v>970</v>
      </c>
      <c r="P865" s="235">
        <v>21073</v>
      </c>
      <c r="Q865" s="235">
        <f>6322+514.28</f>
        <v>6836.28</v>
      </c>
      <c r="R865" s="129"/>
      <c r="S865" s="130"/>
      <c r="T865" s="107">
        <v>14236.72</v>
      </c>
      <c r="U865" s="93"/>
      <c r="V865" s="107"/>
      <c r="W865" s="214"/>
    </row>
    <row r="866" s="43" customFormat="1" ht="22" customHeight="1" spans="1:23">
      <c r="A866" s="260" t="s">
        <v>3335</v>
      </c>
      <c r="B866" s="174" t="s">
        <v>2850</v>
      </c>
      <c r="C866" s="175"/>
      <c r="D866" s="45" t="s">
        <v>31</v>
      </c>
      <c r="E866" s="83" t="s">
        <v>3209</v>
      </c>
      <c r="F866" s="82">
        <f>IFERROR(VLOOKUP(E866,客户!B:C,2,FALSE),"/")</f>
        <v>0</v>
      </c>
      <c r="G866" s="307" t="s">
        <v>3315</v>
      </c>
      <c r="H866" s="144" t="s">
        <v>123</v>
      </c>
      <c r="I866" s="146" t="s">
        <v>3109</v>
      </c>
      <c r="J866" s="110">
        <v>44221</v>
      </c>
      <c r="K866" s="97">
        <v>44296</v>
      </c>
      <c r="L866" s="93"/>
      <c r="M866" s="315" t="s">
        <v>3336</v>
      </c>
      <c r="N866" s="247" t="s">
        <v>3337</v>
      </c>
      <c r="O866" s="108" t="s">
        <v>970</v>
      </c>
      <c r="P866" s="235">
        <v>20816.36</v>
      </c>
      <c r="Q866" s="235">
        <v>6400</v>
      </c>
      <c r="R866" s="129"/>
      <c r="S866" s="130"/>
      <c r="T866" s="107">
        <v>14930.64</v>
      </c>
      <c r="U866" s="93"/>
      <c r="V866" s="247"/>
      <c r="W866" s="214"/>
    </row>
    <row r="867" s="43" customFormat="1" ht="22" customHeight="1" spans="1:23">
      <c r="A867" s="260" t="s">
        <v>3338</v>
      </c>
      <c r="B867" s="174" t="s">
        <v>2850</v>
      </c>
      <c r="C867" s="175"/>
      <c r="D867" s="45" t="s">
        <v>31</v>
      </c>
      <c r="E867" s="83" t="s">
        <v>3286</v>
      </c>
      <c r="F867" s="82">
        <f>IFERROR(VLOOKUP(E867,客户!B:C,2,FALSE),"/")</f>
        <v>0</v>
      </c>
      <c r="G867" s="307" t="s">
        <v>3287</v>
      </c>
      <c r="H867" s="144" t="s">
        <v>147</v>
      </c>
      <c r="I867" s="146" t="s">
        <v>2934</v>
      </c>
      <c r="J867" s="110">
        <v>44258</v>
      </c>
      <c r="K867" s="93">
        <v>44318</v>
      </c>
      <c r="L867" s="93">
        <v>44339</v>
      </c>
      <c r="M867" s="315" t="s">
        <v>3339</v>
      </c>
      <c r="N867" s="247" t="s">
        <v>3340</v>
      </c>
      <c r="O867" s="108" t="s">
        <v>523</v>
      </c>
      <c r="P867" s="235">
        <v>31533</v>
      </c>
      <c r="Q867" s="235">
        <v>9460</v>
      </c>
      <c r="R867" s="129"/>
      <c r="S867" s="130"/>
      <c r="T867" s="107">
        <v>22073</v>
      </c>
      <c r="U867" s="93"/>
      <c r="V867" s="107"/>
      <c r="W867" s="214"/>
    </row>
    <row r="868" s="43" customFormat="1" ht="21" customHeight="1" spans="1:23">
      <c r="A868" s="260" t="s">
        <v>3341</v>
      </c>
      <c r="B868" s="174" t="s">
        <v>2850</v>
      </c>
      <c r="C868" s="175"/>
      <c r="D868" s="229" t="s">
        <v>31</v>
      </c>
      <c r="E868" s="83" t="s">
        <v>3275</v>
      </c>
      <c r="F868" s="82" t="str">
        <f>IFERROR(VLOOKUP(E868,客户!B:C,2,FALSE),"/")</f>
        <v>安哥拉门及配件给清单  灯的清单和照片 如果HScode是九十五章  提前和报关货代说
2021.3.4收¥55000(汇率6.46，折合美金$8512.93)
冻结中</v>
      </c>
      <c r="G868" s="307" t="s">
        <v>3342</v>
      </c>
      <c r="H868" s="144" t="s">
        <v>123</v>
      </c>
      <c r="I868" s="146" t="s">
        <v>2990</v>
      </c>
      <c r="J868" s="110">
        <v>44260</v>
      </c>
      <c r="K868" s="93">
        <v>44324</v>
      </c>
      <c r="L868" s="93">
        <v>44418</v>
      </c>
      <c r="M868" s="315" t="s">
        <v>3343</v>
      </c>
      <c r="N868" s="247" t="s">
        <v>3344</v>
      </c>
      <c r="O868" s="108" t="s">
        <v>523</v>
      </c>
      <c r="P868" s="235">
        <v>60939.26</v>
      </c>
      <c r="Q868" s="235">
        <f>219924/6.52</f>
        <v>33730.6748466258</v>
      </c>
      <c r="R868" s="129"/>
      <c r="S868" s="130"/>
      <c r="T868" s="107">
        <v>27208.59</v>
      </c>
      <c r="U868" s="235"/>
      <c r="V868" s="247" t="s">
        <v>3345</v>
      </c>
      <c r="W868" s="214"/>
    </row>
    <row r="869" s="43" customFormat="1" ht="22" customHeight="1" spans="1:23">
      <c r="A869" s="260" t="s">
        <v>3346</v>
      </c>
      <c r="B869" s="174" t="s">
        <v>2850</v>
      </c>
      <c r="C869" s="175"/>
      <c r="D869" s="45" t="s">
        <v>31</v>
      </c>
      <c r="E869" s="83" t="s">
        <v>3286</v>
      </c>
      <c r="F869" s="82">
        <f>IFERROR(VLOOKUP(E869,客户!B:C,2,FALSE),"/")</f>
        <v>0</v>
      </c>
      <c r="G869" s="307" t="s">
        <v>3287</v>
      </c>
      <c r="H869" s="144" t="s">
        <v>147</v>
      </c>
      <c r="I869" s="146" t="s">
        <v>2934</v>
      </c>
      <c r="J869" s="110">
        <v>44264</v>
      </c>
      <c r="K869" s="93">
        <v>44318</v>
      </c>
      <c r="L869" s="93">
        <v>44339</v>
      </c>
      <c r="M869" s="315" t="s">
        <v>3339</v>
      </c>
      <c r="N869" s="247" t="s">
        <v>3340</v>
      </c>
      <c r="O869" s="108" t="s">
        <v>523</v>
      </c>
      <c r="P869" s="327">
        <v>31547.2</v>
      </c>
      <c r="Q869" s="235">
        <v>9476</v>
      </c>
      <c r="R869" s="129"/>
      <c r="S869" s="130"/>
      <c r="T869" s="107">
        <v>22071.2</v>
      </c>
      <c r="U869" s="93"/>
      <c r="V869" s="107"/>
      <c r="W869" s="214"/>
    </row>
    <row r="870" s="43" customFormat="1" ht="22" customHeight="1" spans="1:23">
      <c r="A870" s="260" t="s">
        <v>3347</v>
      </c>
      <c r="B870" s="174" t="s">
        <v>2850</v>
      </c>
      <c r="C870" s="175"/>
      <c r="D870" s="229" t="s">
        <v>31</v>
      </c>
      <c r="E870" s="83" t="s">
        <v>3209</v>
      </c>
      <c r="F870" s="82">
        <f>IFERROR(VLOOKUP(E870,客户!B:C,2,FALSE),"/")</f>
        <v>0</v>
      </c>
      <c r="G870" s="307" t="s">
        <v>3315</v>
      </c>
      <c r="H870" s="144" t="s">
        <v>123</v>
      </c>
      <c r="I870" s="146" t="s">
        <v>3109</v>
      </c>
      <c r="J870" s="110">
        <v>44277</v>
      </c>
      <c r="K870" s="93">
        <v>44332</v>
      </c>
      <c r="L870" s="93"/>
      <c r="M870" s="315" t="s">
        <v>3348</v>
      </c>
      <c r="N870" s="247" t="s">
        <v>3349</v>
      </c>
      <c r="O870" s="108" t="s">
        <v>970</v>
      </c>
      <c r="P870" s="235">
        <v>22920.6</v>
      </c>
      <c r="Q870" s="235">
        <v>6876</v>
      </c>
      <c r="R870" s="129"/>
      <c r="S870" s="130"/>
      <c r="T870" s="107">
        <v>16044.6</v>
      </c>
      <c r="U870" s="93"/>
      <c r="V870" s="107"/>
      <c r="W870" s="214"/>
    </row>
    <row r="871" s="43" customFormat="1" ht="22" customHeight="1" spans="1:23">
      <c r="A871" s="260" t="s">
        <v>3350</v>
      </c>
      <c r="B871" s="174" t="s">
        <v>2850</v>
      </c>
      <c r="C871" s="175"/>
      <c r="D871" s="229" t="s">
        <v>31</v>
      </c>
      <c r="E871" s="83" t="s">
        <v>3209</v>
      </c>
      <c r="F871" s="82">
        <f>IFERROR(VLOOKUP(E871,客户!B:C,2,FALSE),"/")</f>
        <v>0</v>
      </c>
      <c r="G871" s="307" t="s">
        <v>3315</v>
      </c>
      <c r="H871" s="144" t="s">
        <v>123</v>
      </c>
      <c r="I871" s="146" t="s">
        <v>3034</v>
      </c>
      <c r="J871" s="110">
        <v>44277</v>
      </c>
      <c r="K871" s="93">
        <v>44338</v>
      </c>
      <c r="L871" s="93"/>
      <c r="M871" s="315" t="s">
        <v>3351</v>
      </c>
      <c r="N871" s="247" t="s">
        <v>3352</v>
      </c>
      <c r="O871" s="108" t="s">
        <v>970</v>
      </c>
      <c r="P871" s="235">
        <v>24057</v>
      </c>
      <c r="Q871" s="318">
        <v>7217</v>
      </c>
      <c r="R871" s="129"/>
      <c r="S871" s="130"/>
      <c r="T871" s="107">
        <v>16840</v>
      </c>
      <c r="U871" s="93"/>
      <c r="V871" s="107"/>
      <c r="W871" s="214"/>
    </row>
    <row r="872" s="43" customFormat="1" ht="22" customHeight="1" spans="1:23">
      <c r="A872" s="260" t="s">
        <v>3353</v>
      </c>
      <c r="B872" s="174" t="s">
        <v>2850</v>
      </c>
      <c r="C872" s="175"/>
      <c r="D872" s="229" t="s">
        <v>31</v>
      </c>
      <c r="E872" s="83" t="s">
        <v>3259</v>
      </c>
      <c r="F872" s="82">
        <f>IFERROR(VLOOKUP(E872,客户!B:C,2,FALSE),"/")</f>
        <v>0</v>
      </c>
      <c r="G872" s="307" t="s">
        <v>3354</v>
      </c>
      <c r="H872" s="144" t="s">
        <v>147</v>
      </c>
      <c r="I872" s="146" t="s">
        <v>1546</v>
      </c>
      <c r="J872" s="110">
        <v>44279</v>
      </c>
      <c r="K872" s="93">
        <v>44368</v>
      </c>
      <c r="L872" s="93">
        <v>44406</v>
      </c>
      <c r="M872" s="315" t="s">
        <v>3355</v>
      </c>
      <c r="N872" s="247" t="s">
        <v>3356</v>
      </c>
      <c r="O872" s="108" t="s">
        <v>523</v>
      </c>
      <c r="P872" s="235">
        <v>27734.16</v>
      </c>
      <c r="Q872" s="318">
        <v>4000</v>
      </c>
      <c r="R872" s="129"/>
      <c r="S872" s="130"/>
      <c r="T872" s="107">
        <v>20000</v>
      </c>
      <c r="U872" s="318">
        <v>3734.16</v>
      </c>
      <c r="V872" s="107"/>
      <c r="W872" s="214"/>
    </row>
    <row r="873" s="43" customFormat="1" ht="22" customHeight="1" spans="1:23">
      <c r="A873" s="260" t="s">
        <v>3357</v>
      </c>
      <c r="B873" s="174" t="s">
        <v>2850</v>
      </c>
      <c r="C873" s="175"/>
      <c r="D873" s="45" t="s">
        <v>31</v>
      </c>
      <c r="E873" s="83" t="s">
        <v>3259</v>
      </c>
      <c r="F873" s="82">
        <f>IFERROR(VLOOKUP(E873,客户!B:C,2,FALSE),"/")</f>
        <v>0</v>
      </c>
      <c r="G873" s="307" t="s">
        <v>3358</v>
      </c>
      <c r="H873" s="324" t="s">
        <v>147</v>
      </c>
      <c r="I873" s="146" t="s">
        <v>1546</v>
      </c>
      <c r="J873" s="110">
        <v>44279</v>
      </c>
      <c r="K873" s="93">
        <v>44300</v>
      </c>
      <c r="L873" s="93">
        <v>44340</v>
      </c>
      <c r="M873" s="315" t="s">
        <v>3359</v>
      </c>
      <c r="N873" s="247" t="s">
        <v>3360</v>
      </c>
      <c r="O873" s="108" t="s">
        <v>523</v>
      </c>
      <c r="P873" s="328">
        <v>21804.6</v>
      </c>
      <c r="Q873" s="318">
        <v>4000</v>
      </c>
      <c r="R873" s="129"/>
      <c r="S873" s="130"/>
      <c r="T873" s="107">
        <v>17804.6</v>
      </c>
      <c r="U873" s="93"/>
      <c r="V873" s="107"/>
      <c r="W873" s="214"/>
    </row>
    <row r="874" s="43" customFormat="1" ht="22" customHeight="1" spans="1:23">
      <c r="A874" s="260" t="s">
        <v>3361</v>
      </c>
      <c r="B874" s="174" t="s">
        <v>2850</v>
      </c>
      <c r="C874" s="175"/>
      <c r="D874" s="45" t="s">
        <v>31</v>
      </c>
      <c r="E874" s="83" t="s">
        <v>3259</v>
      </c>
      <c r="F874" s="82">
        <f>IFERROR(VLOOKUP(E874,客户!B:C,2,FALSE),"/")</f>
        <v>0</v>
      </c>
      <c r="G874" s="307" t="s">
        <v>3358</v>
      </c>
      <c r="H874" s="324" t="s">
        <v>147</v>
      </c>
      <c r="I874" s="146" t="s">
        <v>1546</v>
      </c>
      <c r="J874" s="110">
        <v>44279</v>
      </c>
      <c r="K874" s="93">
        <v>44344</v>
      </c>
      <c r="L874" s="196">
        <v>44391</v>
      </c>
      <c r="M874" s="315" t="s">
        <v>3362</v>
      </c>
      <c r="N874" s="247" t="s">
        <v>3363</v>
      </c>
      <c r="O874" s="108" t="s">
        <v>523</v>
      </c>
      <c r="P874" s="235">
        <v>28048.4</v>
      </c>
      <c r="Q874" s="318">
        <v>4000</v>
      </c>
      <c r="R874" s="129"/>
      <c r="S874" s="130"/>
      <c r="T874" s="107">
        <v>4048.4</v>
      </c>
      <c r="U874" s="318">
        <v>20000</v>
      </c>
      <c r="V874" s="107"/>
      <c r="W874" s="214"/>
    </row>
    <row r="875" s="43" customFormat="1" ht="22" customHeight="1" spans="1:23">
      <c r="A875" s="260" t="s">
        <v>3364</v>
      </c>
      <c r="B875" s="174" t="s">
        <v>2850</v>
      </c>
      <c r="C875" s="175"/>
      <c r="D875" s="45" t="s">
        <v>31</v>
      </c>
      <c r="E875" s="83" t="s">
        <v>3259</v>
      </c>
      <c r="F875" s="82">
        <f>IFERROR(VLOOKUP(E875,客户!B:C,2,FALSE),"/")</f>
        <v>0</v>
      </c>
      <c r="G875" s="307" t="s">
        <v>3358</v>
      </c>
      <c r="H875" s="324" t="s">
        <v>147</v>
      </c>
      <c r="I875" s="146" t="s">
        <v>1546</v>
      </c>
      <c r="J875" s="110">
        <v>44279</v>
      </c>
      <c r="K875" s="93">
        <v>44355</v>
      </c>
      <c r="L875" s="231">
        <v>44387</v>
      </c>
      <c r="M875" s="315" t="s">
        <v>3365</v>
      </c>
      <c r="N875" s="247" t="s">
        <v>3366</v>
      </c>
      <c r="O875" s="108" t="s">
        <v>523</v>
      </c>
      <c r="P875" s="235">
        <v>27992.86</v>
      </c>
      <c r="Q875" s="318">
        <v>4000</v>
      </c>
      <c r="R875" s="129"/>
      <c r="S875" s="130"/>
      <c r="T875" s="107">
        <v>20000</v>
      </c>
      <c r="U875" s="318">
        <v>3992.86</v>
      </c>
      <c r="V875" s="107"/>
      <c r="W875" s="214"/>
    </row>
    <row r="876" s="43" customFormat="1" ht="22" customHeight="1" spans="1:23">
      <c r="A876" s="260" t="s">
        <v>3367</v>
      </c>
      <c r="B876" s="174" t="s">
        <v>2850</v>
      </c>
      <c r="C876" s="175"/>
      <c r="D876" s="45" t="s">
        <v>31</v>
      </c>
      <c r="E876" s="83" t="s">
        <v>3259</v>
      </c>
      <c r="F876" s="82">
        <f>IFERROR(VLOOKUP(E876,客户!B:C,2,FALSE),"/")</f>
        <v>0</v>
      </c>
      <c r="G876" s="307" t="s">
        <v>3358</v>
      </c>
      <c r="H876" s="324" t="s">
        <v>147</v>
      </c>
      <c r="I876" s="146" t="s">
        <v>1546</v>
      </c>
      <c r="J876" s="110">
        <v>44279</v>
      </c>
      <c r="K876" s="93">
        <v>44362</v>
      </c>
      <c r="L876" s="196">
        <v>44405</v>
      </c>
      <c r="M876" s="315" t="s">
        <v>3368</v>
      </c>
      <c r="N876" s="247" t="s">
        <v>3356</v>
      </c>
      <c r="O876" s="108"/>
      <c r="P876" s="235">
        <v>29512.58</v>
      </c>
      <c r="Q876" s="318">
        <v>4000</v>
      </c>
      <c r="R876" s="129"/>
      <c r="S876" s="130"/>
      <c r="T876" s="107">
        <v>20000</v>
      </c>
      <c r="U876" s="318">
        <v>5512.58</v>
      </c>
      <c r="V876" s="107"/>
      <c r="W876" s="214"/>
    </row>
    <row r="877" s="43" customFormat="1" ht="22" customHeight="1" spans="1:23">
      <c r="A877" s="260" t="s">
        <v>3369</v>
      </c>
      <c r="B877" s="174" t="s">
        <v>2850</v>
      </c>
      <c r="C877" s="175"/>
      <c r="D877" s="229" t="s">
        <v>31</v>
      </c>
      <c r="E877" s="83" t="s">
        <v>3234</v>
      </c>
      <c r="F877" s="82">
        <f>IFERROR(VLOOKUP(E877,客户!B:C,2,FALSE),"/")</f>
        <v>0</v>
      </c>
      <c r="G877" s="307" t="s">
        <v>3370</v>
      </c>
      <c r="H877" s="324" t="s">
        <v>123</v>
      </c>
      <c r="I877" s="146" t="s">
        <v>1546</v>
      </c>
      <c r="J877" s="110">
        <v>44286</v>
      </c>
      <c r="K877" s="93">
        <v>44368</v>
      </c>
      <c r="L877" s="93">
        <v>44406</v>
      </c>
      <c r="M877" s="315" t="s">
        <v>3371</v>
      </c>
      <c r="N877" s="247" t="s">
        <v>3372</v>
      </c>
      <c r="O877" s="108" t="s">
        <v>523</v>
      </c>
      <c r="P877" s="235">
        <v>71147.1</v>
      </c>
      <c r="Q877" s="318">
        <v>21981</v>
      </c>
      <c r="R877" s="129"/>
      <c r="S877" s="130"/>
      <c r="T877" s="107">
        <v>49166.1</v>
      </c>
      <c r="U877" s="93"/>
      <c r="V877" s="107"/>
      <c r="W877" s="214"/>
    </row>
    <row r="878" s="43" customFormat="1" ht="22" customHeight="1" spans="1:23">
      <c r="A878" s="260" t="s">
        <v>3373</v>
      </c>
      <c r="B878" s="174" t="s">
        <v>2850</v>
      </c>
      <c r="C878" s="175"/>
      <c r="D878" s="229" t="s">
        <v>31</v>
      </c>
      <c r="E878" s="83" t="s">
        <v>3259</v>
      </c>
      <c r="F878" s="82">
        <f>IFERROR(VLOOKUP(E878,客户!B:C,2,FALSE),"/")</f>
        <v>0</v>
      </c>
      <c r="G878" s="307" t="s">
        <v>3374</v>
      </c>
      <c r="H878" s="324" t="s">
        <v>147</v>
      </c>
      <c r="I878" s="146" t="s">
        <v>1546</v>
      </c>
      <c r="J878" s="110">
        <v>44309</v>
      </c>
      <c r="K878" s="93">
        <v>44344</v>
      </c>
      <c r="L878" s="196">
        <v>44389</v>
      </c>
      <c r="M878" s="315" t="s">
        <v>3375</v>
      </c>
      <c r="N878" s="247" t="s">
        <v>3376</v>
      </c>
      <c r="O878" s="108" t="s">
        <v>523</v>
      </c>
      <c r="P878" s="235">
        <v>32155.52</v>
      </c>
      <c r="Q878" s="318">
        <v>4824</v>
      </c>
      <c r="R878" s="129"/>
      <c r="S878" s="130"/>
      <c r="T878" s="107">
        <v>27331.52</v>
      </c>
      <c r="U878" s="93"/>
      <c r="V878" s="107"/>
      <c r="W878" s="214"/>
    </row>
    <row r="879" s="43" customFormat="1" ht="22" customHeight="1" spans="1:23">
      <c r="A879" s="260" t="s">
        <v>3377</v>
      </c>
      <c r="B879" s="174" t="s">
        <v>2850</v>
      </c>
      <c r="C879" s="175"/>
      <c r="D879" s="229" t="s">
        <v>31</v>
      </c>
      <c r="E879" s="83" t="s">
        <v>3234</v>
      </c>
      <c r="F879" s="82">
        <f>IFERROR(VLOOKUP(E879,客户!B:C,2,FALSE),"/")</f>
        <v>0</v>
      </c>
      <c r="G879" s="307" t="s">
        <v>3378</v>
      </c>
      <c r="H879" s="324" t="s">
        <v>123</v>
      </c>
      <c r="I879" s="146" t="s">
        <v>1546</v>
      </c>
      <c r="J879" s="110">
        <v>44344</v>
      </c>
      <c r="K879" s="93">
        <v>44400</v>
      </c>
      <c r="L879" s="93">
        <v>44443</v>
      </c>
      <c r="M879" s="315" t="s">
        <v>3379</v>
      </c>
      <c r="N879" s="247" t="s">
        <v>3380</v>
      </c>
      <c r="O879" s="108" t="s">
        <v>523</v>
      </c>
      <c r="P879" s="235">
        <v>73664.28</v>
      </c>
      <c r="Q879" s="318">
        <v>10000</v>
      </c>
      <c r="R879" s="129"/>
      <c r="S879" s="130"/>
      <c r="T879" s="107">
        <f>27000+27000</f>
        <v>54000</v>
      </c>
      <c r="U879" s="107">
        <v>9664.28</v>
      </c>
      <c r="V879" s="107"/>
      <c r="W879" s="214"/>
    </row>
    <row r="880" s="43" customFormat="1" ht="22" customHeight="1" spans="1:23">
      <c r="A880" s="260" t="s">
        <v>3381</v>
      </c>
      <c r="B880" s="174" t="s">
        <v>2850</v>
      </c>
      <c r="C880" s="175"/>
      <c r="D880" s="229" t="s">
        <v>31</v>
      </c>
      <c r="E880" s="83" t="s">
        <v>3209</v>
      </c>
      <c r="F880" s="82">
        <f>IFERROR(VLOOKUP(E880,客户!B:C,2,FALSE),"/")</f>
        <v>0</v>
      </c>
      <c r="G880" s="307" t="s">
        <v>3315</v>
      </c>
      <c r="H880" s="324" t="s">
        <v>123</v>
      </c>
      <c r="I880" s="146" t="s">
        <v>3109</v>
      </c>
      <c r="J880" s="110">
        <v>44355</v>
      </c>
      <c r="K880" s="93">
        <v>44381</v>
      </c>
      <c r="L880" s="93"/>
      <c r="M880" s="315" t="s">
        <v>3382</v>
      </c>
      <c r="N880" s="247" t="s">
        <v>3383</v>
      </c>
      <c r="O880" s="108" t="s">
        <v>970</v>
      </c>
      <c r="P880" s="235">
        <v>27261.76</v>
      </c>
      <c r="Q880" s="318">
        <v>8179</v>
      </c>
      <c r="R880" s="129"/>
      <c r="S880" s="130"/>
      <c r="T880" s="107">
        <v>19082.76</v>
      </c>
      <c r="U880" s="93"/>
      <c r="V880" s="107"/>
      <c r="W880" s="214"/>
    </row>
    <row r="881" s="43" customFormat="1" ht="22" customHeight="1" spans="1:23">
      <c r="A881" s="260" t="s">
        <v>3384</v>
      </c>
      <c r="B881" s="174" t="s">
        <v>2850</v>
      </c>
      <c r="C881" s="175"/>
      <c r="D881" s="229" t="s">
        <v>31</v>
      </c>
      <c r="E881" s="83" t="s">
        <v>3229</v>
      </c>
      <c r="F881" s="82">
        <f>IFERROR(VLOOKUP(E881,客户!B:C,2,FALSE),"/")</f>
        <v>0</v>
      </c>
      <c r="G881" s="307" t="s">
        <v>3385</v>
      </c>
      <c r="H881" s="144" t="s">
        <v>147</v>
      </c>
      <c r="I881" s="146" t="s">
        <v>1546</v>
      </c>
      <c r="J881" s="110">
        <v>44405</v>
      </c>
      <c r="K881" s="93">
        <v>44448</v>
      </c>
      <c r="L881" s="93">
        <v>44490</v>
      </c>
      <c r="M881" s="315" t="s">
        <v>3386</v>
      </c>
      <c r="N881" s="247" t="s">
        <v>3387</v>
      </c>
      <c r="O881" s="264" t="s">
        <v>523</v>
      </c>
      <c r="P881" s="235">
        <v>71987.7</v>
      </c>
      <c r="Q881" s="318">
        <v>14050</v>
      </c>
      <c r="R881" s="129"/>
      <c r="S881" s="130"/>
      <c r="T881" s="107">
        <v>57937.7</v>
      </c>
      <c r="U881" s="93"/>
      <c r="V881" s="107"/>
      <c r="W881" s="214"/>
    </row>
    <row r="882" s="43" customFormat="1" ht="22" customHeight="1" spans="1:23">
      <c r="A882" s="260" t="s">
        <v>3388</v>
      </c>
      <c r="B882" s="174" t="s">
        <v>2850</v>
      </c>
      <c r="C882" s="175"/>
      <c r="D882" s="229" t="s">
        <v>31</v>
      </c>
      <c r="E882" s="83" t="s">
        <v>3259</v>
      </c>
      <c r="F882" s="82"/>
      <c r="G882" s="307" t="s">
        <v>3389</v>
      </c>
      <c r="H882" s="144" t="s">
        <v>147</v>
      </c>
      <c r="I882" s="146" t="s">
        <v>1546</v>
      </c>
      <c r="J882" s="110">
        <v>44406</v>
      </c>
      <c r="K882" s="93">
        <v>44473</v>
      </c>
      <c r="L882" s="93">
        <v>44515</v>
      </c>
      <c r="M882" s="315" t="s">
        <v>3390</v>
      </c>
      <c r="N882" s="329" t="s">
        <v>3391</v>
      </c>
      <c r="O882" s="108" t="s">
        <v>1283</v>
      </c>
      <c r="P882" s="327">
        <v>110689.52</v>
      </c>
      <c r="Q882" s="318"/>
      <c r="R882" s="129"/>
      <c r="S882" s="130"/>
      <c r="T882" s="107">
        <v>110689.52</v>
      </c>
      <c r="U882" s="93"/>
      <c r="V882" s="107"/>
      <c r="W882" s="214"/>
    </row>
    <row r="883" s="43" customFormat="1" ht="22" customHeight="1" spans="1:23">
      <c r="A883" s="260" t="s">
        <v>3392</v>
      </c>
      <c r="B883" s="174" t="s">
        <v>2850</v>
      </c>
      <c r="C883" s="175"/>
      <c r="D883" s="229" t="s">
        <v>31</v>
      </c>
      <c r="E883" s="83" t="s">
        <v>3259</v>
      </c>
      <c r="F883" s="82"/>
      <c r="G883" s="307" t="s">
        <v>3393</v>
      </c>
      <c r="H883" s="144" t="s">
        <v>147</v>
      </c>
      <c r="I883" s="146" t="s">
        <v>1546</v>
      </c>
      <c r="J883" s="110">
        <v>44406</v>
      </c>
      <c r="K883" s="93">
        <v>44448</v>
      </c>
      <c r="L883" s="93">
        <v>44487</v>
      </c>
      <c r="M883" s="315" t="s">
        <v>3394</v>
      </c>
      <c r="N883" s="247" t="s">
        <v>3395</v>
      </c>
      <c r="O883" s="108" t="s">
        <v>1283</v>
      </c>
      <c r="P883" s="235">
        <v>106006.46</v>
      </c>
      <c r="Q883" s="318"/>
      <c r="R883" s="129"/>
      <c r="S883" s="130"/>
      <c r="T883" s="107">
        <v>106006.46</v>
      </c>
      <c r="U883" s="93"/>
      <c r="V883" s="107"/>
      <c r="W883" s="214"/>
    </row>
    <row r="884" s="43" customFormat="1" ht="22" customHeight="1" spans="1:23">
      <c r="A884" s="260" t="s">
        <v>3396</v>
      </c>
      <c r="B884" s="174" t="s">
        <v>2850</v>
      </c>
      <c r="C884" s="175"/>
      <c r="D884" s="229" t="s">
        <v>31</v>
      </c>
      <c r="E884" s="83" t="s">
        <v>3209</v>
      </c>
      <c r="F884" s="82">
        <f>IFERROR(VLOOKUP(E884,客户!B:C,2,FALSE),"/")</f>
        <v>0</v>
      </c>
      <c r="G884" s="307" t="s">
        <v>3315</v>
      </c>
      <c r="H884" s="324" t="s">
        <v>123</v>
      </c>
      <c r="I884" s="146" t="s">
        <v>3034</v>
      </c>
      <c r="J884" s="110">
        <v>44439</v>
      </c>
      <c r="K884" s="93">
        <v>44484</v>
      </c>
      <c r="L884" s="93"/>
      <c r="M884" s="315" t="s">
        <v>3397</v>
      </c>
      <c r="N884" s="247" t="s">
        <v>3352</v>
      </c>
      <c r="O884" s="108" t="s">
        <v>970</v>
      </c>
      <c r="P884" s="235">
        <v>26825</v>
      </c>
      <c r="Q884" s="318">
        <v>8048</v>
      </c>
      <c r="R884" s="129"/>
      <c r="S884" s="130"/>
      <c r="T884" s="107">
        <v>18777</v>
      </c>
      <c r="U884" s="93"/>
      <c r="V884" s="107"/>
      <c r="W884" s="214"/>
    </row>
    <row r="885" s="43" customFormat="1" ht="22" customHeight="1" spans="1:23">
      <c r="A885" s="260" t="s">
        <v>3398</v>
      </c>
      <c r="B885" s="174" t="s">
        <v>2850</v>
      </c>
      <c r="C885" s="175"/>
      <c r="D885" s="229" t="s">
        <v>31</v>
      </c>
      <c r="E885" s="83" t="s">
        <v>3209</v>
      </c>
      <c r="F885" s="82">
        <f>IFERROR(VLOOKUP(E885,客户!B:C,2,FALSE),"/")</f>
        <v>0</v>
      </c>
      <c r="G885" s="307" t="s">
        <v>3311</v>
      </c>
      <c r="H885" s="324" t="s">
        <v>123</v>
      </c>
      <c r="I885" s="146" t="s">
        <v>3109</v>
      </c>
      <c r="J885" s="110">
        <v>44439</v>
      </c>
      <c r="K885" s="93">
        <v>44485</v>
      </c>
      <c r="L885" s="93"/>
      <c r="M885" s="315" t="s">
        <v>3399</v>
      </c>
      <c r="N885" s="247" t="s">
        <v>3400</v>
      </c>
      <c r="O885" s="108" t="s">
        <v>970</v>
      </c>
      <c r="P885" s="235">
        <v>29147.25</v>
      </c>
      <c r="Q885" s="318">
        <v>8930</v>
      </c>
      <c r="R885" s="129"/>
      <c r="S885" s="130"/>
      <c r="T885" s="107">
        <f>20836.45-619.2</f>
        <v>20217.25</v>
      </c>
      <c r="U885" s="285" t="s">
        <v>3401</v>
      </c>
      <c r="V885" s="107"/>
      <c r="W885" s="214"/>
    </row>
    <row r="886" s="43" customFormat="1" ht="22" customHeight="1" spans="1:23">
      <c r="A886" s="260" t="s">
        <v>3402</v>
      </c>
      <c r="B886" s="174" t="s">
        <v>2850</v>
      </c>
      <c r="C886" s="175"/>
      <c r="D886" s="229" t="s">
        <v>31</v>
      </c>
      <c r="E886" s="83" t="s">
        <v>3275</v>
      </c>
      <c r="F886" s="82" t="str">
        <f>IFERROR(VLOOKUP(E886,客户!B:C,2,FALSE),"/")</f>
        <v>安哥拉门及配件给清单  灯的清单和照片 如果HScode是九十五章  提前和报关货代说
2021.3.4收¥55000(汇率6.46，折合美金$8512.93)
冻结中</v>
      </c>
      <c r="G886" s="307" t="s">
        <v>3403</v>
      </c>
      <c r="H886" s="144" t="s">
        <v>123</v>
      </c>
      <c r="I886" s="146" t="s">
        <v>2990</v>
      </c>
      <c r="J886" s="110">
        <v>44445</v>
      </c>
      <c r="K886" s="93">
        <v>44512</v>
      </c>
      <c r="L886" s="93">
        <v>44586</v>
      </c>
      <c r="M886" s="315" t="s">
        <v>3404</v>
      </c>
      <c r="N886" s="329" t="s">
        <v>3405</v>
      </c>
      <c r="O886" s="108" t="s">
        <v>523</v>
      </c>
      <c r="P886" s="235">
        <v>83396</v>
      </c>
      <c r="Q886" s="318">
        <f>8408+110000/6.45</f>
        <v>25462.2635658915</v>
      </c>
      <c r="R886" s="129"/>
      <c r="S886" s="130"/>
      <c r="T886" s="107">
        <f>368667/6.3636</f>
        <v>57933.7167640958</v>
      </c>
      <c r="U886" s="93"/>
      <c r="V886" s="107"/>
      <c r="W886" s="214"/>
    </row>
    <row r="887" s="43" customFormat="1" ht="22" customHeight="1" spans="1:23">
      <c r="A887" s="290" t="s">
        <v>3406</v>
      </c>
      <c r="B887" s="174" t="s">
        <v>2850</v>
      </c>
      <c r="C887" s="175"/>
      <c r="D887" s="229" t="s">
        <v>31</v>
      </c>
      <c r="E887" s="83" t="s">
        <v>3229</v>
      </c>
      <c r="F887" s="82">
        <f>IFERROR(VLOOKUP(E887,客户!B:C,2,FALSE),"/")</f>
        <v>0</v>
      </c>
      <c r="G887" s="307" t="s">
        <v>3407</v>
      </c>
      <c r="H887" s="144" t="s">
        <v>147</v>
      </c>
      <c r="I887" s="146" t="s">
        <v>1546</v>
      </c>
      <c r="J887" s="110">
        <v>44448</v>
      </c>
      <c r="K887" s="93">
        <v>44515</v>
      </c>
      <c r="L887" s="93">
        <v>44562</v>
      </c>
      <c r="M887" s="315" t="s">
        <v>3408</v>
      </c>
      <c r="N887" s="329" t="s">
        <v>3409</v>
      </c>
      <c r="O887" s="108" t="s">
        <v>523</v>
      </c>
      <c r="P887" s="235">
        <v>36569.17</v>
      </c>
      <c r="Q887" s="318">
        <f>14533/2</f>
        <v>7266.5</v>
      </c>
      <c r="R887" s="129"/>
      <c r="S887" s="130"/>
      <c r="T887" s="107">
        <v>29302.67</v>
      </c>
      <c r="U887" s="93"/>
      <c r="V887" s="107"/>
      <c r="W887" s="214"/>
    </row>
    <row r="888" s="43" customFormat="1" ht="22" customHeight="1" spans="1:23">
      <c r="A888" s="260" t="s">
        <v>3410</v>
      </c>
      <c r="B888" s="174" t="s">
        <v>2850</v>
      </c>
      <c r="C888" s="175"/>
      <c r="D888" s="229" t="s">
        <v>31</v>
      </c>
      <c r="E888" s="83" t="s">
        <v>3411</v>
      </c>
      <c r="F888" s="82"/>
      <c r="G888" s="307" t="s">
        <v>3412</v>
      </c>
      <c r="H888" s="144" t="s">
        <v>147</v>
      </c>
      <c r="I888" s="146" t="s">
        <v>1546</v>
      </c>
      <c r="J888" s="110">
        <v>44448</v>
      </c>
      <c r="K888" s="93">
        <v>44527</v>
      </c>
      <c r="L888" s="93">
        <v>44560</v>
      </c>
      <c r="M888" s="315" t="s">
        <v>3413</v>
      </c>
      <c r="N888" s="329" t="s">
        <v>3414</v>
      </c>
      <c r="O888" s="108" t="s">
        <v>523</v>
      </c>
      <c r="P888" s="235">
        <v>35305.13</v>
      </c>
      <c r="Q888" s="318">
        <v>7266.5</v>
      </c>
      <c r="R888" s="129"/>
      <c r="S888" s="130"/>
      <c r="T888" s="107">
        <v>28038.63</v>
      </c>
      <c r="U888" s="93"/>
      <c r="V888" s="107"/>
      <c r="W888" s="214"/>
    </row>
    <row r="889" s="43" customFormat="1" ht="22" customHeight="1" spans="1:23">
      <c r="A889" s="260" t="s">
        <v>3415</v>
      </c>
      <c r="B889" s="174" t="s">
        <v>2850</v>
      </c>
      <c r="C889" s="175"/>
      <c r="D889" s="229" t="s">
        <v>31</v>
      </c>
      <c r="E889" s="83" t="s">
        <v>3209</v>
      </c>
      <c r="F889" s="82">
        <f>IFERROR(VLOOKUP(E889,客户!B:C,2,FALSE),"/")</f>
        <v>0</v>
      </c>
      <c r="G889" s="307" t="s">
        <v>3416</v>
      </c>
      <c r="H889" s="144" t="s">
        <v>123</v>
      </c>
      <c r="I889" s="146" t="s">
        <v>3220</v>
      </c>
      <c r="J889" s="110">
        <v>44449</v>
      </c>
      <c r="K889" s="93">
        <v>44507</v>
      </c>
      <c r="L889" s="93"/>
      <c r="M889" s="315" t="s">
        <v>3417</v>
      </c>
      <c r="N889" s="329" t="s">
        <v>3418</v>
      </c>
      <c r="O889" s="108" t="s">
        <v>970</v>
      </c>
      <c r="P889" s="235">
        <v>29061.9</v>
      </c>
      <c r="Q889" s="318">
        <v>8719</v>
      </c>
      <c r="R889" s="129"/>
      <c r="S889" s="130"/>
      <c r="T889" s="107">
        <f>619.2+19723.7</f>
        <v>20342.9</v>
      </c>
      <c r="U889" s="93"/>
      <c r="V889" s="107"/>
      <c r="W889" s="214"/>
    </row>
    <row r="890" s="43" customFormat="1" ht="22" customHeight="1" spans="1:23">
      <c r="A890" s="260" t="s">
        <v>3419</v>
      </c>
      <c r="B890" s="174" t="s">
        <v>2850</v>
      </c>
      <c r="C890" s="175"/>
      <c r="D890" s="229" t="s">
        <v>31</v>
      </c>
      <c r="E890" s="83" t="s">
        <v>3259</v>
      </c>
      <c r="F890" s="82">
        <f>IFERROR(VLOOKUP(E890,客户!B:C,2,FALSE),"/")</f>
        <v>0</v>
      </c>
      <c r="G890" s="307" t="s">
        <v>3074</v>
      </c>
      <c r="H890" s="144" t="s">
        <v>147</v>
      </c>
      <c r="I890" s="146" t="s">
        <v>1546</v>
      </c>
      <c r="J890" s="110">
        <v>44456</v>
      </c>
      <c r="K890" s="93">
        <v>44491</v>
      </c>
      <c r="L890" s="93">
        <v>44543</v>
      </c>
      <c r="M890" s="315" t="s">
        <v>3420</v>
      </c>
      <c r="N890" s="329" t="s">
        <v>3421</v>
      </c>
      <c r="O890" s="108" t="s">
        <v>523</v>
      </c>
      <c r="P890" s="235">
        <v>39581.28</v>
      </c>
      <c r="Q890" s="318">
        <v>6151.02</v>
      </c>
      <c r="R890" s="129"/>
      <c r="S890" s="130"/>
      <c r="T890" s="107">
        <v>33430.26</v>
      </c>
      <c r="U890" s="93"/>
      <c r="V890" s="107"/>
      <c r="W890" s="214"/>
    </row>
    <row r="891" s="43" customFormat="1" ht="22" customHeight="1" spans="1:23">
      <c r="A891" s="260" t="s">
        <v>3422</v>
      </c>
      <c r="B891" s="174" t="s">
        <v>2850</v>
      </c>
      <c r="C891" s="175"/>
      <c r="D891" s="229" t="s">
        <v>31</v>
      </c>
      <c r="E891" s="83" t="s">
        <v>3259</v>
      </c>
      <c r="F891" s="82">
        <f>IFERROR(VLOOKUP(E891,客户!B:C,2,FALSE),"/")</f>
        <v>0</v>
      </c>
      <c r="G891" s="307" t="s">
        <v>3423</v>
      </c>
      <c r="H891" s="144" t="s">
        <v>147</v>
      </c>
      <c r="I891" s="146" t="s">
        <v>1546</v>
      </c>
      <c r="J891" s="110">
        <v>44456</v>
      </c>
      <c r="K891" s="93">
        <v>44527</v>
      </c>
      <c r="L891" s="93">
        <v>44557</v>
      </c>
      <c r="M891" s="315" t="s">
        <v>3424</v>
      </c>
      <c r="N891" s="329" t="s">
        <v>3425</v>
      </c>
      <c r="O891" s="108" t="s">
        <v>523</v>
      </c>
      <c r="P891" s="235">
        <v>81140.46</v>
      </c>
      <c r="Q891" s="318">
        <v>12302.04</v>
      </c>
      <c r="R891" s="129"/>
      <c r="S891" s="130"/>
      <c r="T891" s="107">
        <v>68838.42</v>
      </c>
      <c r="U891" s="93"/>
      <c r="V891" s="107"/>
      <c r="W891" s="214"/>
    </row>
    <row r="892" s="43" customFormat="1" ht="22" customHeight="1" spans="1:23">
      <c r="A892" s="290" t="s">
        <v>3426</v>
      </c>
      <c r="B892" s="174" t="s">
        <v>2850</v>
      </c>
      <c r="C892" s="175"/>
      <c r="D892" s="229" t="s">
        <v>31</v>
      </c>
      <c r="E892" s="83" t="s">
        <v>3200</v>
      </c>
      <c r="F892" s="82">
        <f>IFERROR(VLOOKUP(E892,客户!B:C,2,FALSE),"/")</f>
        <v>0</v>
      </c>
      <c r="G892" s="307" t="s">
        <v>3427</v>
      </c>
      <c r="H892" s="144" t="s">
        <v>123</v>
      </c>
      <c r="I892" s="146" t="s">
        <v>1546</v>
      </c>
      <c r="J892" s="110">
        <v>44456</v>
      </c>
      <c r="K892" s="97">
        <v>44527</v>
      </c>
      <c r="L892" s="93">
        <v>44560</v>
      </c>
      <c r="M892" s="315" t="s">
        <v>3428</v>
      </c>
      <c r="N892" s="329" t="s">
        <v>3429</v>
      </c>
      <c r="O892" s="108" t="s">
        <v>523</v>
      </c>
      <c r="P892" s="235">
        <v>112512</v>
      </c>
      <c r="Q892" s="318">
        <v>18489</v>
      </c>
      <c r="R892" s="129"/>
      <c r="S892" s="130"/>
      <c r="T892" s="107">
        <f>20000+20000+20000</f>
        <v>60000</v>
      </c>
      <c r="U892" s="107">
        <f>18552.49+15470.51</f>
        <v>34023</v>
      </c>
      <c r="V892" s="107"/>
      <c r="W892" s="214"/>
    </row>
    <row r="893" s="43" customFormat="1" ht="22" customHeight="1" spans="1:23">
      <c r="A893" s="260" t="s">
        <v>3430</v>
      </c>
      <c r="B893" s="174" t="s">
        <v>2850</v>
      </c>
      <c r="C893" s="175"/>
      <c r="D893" s="229" t="s">
        <v>31</v>
      </c>
      <c r="E893" s="83" t="s">
        <v>3200</v>
      </c>
      <c r="F893" s="82">
        <f>IFERROR(VLOOKUP(E893,客户!B:C,2,FALSE),"/")</f>
        <v>0</v>
      </c>
      <c r="G893" s="307" t="s">
        <v>3431</v>
      </c>
      <c r="H893" s="144" t="s">
        <v>123</v>
      </c>
      <c r="I893" s="146" t="s">
        <v>1546</v>
      </c>
      <c r="J893" s="110">
        <v>44456</v>
      </c>
      <c r="K893" s="93">
        <v>44541</v>
      </c>
      <c r="L893" s="93">
        <v>44574</v>
      </c>
      <c r="M893" s="315" t="s">
        <v>3432</v>
      </c>
      <c r="N893" s="329" t="s">
        <v>3433</v>
      </c>
      <c r="O893" s="108" t="s">
        <v>523</v>
      </c>
      <c r="P893" s="235">
        <v>76927.11</v>
      </c>
      <c r="Q893" s="318">
        <v>12327</v>
      </c>
      <c r="R893" s="129"/>
      <c r="S893" s="130"/>
      <c r="T893" s="107">
        <f>4529.49+20000</f>
        <v>24529.49</v>
      </c>
      <c r="U893" s="107">
        <f>20071+20000</f>
        <v>40071</v>
      </c>
      <c r="V893" s="107"/>
      <c r="W893" s="214"/>
    </row>
    <row r="894" s="43" customFormat="1" ht="22" customHeight="1" spans="1:23">
      <c r="A894" s="260" t="s">
        <v>3434</v>
      </c>
      <c r="B894" s="174" t="s">
        <v>2850</v>
      </c>
      <c r="C894" s="175"/>
      <c r="D894" s="229" t="s">
        <v>31</v>
      </c>
      <c r="E894" s="83" t="s">
        <v>3200</v>
      </c>
      <c r="F894" s="82">
        <f>IFERROR(VLOOKUP(E894,客户!B:C,2,FALSE),"/")</f>
        <v>0</v>
      </c>
      <c r="G894" s="307" t="s">
        <v>3435</v>
      </c>
      <c r="H894" s="144" t="s">
        <v>123</v>
      </c>
      <c r="I894" s="146" t="s">
        <v>1546</v>
      </c>
      <c r="J894" s="110">
        <v>44456</v>
      </c>
      <c r="K894" s="93">
        <v>44527</v>
      </c>
      <c r="L894" s="93">
        <v>44560</v>
      </c>
      <c r="M894" s="315" t="s">
        <v>3436</v>
      </c>
      <c r="N894" s="329" t="s">
        <v>3437</v>
      </c>
      <c r="O894" s="108" t="s">
        <v>523</v>
      </c>
      <c r="P894" s="235">
        <v>99936.51</v>
      </c>
      <c r="Q894" s="318">
        <v>18489</v>
      </c>
      <c r="R894" s="129"/>
      <c r="S894" s="130"/>
      <c r="T894" s="107">
        <f>20000+20000+20000+20000</f>
        <v>80000</v>
      </c>
      <c r="U894" s="107">
        <v>1447.51</v>
      </c>
      <c r="V894" s="107"/>
      <c r="W894" s="214"/>
    </row>
    <row r="895" s="43" customFormat="1" ht="22" customHeight="1" spans="1:23">
      <c r="A895" s="260" t="s">
        <v>3438</v>
      </c>
      <c r="B895" s="174" t="s">
        <v>2850</v>
      </c>
      <c r="C895" s="175"/>
      <c r="D895" s="229" t="s">
        <v>31</v>
      </c>
      <c r="E895" s="83" t="s">
        <v>3209</v>
      </c>
      <c r="F895" s="82"/>
      <c r="G895" s="307" t="s">
        <v>3439</v>
      </c>
      <c r="H895" s="144" t="s">
        <v>123</v>
      </c>
      <c r="I895" s="146" t="s">
        <v>3440</v>
      </c>
      <c r="J895" s="110">
        <v>44505</v>
      </c>
      <c r="K895" s="93">
        <v>44565</v>
      </c>
      <c r="L895" s="93"/>
      <c r="M895" s="315" t="s">
        <v>3441</v>
      </c>
      <c r="N895" s="329" t="s">
        <v>3442</v>
      </c>
      <c r="O895" s="108" t="s">
        <v>970</v>
      </c>
      <c r="P895" s="235">
        <v>26838.18</v>
      </c>
      <c r="Q895" s="318">
        <v>8051.45</v>
      </c>
      <c r="R895" s="129"/>
      <c r="S895" s="130"/>
      <c r="T895" s="107">
        <v>18786.73</v>
      </c>
      <c r="U895" s="93"/>
      <c r="V895" s="107"/>
      <c r="W895" s="214"/>
    </row>
    <row r="896" s="43" customFormat="1" ht="22" customHeight="1" spans="1:23">
      <c r="A896" s="260" t="s">
        <v>3443</v>
      </c>
      <c r="B896" s="174" t="s">
        <v>2850</v>
      </c>
      <c r="C896" s="175"/>
      <c r="D896" s="229" t="s">
        <v>31</v>
      </c>
      <c r="E896" s="83" t="s">
        <v>3229</v>
      </c>
      <c r="F896" s="82">
        <f>IFERROR(VLOOKUP(E896,客户!B:C,2,FALSE),"/")</f>
        <v>0</v>
      </c>
      <c r="G896" s="307" t="s">
        <v>3444</v>
      </c>
      <c r="H896" s="144" t="s">
        <v>147</v>
      </c>
      <c r="I896" s="146" t="s">
        <v>1546</v>
      </c>
      <c r="J896" s="110">
        <v>44511</v>
      </c>
      <c r="K896" s="93">
        <v>44570</v>
      </c>
      <c r="L896" s="93">
        <v>44606</v>
      </c>
      <c r="M896" s="315" t="s">
        <v>3445</v>
      </c>
      <c r="N896" s="329" t="s">
        <v>3446</v>
      </c>
      <c r="O896" s="108" t="s">
        <v>523</v>
      </c>
      <c r="P896" s="235">
        <v>72886</v>
      </c>
      <c r="Q896" s="318">
        <v>13761</v>
      </c>
      <c r="R896" s="129"/>
      <c r="S896" s="130"/>
      <c r="T896" s="107">
        <v>59125</v>
      </c>
      <c r="U896" s="93"/>
      <c r="V896" s="107"/>
      <c r="W896" s="214"/>
    </row>
    <row r="897" s="43" customFormat="1" ht="22" customHeight="1" spans="1:23">
      <c r="A897" s="260" t="s">
        <v>3447</v>
      </c>
      <c r="B897" s="174" t="s">
        <v>2850</v>
      </c>
      <c r="C897" s="175"/>
      <c r="D897" s="229" t="s">
        <v>31</v>
      </c>
      <c r="E897" s="83" t="s">
        <v>3229</v>
      </c>
      <c r="F897" s="82">
        <f>IFERROR(VLOOKUP(E897,客户!B:C,2,FALSE),"/")</f>
        <v>0</v>
      </c>
      <c r="G897" s="307" t="s">
        <v>3074</v>
      </c>
      <c r="H897" s="144" t="s">
        <v>147</v>
      </c>
      <c r="I897" s="146" t="s">
        <v>1546</v>
      </c>
      <c r="J897" s="110">
        <v>44511</v>
      </c>
      <c r="K897" s="93">
        <v>44577</v>
      </c>
      <c r="L897" s="93">
        <v>44630</v>
      </c>
      <c r="M897" s="315" t="s">
        <v>3448</v>
      </c>
      <c r="N897" s="329" t="s">
        <v>3449</v>
      </c>
      <c r="O897" s="108" t="s">
        <v>523</v>
      </c>
      <c r="P897" s="235">
        <v>39995</v>
      </c>
      <c r="Q897" s="318">
        <f>21600-Q896</f>
        <v>7839</v>
      </c>
      <c r="R897" s="129">
        <f>P897-Q897</f>
        <v>32156</v>
      </c>
      <c r="S897" s="130"/>
      <c r="T897" s="107">
        <v>32156</v>
      </c>
      <c r="U897" s="93"/>
      <c r="V897" s="107"/>
      <c r="W897" s="214"/>
    </row>
    <row r="898" s="43" customFormat="1" ht="22" customHeight="1" spans="1:23">
      <c r="A898" s="260" t="s">
        <v>3450</v>
      </c>
      <c r="B898" s="174" t="s">
        <v>2850</v>
      </c>
      <c r="C898" s="175"/>
      <c r="D898" s="229" t="s">
        <v>31</v>
      </c>
      <c r="E898" s="83" t="s">
        <v>3259</v>
      </c>
      <c r="F898" s="82">
        <f>IFERROR(VLOOKUP(E898,客户!B:C,2,FALSE),"/")</f>
        <v>0</v>
      </c>
      <c r="G898" s="307" t="s">
        <v>3451</v>
      </c>
      <c r="H898" s="144" t="s">
        <v>147</v>
      </c>
      <c r="I898" s="146" t="s">
        <v>1546</v>
      </c>
      <c r="J898" s="110">
        <v>44529</v>
      </c>
      <c r="K898" s="93">
        <v>44577</v>
      </c>
      <c r="L898" s="93">
        <v>44621</v>
      </c>
      <c r="M898" s="315" t="s">
        <v>3452</v>
      </c>
      <c r="N898" s="329" t="s">
        <v>3453</v>
      </c>
      <c r="O898" s="108" t="s">
        <v>523</v>
      </c>
      <c r="P898" s="235">
        <v>73617.6</v>
      </c>
      <c r="Q898" s="318">
        <v>10787.64</v>
      </c>
      <c r="R898" s="129"/>
      <c r="S898" s="130"/>
      <c r="T898" s="107">
        <v>62829.96</v>
      </c>
      <c r="U898" s="93"/>
      <c r="V898" s="107"/>
      <c r="W898" s="214"/>
    </row>
    <row r="899" s="43" customFormat="1" ht="22" customHeight="1" spans="1:23">
      <c r="A899" s="260" t="s">
        <v>3454</v>
      </c>
      <c r="B899" s="174" t="s">
        <v>2850</v>
      </c>
      <c r="C899" s="175"/>
      <c r="D899" s="229" t="s">
        <v>31</v>
      </c>
      <c r="E899" s="83" t="s">
        <v>3455</v>
      </c>
      <c r="F899" s="82">
        <f>IFERROR(VLOOKUP(E899,客户!B:C,2,FALSE),"/")</f>
        <v>0</v>
      </c>
      <c r="G899" s="307" t="s">
        <v>3456</v>
      </c>
      <c r="H899" s="144" t="s">
        <v>123</v>
      </c>
      <c r="I899" s="146" t="s">
        <v>3457</v>
      </c>
      <c r="J899" s="110">
        <v>44533</v>
      </c>
      <c r="K899" s="93">
        <v>44625</v>
      </c>
      <c r="L899" s="93">
        <v>44707</v>
      </c>
      <c r="M899" s="315" t="s">
        <v>3458</v>
      </c>
      <c r="N899" s="329" t="s">
        <v>3459</v>
      </c>
      <c r="O899" s="108" t="s">
        <v>970</v>
      </c>
      <c r="P899" s="235">
        <v>32697.6</v>
      </c>
      <c r="Q899" s="318"/>
      <c r="R899" s="129"/>
      <c r="S899" s="130"/>
      <c r="T899" s="107">
        <v>32697.6</v>
      </c>
      <c r="U899" s="93"/>
      <c r="V899" s="107"/>
      <c r="W899" s="214"/>
    </row>
    <row r="900" s="43" customFormat="1" ht="22" customHeight="1" spans="1:23">
      <c r="A900" s="260" t="s">
        <v>3460</v>
      </c>
      <c r="B900" s="174" t="s">
        <v>2850</v>
      </c>
      <c r="C900" s="175"/>
      <c r="D900" s="229" t="s">
        <v>31</v>
      </c>
      <c r="E900" s="83" t="s">
        <v>3461</v>
      </c>
      <c r="F900" s="82">
        <f>IFERROR(VLOOKUP(E900,客户!B:C,2,FALSE),"/")</f>
        <v>0</v>
      </c>
      <c r="G900" s="307" t="s">
        <v>3462</v>
      </c>
      <c r="H900" s="144" t="s">
        <v>123</v>
      </c>
      <c r="I900" s="146" t="s">
        <v>3463</v>
      </c>
      <c r="J900" s="110">
        <v>44536</v>
      </c>
      <c r="K900" s="93">
        <v>44598</v>
      </c>
      <c r="L900" s="93">
        <v>44612</v>
      </c>
      <c r="M900" s="315" t="s">
        <v>3464</v>
      </c>
      <c r="N900" s="329" t="s">
        <v>3465</v>
      </c>
      <c r="O900" s="108" t="s">
        <v>523</v>
      </c>
      <c r="P900" s="235">
        <v>35110</v>
      </c>
      <c r="Q900" s="318">
        <v>9535.95</v>
      </c>
      <c r="R900" s="129"/>
      <c r="S900" s="130"/>
      <c r="T900" s="107">
        <f>11574.05+9500</f>
        <v>21074.05</v>
      </c>
      <c r="U900" s="107">
        <v>4500</v>
      </c>
      <c r="V900" s="107"/>
      <c r="W900" s="214"/>
    </row>
    <row r="901" s="43" customFormat="1" ht="22" customHeight="1" spans="1:23">
      <c r="A901" s="260" t="s">
        <v>3466</v>
      </c>
      <c r="B901" s="174" t="s">
        <v>2850</v>
      </c>
      <c r="C901" s="175"/>
      <c r="D901" s="229" t="s">
        <v>31</v>
      </c>
      <c r="E901" s="83" t="s">
        <v>3200</v>
      </c>
      <c r="F901" s="82">
        <f>IFERROR(VLOOKUP(E901,客户!B:C,2,FALSE),"/")</f>
        <v>0</v>
      </c>
      <c r="G901" s="307" t="s">
        <v>3467</v>
      </c>
      <c r="H901" s="144" t="s">
        <v>123</v>
      </c>
      <c r="I901" s="146" t="s">
        <v>1546</v>
      </c>
      <c r="J901" s="110">
        <v>44537</v>
      </c>
      <c r="K901" s="93">
        <v>44694</v>
      </c>
      <c r="L901" s="93">
        <v>44732</v>
      </c>
      <c r="M901" s="315" t="s">
        <v>3468</v>
      </c>
      <c r="N901" s="329" t="s">
        <v>3469</v>
      </c>
      <c r="O901" s="108" t="s">
        <v>523</v>
      </c>
      <c r="P901" s="235">
        <v>34110.47</v>
      </c>
      <c r="Q901" s="318">
        <f>80617-Q903-Q904-Q902</f>
        <v>8752</v>
      </c>
      <c r="R901" s="129"/>
      <c r="S901" s="130"/>
      <c r="T901" s="107">
        <v>192.56</v>
      </c>
      <c r="U901" s="235">
        <v>25165.91</v>
      </c>
      <c r="V901" s="107"/>
      <c r="W901" s="214"/>
    </row>
    <row r="902" s="43" customFormat="1" ht="21" customHeight="1" spans="1:23">
      <c r="A902" s="260" t="s">
        <v>3470</v>
      </c>
      <c r="B902" s="174" t="s">
        <v>2850</v>
      </c>
      <c r="C902" s="175"/>
      <c r="D902" s="229" t="s">
        <v>31</v>
      </c>
      <c r="E902" s="83" t="s">
        <v>3200</v>
      </c>
      <c r="F902" s="82"/>
      <c r="G902" s="307" t="s">
        <v>3471</v>
      </c>
      <c r="H902" s="144" t="s">
        <v>123</v>
      </c>
      <c r="I902" s="146" t="s">
        <v>1546</v>
      </c>
      <c r="J902" s="110">
        <v>44537</v>
      </c>
      <c r="K902" s="93">
        <v>44680</v>
      </c>
      <c r="L902" s="93">
        <v>44718</v>
      </c>
      <c r="M902" s="315" t="s">
        <v>3472</v>
      </c>
      <c r="N902" s="329" t="s">
        <v>3473</v>
      </c>
      <c r="O902" s="108" t="s">
        <v>523</v>
      </c>
      <c r="P902" s="235">
        <v>92894.4</v>
      </c>
      <c r="Q902" s="318">
        <v>23836</v>
      </c>
      <c r="R902" s="129"/>
      <c r="S902" s="130"/>
      <c r="T902" s="107">
        <f>25000+25000</f>
        <v>50000</v>
      </c>
      <c r="U902" s="107">
        <v>19058.4</v>
      </c>
      <c r="V902" s="107"/>
      <c r="W902" s="214"/>
    </row>
    <row r="903" s="43" customFormat="1" ht="22" customHeight="1" spans="1:23">
      <c r="A903" s="260" t="s">
        <v>3474</v>
      </c>
      <c r="B903" s="174" t="s">
        <v>2850</v>
      </c>
      <c r="C903" s="175"/>
      <c r="D903" s="229" t="s">
        <v>31</v>
      </c>
      <c r="E903" s="83" t="s">
        <v>3200</v>
      </c>
      <c r="F903" s="82">
        <f>IFERROR(VLOOKUP(E903,客户!B:C,2,FALSE),"/")</f>
        <v>0</v>
      </c>
      <c r="G903" s="307" t="s">
        <v>3475</v>
      </c>
      <c r="H903" s="144" t="s">
        <v>123</v>
      </c>
      <c r="I903" s="146" t="s">
        <v>1546</v>
      </c>
      <c r="J903" s="110">
        <v>44537</v>
      </c>
      <c r="K903" s="93">
        <v>44591</v>
      </c>
      <c r="L903" s="93">
        <v>44627</v>
      </c>
      <c r="M903" s="315" t="s">
        <v>3476</v>
      </c>
      <c r="N903" s="329" t="s">
        <v>3477</v>
      </c>
      <c r="O903" s="108" t="s">
        <v>523</v>
      </c>
      <c r="P903" s="235">
        <v>96917.6</v>
      </c>
      <c r="Q903" s="318">
        <v>24125</v>
      </c>
      <c r="R903" s="129"/>
      <c r="S903" s="130"/>
      <c r="T903" s="107">
        <f>20000+20000</f>
        <v>40000</v>
      </c>
      <c r="U903" s="107">
        <f>20000+12792.6</f>
        <v>32792.6</v>
      </c>
      <c r="V903" s="107"/>
      <c r="W903" s="214"/>
    </row>
    <row r="904" s="43" customFormat="1" ht="22" customHeight="1" spans="1:23">
      <c r="A904" s="260" t="s">
        <v>3478</v>
      </c>
      <c r="B904" s="174" t="s">
        <v>2850</v>
      </c>
      <c r="C904" s="175"/>
      <c r="D904" s="229" t="s">
        <v>31</v>
      </c>
      <c r="E904" s="83" t="s">
        <v>3200</v>
      </c>
      <c r="F904" s="82">
        <f>IFERROR(VLOOKUP(E904,客户!B:C,2,FALSE),"/")</f>
        <v>0</v>
      </c>
      <c r="G904" s="307" t="s">
        <v>3479</v>
      </c>
      <c r="H904" s="144" t="s">
        <v>123</v>
      </c>
      <c r="I904" s="146" t="s">
        <v>1546</v>
      </c>
      <c r="J904" s="110">
        <v>44537</v>
      </c>
      <c r="K904" s="93">
        <v>44640</v>
      </c>
      <c r="L904" s="93">
        <v>44678</v>
      </c>
      <c r="M904" s="315" t="s">
        <v>3480</v>
      </c>
      <c r="N904" s="329" t="s">
        <v>3481</v>
      </c>
      <c r="O904" s="108" t="s">
        <v>523</v>
      </c>
      <c r="P904" s="235">
        <v>91984.3</v>
      </c>
      <c r="Q904" s="318">
        <v>23904</v>
      </c>
      <c r="R904" s="129"/>
      <c r="S904" s="130"/>
      <c r="T904" s="107">
        <v>25000</v>
      </c>
      <c r="U904" s="107">
        <f>18080+25000</f>
        <v>43080</v>
      </c>
      <c r="V904" s="107"/>
      <c r="W904" s="214"/>
    </row>
    <row r="905" s="43" customFormat="1" ht="22" customHeight="1" spans="1:23">
      <c r="A905" s="260" t="s">
        <v>3482</v>
      </c>
      <c r="B905" s="174" t="s">
        <v>2850</v>
      </c>
      <c r="C905" s="175"/>
      <c r="D905" s="229" t="s">
        <v>31</v>
      </c>
      <c r="E905" s="83" t="s">
        <v>3234</v>
      </c>
      <c r="F905" s="82">
        <f>IFERROR(VLOOKUP(E905,客户!B:C,2,FALSE),"/")</f>
        <v>0</v>
      </c>
      <c r="G905" s="307" t="s">
        <v>3483</v>
      </c>
      <c r="H905" s="144" t="s">
        <v>123</v>
      </c>
      <c r="I905" s="146" t="s">
        <v>1546</v>
      </c>
      <c r="J905" s="110">
        <v>44545</v>
      </c>
      <c r="K905" s="93">
        <v>44602</v>
      </c>
      <c r="L905" s="93">
        <v>44656</v>
      </c>
      <c r="M905" s="315" t="s">
        <v>3484</v>
      </c>
      <c r="N905" s="329" t="s">
        <v>3485</v>
      </c>
      <c r="O905" s="108" t="s">
        <v>523</v>
      </c>
      <c r="P905" s="235">
        <v>57100.03</v>
      </c>
      <c r="Q905" s="318">
        <f>19985+27000+10115</f>
        <v>57100</v>
      </c>
      <c r="R905" s="129"/>
      <c r="S905" s="130"/>
      <c r="T905" s="107"/>
      <c r="U905" s="93"/>
      <c r="V905" s="107"/>
      <c r="W905" s="214"/>
    </row>
    <row r="906" s="43" customFormat="1" ht="22" customHeight="1" spans="1:23">
      <c r="A906" s="260" t="s">
        <v>3486</v>
      </c>
      <c r="B906" s="174" t="s">
        <v>2850</v>
      </c>
      <c r="C906" s="175"/>
      <c r="D906" s="229" t="s">
        <v>31</v>
      </c>
      <c r="E906" s="83" t="s">
        <v>3209</v>
      </c>
      <c r="F906" s="82">
        <f>IFERROR(VLOOKUP(E906,客户!B:C,2,FALSE),"/")</f>
        <v>0</v>
      </c>
      <c r="G906" s="307" t="s">
        <v>3487</v>
      </c>
      <c r="H906" s="144" t="s">
        <v>123</v>
      </c>
      <c r="I906" s="146" t="s">
        <v>3488</v>
      </c>
      <c r="J906" s="110">
        <v>44547</v>
      </c>
      <c r="K906" s="93">
        <v>44601</v>
      </c>
      <c r="L906" s="93"/>
      <c r="M906" s="315" t="s">
        <v>3489</v>
      </c>
      <c r="N906" s="329" t="s">
        <v>3490</v>
      </c>
      <c r="O906" s="108" t="s">
        <v>970</v>
      </c>
      <c r="P906" s="235">
        <v>49615.9</v>
      </c>
      <c r="Q906" s="318">
        <v>49615.9</v>
      </c>
      <c r="R906" s="129"/>
      <c r="S906" s="130"/>
      <c r="T906" s="107"/>
      <c r="U906" s="93"/>
      <c r="V906" s="107"/>
      <c r="W906" s="214"/>
    </row>
    <row r="907" s="43" customFormat="1" ht="22" customHeight="1" spans="1:23">
      <c r="A907" s="260" t="s">
        <v>3491</v>
      </c>
      <c r="B907" s="174" t="s">
        <v>2850</v>
      </c>
      <c r="C907" s="175"/>
      <c r="D907" s="229" t="s">
        <v>31</v>
      </c>
      <c r="E907" s="83" t="s">
        <v>3209</v>
      </c>
      <c r="F907" s="82">
        <f>IFERROR(VLOOKUP(E907,客户!B:C,2,FALSE),"/")</f>
        <v>0</v>
      </c>
      <c r="G907" s="307" t="s">
        <v>3492</v>
      </c>
      <c r="H907" s="144" t="s">
        <v>123</v>
      </c>
      <c r="I907" s="146" t="s">
        <v>3440</v>
      </c>
      <c r="J907" s="110">
        <v>44547</v>
      </c>
      <c r="K907" s="93">
        <v>44588</v>
      </c>
      <c r="L907" s="93">
        <v>44623</v>
      </c>
      <c r="M907" s="315" t="s">
        <v>3493</v>
      </c>
      <c r="N907" s="329" t="s">
        <v>3227</v>
      </c>
      <c r="O907" s="108" t="s">
        <v>970</v>
      </c>
      <c r="P907" s="235">
        <v>78169.35</v>
      </c>
      <c r="Q907" s="318">
        <f>74661.01+3508.34</f>
        <v>78169.35</v>
      </c>
      <c r="R907" s="129"/>
      <c r="S907" s="130"/>
      <c r="T907" s="107"/>
      <c r="U907" s="93"/>
      <c r="V907" s="107"/>
      <c r="W907" s="214"/>
    </row>
    <row r="908" s="43" customFormat="1" ht="22" customHeight="1" spans="1:23">
      <c r="A908" s="260" t="s">
        <v>3494</v>
      </c>
      <c r="B908" s="174" t="s">
        <v>2850</v>
      </c>
      <c r="C908" s="175"/>
      <c r="D908" s="229" t="s">
        <v>31</v>
      </c>
      <c r="E908" s="83" t="s">
        <v>3200</v>
      </c>
      <c r="F908" s="82">
        <f>IFERROR(VLOOKUP(E908,客户!B:C,2,FALSE),"/")</f>
        <v>0</v>
      </c>
      <c r="G908" s="307" t="s">
        <v>3495</v>
      </c>
      <c r="H908" s="144" t="s">
        <v>123</v>
      </c>
      <c r="I908" s="146" t="s">
        <v>1546</v>
      </c>
      <c r="J908" s="110">
        <v>44562</v>
      </c>
      <c r="K908" s="93">
        <v>44631</v>
      </c>
      <c r="L908" s="93">
        <v>44674</v>
      </c>
      <c r="M908" s="315" t="s">
        <v>3496</v>
      </c>
      <c r="N908" s="329" t="s">
        <v>3497</v>
      </c>
      <c r="O908" s="108" t="s">
        <v>523</v>
      </c>
      <c r="P908" s="235">
        <v>31467.03</v>
      </c>
      <c r="Q908" s="318">
        <v>8000</v>
      </c>
      <c r="R908" s="129"/>
      <c r="S908" s="130"/>
      <c r="T908" s="107">
        <v>23467.03</v>
      </c>
      <c r="U908" s="93"/>
      <c r="V908" s="107"/>
      <c r="W908" s="214"/>
    </row>
    <row r="909" s="43" customFormat="1" ht="22" customHeight="1" spans="1:23">
      <c r="A909" s="260" t="s">
        <v>3498</v>
      </c>
      <c r="B909" s="174" t="s">
        <v>2850</v>
      </c>
      <c r="C909" s="175"/>
      <c r="D909" s="229" t="s">
        <v>31</v>
      </c>
      <c r="E909" s="83" t="s">
        <v>3200</v>
      </c>
      <c r="F909" s="82">
        <f>IFERROR(VLOOKUP(E909,客户!B:C,2,FALSE),"/")</f>
        <v>0</v>
      </c>
      <c r="G909" s="308" t="s">
        <v>3499</v>
      </c>
      <c r="H909" s="144" t="s">
        <v>123</v>
      </c>
      <c r="I909" s="146" t="s">
        <v>1546</v>
      </c>
      <c r="J909" s="110">
        <v>44622</v>
      </c>
      <c r="K909" s="93">
        <v>44680</v>
      </c>
      <c r="L909" s="93">
        <v>44718</v>
      </c>
      <c r="M909" s="315" t="s">
        <v>3500</v>
      </c>
      <c r="N909" s="329" t="s">
        <v>3501</v>
      </c>
      <c r="O909" s="108" t="s">
        <v>523</v>
      </c>
      <c r="P909" s="235">
        <v>37956.44</v>
      </c>
      <c r="Q909" s="318">
        <v>7207.4</v>
      </c>
      <c r="R909" s="129"/>
      <c r="S909" s="130"/>
      <c r="T909" s="107">
        <v>5941.6</v>
      </c>
      <c r="U909" s="235">
        <v>24807.44</v>
      </c>
      <c r="V909" s="107"/>
      <c r="W909" s="214"/>
    </row>
    <row r="910" s="43" customFormat="1" ht="22" customHeight="1" spans="1:23">
      <c r="A910" s="291" t="s">
        <v>3502</v>
      </c>
      <c r="B910" s="174" t="s">
        <v>2850</v>
      </c>
      <c r="C910" s="175"/>
      <c r="D910" s="229" t="s">
        <v>3</v>
      </c>
      <c r="E910" s="83" t="s">
        <v>3503</v>
      </c>
      <c r="F910" s="82">
        <f>IFERROR(VLOOKUP(E910,客户!B:C,2,FALSE),"/")</f>
        <v>0</v>
      </c>
      <c r="G910" s="308" t="s">
        <v>3504</v>
      </c>
      <c r="H910" s="144" t="s">
        <v>123</v>
      </c>
      <c r="I910" s="146"/>
      <c r="J910" s="110">
        <v>44627</v>
      </c>
      <c r="K910" s="93"/>
      <c r="L910" s="93"/>
      <c r="M910" s="315" t="s">
        <v>3505</v>
      </c>
      <c r="N910" s="329"/>
      <c r="O910" s="108" t="s">
        <v>523</v>
      </c>
      <c r="P910" s="333">
        <v>230881.7</v>
      </c>
      <c r="Q910" s="318">
        <v>20000</v>
      </c>
      <c r="R910" s="129"/>
      <c r="S910" s="130"/>
      <c r="T910" s="107"/>
      <c r="U910" s="93"/>
      <c r="V910" s="107"/>
      <c r="W910" s="214"/>
    </row>
    <row r="911" s="43" customFormat="1" ht="22" customHeight="1" spans="1:23">
      <c r="A911" s="330" t="s">
        <v>3506</v>
      </c>
      <c r="B911" s="174" t="s">
        <v>2850</v>
      </c>
      <c r="C911" s="175"/>
      <c r="D911" s="229" t="s">
        <v>0</v>
      </c>
      <c r="E911" s="83" t="s">
        <v>3503</v>
      </c>
      <c r="F911" s="82"/>
      <c r="G911" s="308" t="s">
        <v>3507</v>
      </c>
      <c r="H911" s="144" t="s">
        <v>123</v>
      </c>
      <c r="I911" s="146" t="s">
        <v>3508</v>
      </c>
      <c r="J911" s="110">
        <v>44627</v>
      </c>
      <c r="K911" s="93">
        <v>44728</v>
      </c>
      <c r="L911" s="93"/>
      <c r="M911" s="334" t="s">
        <v>3509</v>
      </c>
      <c r="N911" s="329" t="s">
        <v>3510</v>
      </c>
      <c r="O911" s="108" t="s">
        <v>523</v>
      </c>
      <c r="P911" s="333"/>
      <c r="Q911" s="318"/>
      <c r="R911" s="129"/>
      <c r="S911" s="130"/>
      <c r="T911" s="107"/>
      <c r="U911" s="93"/>
      <c r="V911" s="107"/>
      <c r="W911" s="214"/>
    </row>
    <row r="912" s="43" customFormat="1" ht="22" customHeight="1" spans="1:23">
      <c r="A912" s="291" t="s">
        <v>3511</v>
      </c>
      <c r="B912" s="174" t="s">
        <v>2850</v>
      </c>
      <c r="C912" s="175"/>
      <c r="D912" s="229" t="s">
        <v>2</v>
      </c>
      <c r="E912" s="83" t="s">
        <v>3503</v>
      </c>
      <c r="F912" s="82">
        <f>IFERROR(VLOOKUP(E912,客户!B:C,2,FALSE),"/")</f>
        <v>0</v>
      </c>
      <c r="G912" s="308" t="s">
        <v>3512</v>
      </c>
      <c r="H912" s="144" t="s">
        <v>123</v>
      </c>
      <c r="I912" s="146"/>
      <c r="J912" s="110">
        <v>44627</v>
      </c>
      <c r="K912" s="93">
        <v>44707</v>
      </c>
      <c r="L912" s="93">
        <v>44754</v>
      </c>
      <c r="M912" s="315" t="s">
        <v>3513</v>
      </c>
      <c r="N912" s="329" t="s">
        <v>3514</v>
      </c>
      <c r="O912" s="108" t="s">
        <v>523</v>
      </c>
      <c r="P912" s="235">
        <v>86099.64</v>
      </c>
      <c r="Q912" s="318"/>
      <c r="R912" s="129"/>
      <c r="S912" s="130"/>
      <c r="T912" s="107">
        <v>28885.5</v>
      </c>
      <c r="U912" s="93"/>
      <c r="V912" s="107"/>
      <c r="W912" s="214"/>
    </row>
    <row r="913" s="43" customFormat="1" ht="22" customHeight="1" spans="1:23">
      <c r="A913" s="291" t="s">
        <v>3515</v>
      </c>
      <c r="B913" s="174" t="s">
        <v>2850</v>
      </c>
      <c r="C913" s="175"/>
      <c r="D913" s="229" t="s">
        <v>3</v>
      </c>
      <c r="E913" s="83" t="s">
        <v>3275</v>
      </c>
      <c r="F913" s="82" t="str">
        <f>IFERROR(VLOOKUP(E913,客户!B:C,2,FALSE),"/")</f>
        <v>安哥拉门及配件给清单  灯的清单和照片 如果HScode是九十五章  提前和报关货代说
2021.3.4收¥55000(汇率6.46，折合美金$8512.93)
冻结中</v>
      </c>
      <c r="G913" s="308" t="s">
        <v>3516</v>
      </c>
      <c r="H913" s="144" t="s">
        <v>123</v>
      </c>
      <c r="I913" s="146" t="s">
        <v>3056</v>
      </c>
      <c r="J913" s="110">
        <v>44629</v>
      </c>
      <c r="K913" s="93"/>
      <c r="L913" s="93"/>
      <c r="M913" s="315" t="s">
        <v>3517</v>
      </c>
      <c r="N913" s="329"/>
      <c r="O913" s="108" t="s">
        <v>523</v>
      </c>
      <c r="P913" s="333">
        <v>62389</v>
      </c>
      <c r="Q913" s="318">
        <f>40000/6.3061</f>
        <v>6343.06465168646</v>
      </c>
      <c r="R913" s="129"/>
      <c r="S913" s="130"/>
      <c r="T913" s="107"/>
      <c r="U913" s="93"/>
      <c r="V913" s="107"/>
      <c r="W913" s="214"/>
    </row>
    <row r="914" s="43" customFormat="1" ht="22" customHeight="1" spans="1:23">
      <c r="A914" s="260" t="s">
        <v>3518</v>
      </c>
      <c r="B914" s="174" t="s">
        <v>2850</v>
      </c>
      <c r="C914" s="175"/>
      <c r="D914" s="229" t="s">
        <v>31</v>
      </c>
      <c r="E914" s="83" t="s">
        <v>3259</v>
      </c>
      <c r="F914" s="82">
        <f>IFERROR(VLOOKUP(E914,客户!B:C,2,FALSE),"/")</f>
        <v>0</v>
      </c>
      <c r="G914" s="308" t="s">
        <v>3519</v>
      </c>
      <c r="H914" s="144" t="s">
        <v>147</v>
      </c>
      <c r="I914" s="146" t="s">
        <v>1546</v>
      </c>
      <c r="J914" s="110">
        <v>44631</v>
      </c>
      <c r="K914" s="93">
        <v>44680</v>
      </c>
      <c r="L914" s="93">
        <v>44710</v>
      </c>
      <c r="M914" s="315" t="s">
        <v>3520</v>
      </c>
      <c r="N914" s="329" t="s">
        <v>3521</v>
      </c>
      <c r="O914" s="108" t="s">
        <v>523</v>
      </c>
      <c r="P914" s="235">
        <v>61650</v>
      </c>
      <c r="Q914" s="318">
        <v>9667.5</v>
      </c>
      <c r="R914" s="129"/>
      <c r="S914" s="130"/>
      <c r="T914" s="107">
        <v>51982.5</v>
      </c>
      <c r="U914" s="93"/>
      <c r="V914" s="107"/>
      <c r="W914" s="214"/>
    </row>
    <row r="915" s="43" customFormat="1" ht="22" customHeight="1" spans="1:23">
      <c r="A915" s="330" t="s">
        <v>3522</v>
      </c>
      <c r="B915" s="174" t="s">
        <v>2850</v>
      </c>
      <c r="C915" s="175"/>
      <c r="D915" s="229" t="s">
        <v>0</v>
      </c>
      <c r="E915" s="83" t="s">
        <v>3209</v>
      </c>
      <c r="F915" s="82">
        <f>IFERROR(VLOOKUP(E915,客户!B:C,2,FALSE),"/")</f>
        <v>0</v>
      </c>
      <c r="G915" s="308" t="s">
        <v>3523</v>
      </c>
      <c r="H915" s="144" t="s">
        <v>123</v>
      </c>
      <c r="I915" s="146" t="s">
        <v>3440</v>
      </c>
      <c r="J915" s="110">
        <v>44652</v>
      </c>
      <c r="K915" s="93">
        <v>44730</v>
      </c>
      <c r="L915" s="93"/>
      <c r="M915" s="334" t="s">
        <v>3524</v>
      </c>
      <c r="N915" s="329" t="s">
        <v>3525</v>
      </c>
      <c r="O915" s="108" t="s">
        <v>970</v>
      </c>
      <c r="P915" s="235">
        <v>27819.48</v>
      </c>
      <c r="Q915" s="318">
        <v>8377</v>
      </c>
      <c r="R915" s="129"/>
      <c r="S915" s="130"/>
      <c r="T915" s="107">
        <v>19442.48</v>
      </c>
      <c r="U915" s="93"/>
      <c r="V915" s="107"/>
      <c r="W915" s="214"/>
    </row>
    <row r="916" s="43" customFormat="1" ht="22" customHeight="1" spans="1:23">
      <c r="A916" s="260" t="s">
        <v>3526</v>
      </c>
      <c r="B916" s="174" t="s">
        <v>2850</v>
      </c>
      <c r="C916" s="175"/>
      <c r="D916" s="229" t="s">
        <v>2</v>
      </c>
      <c r="E916" s="83" t="s">
        <v>3209</v>
      </c>
      <c r="F916" s="82">
        <f>IFERROR(VLOOKUP(E916,客户!B:C,2,FALSE),"/")</f>
        <v>0</v>
      </c>
      <c r="G916" s="308" t="s">
        <v>3527</v>
      </c>
      <c r="H916" s="144" t="s">
        <v>123</v>
      </c>
      <c r="I916" s="146" t="s">
        <v>3220</v>
      </c>
      <c r="J916" s="110">
        <v>44652</v>
      </c>
      <c r="K916" s="93">
        <v>44723</v>
      </c>
      <c r="L916" s="93"/>
      <c r="M916" s="315" t="s">
        <v>3528</v>
      </c>
      <c r="N916" s="329" t="s">
        <v>3525</v>
      </c>
      <c r="O916" s="108" t="s">
        <v>970</v>
      </c>
      <c r="P916" s="235">
        <v>27924.2</v>
      </c>
      <c r="Q916" s="318">
        <v>8386</v>
      </c>
      <c r="R916" s="129"/>
      <c r="S916" s="130"/>
      <c r="T916" s="107">
        <v>19538.2</v>
      </c>
      <c r="U916" s="93"/>
      <c r="V916" s="107"/>
      <c r="W916" s="214"/>
    </row>
    <row r="917" s="43" customFormat="1" ht="22" customHeight="1" spans="1:23">
      <c r="A917" s="291" t="s">
        <v>3529</v>
      </c>
      <c r="B917" s="174" t="s">
        <v>2850</v>
      </c>
      <c r="C917" s="175"/>
      <c r="D917" s="229" t="s">
        <v>3</v>
      </c>
      <c r="E917" s="83" t="s">
        <v>3530</v>
      </c>
      <c r="F917" s="82">
        <f>IFERROR(VLOOKUP(E917,客户!B:C,2,FALSE),"/")</f>
        <v>0</v>
      </c>
      <c r="G917" s="308" t="s">
        <v>3531</v>
      </c>
      <c r="H917" s="144" t="s">
        <v>186</v>
      </c>
      <c r="I917" s="146"/>
      <c r="J917" s="110">
        <v>44653</v>
      </c>
      <c r="K917" s="93"/>
      <c r="L917" s="93"/>
      <c r="M917" s="315" t="s">
        <v>3532</v>
      </c>
      <c r="N917" s="329"/>
      <c r="O917" s="108" t="s">
        <v>970</v>
      </c>
      <c r="P917" s="335">
        <v>12950</v>
      </c>
      <c r="Q917" s="318">
        <v>5000</v>
      </c>
      <c r="R917" s="129"/>
      <c r="S917" s="130"/>
      <c r="T917" s="107"/>
      <c r="U917" s="93"/>
      <c r="V917" s="107"/>
      <c r="W917" s="214"/>
    </row>
    <row r="918" s="43" customFormat="1" ht="22" customHeight="1" spans="1:23">
      <c r="A918" s="291" t="s">
        <v>3533</v>
      </c>
      <c r="B918" s="174" t="s">
        <v>2850</v>
      </c>
      <c r="C918" s="175"/>
      <c r="D918" s="229" t="s">
        <v>3</v>
      </c>
      <c r="E918" s="83" t="s">
        <v>3534</v>
      </c>
      <c r="F918" s="82">
        <f>IFERROR(VLOOKUP(E918,客户!B:C,2,FALSE),"/")</f>
        <v>0</v>
      </c>
      <c r="G918" s="308" t="s">
        <v>3535</v>
      </c>
      <c r="H918" s="144" t="s">
        <v>186</v>
      </c>
      <c r="I918" s="146"/>
      <c r="J918" s="110">
        <v>44654</v>
      </c>
      <c r="K918" s="93"/>
      <c r="L918" s="93"/>
      <c r="M918" s="315" t="s">
        <v>3536</v>
      </c>
      <c r="N918" s="329"/>
      <c r="O918" s="108" t="s">
        <v>970</v>
      </c>
      <c r="P918" s="335">
        <v>439830</v>
      </c>
      <c r="Q918" s="240">
        <f>50000+75000</f>
        <v>125000</v>
      </c>
      <c r="R918" s="129"/>
      <c r="S918" s="130"/>
      <c r="T918" s="107"/>
      <c r="U918" s="93"/>
      <c r="V918" s="107"/>
      <c r="W918" s="214"/>
    </row>
    <row r="919" s="43" customFormat="1" ht="22" customHeight="1" spans="1:23">
      <c r="A919" s="291" t="s">
        <v>3537</v>
      </c>
      <c r="B919" s="174" t="s">
        <v>2850</v>
      </c>
      <c r="C919" s="175"/>
      <c r="D919" s="229" t="s">
        <v>3</v>
      </c>
      <c r="E919" s="83" t="s">
        <v>3229</v>
      </c>
      <c r="F919" s="82">
        <f>IFERROR(VLOOKUP(E919,客户!B:C,2,FALSE),"/")</f>
        <v>0</v>
      </c>
      <c r="G919" s="308" t="s">
        <v>3538</v>
      </c>
      <c r="H919" s="144" t="s">
        <v>147</v>
      </c>
      <c r="I919" s="146" t="s">
        <v>1546</v>
      </c>
      <c r="J919" s="110">
        <v>44670</v>
      </c>
      <c r="K919" s="93"/>
      <c r="L919" s="93"/>
      <c r="M919" s="315" t="s">
        <v>3539</v>
      </c>
      <c r="N919" s="329"/>
      <c r="O919" s="108" t="s">
        <v>523</v>
      </c>
      <c r="P919" s="333">
        <v>72593.7</v>
      </c>
      <c r="Q919" s="318">
        <v>14518.74</v>
      </c>
      <c r="R919" s="129"/>
      <c r="S919" s="130"/>
      <c r="T919" s="107"/>
      <c r="U919" s="93"/>
      <c r="V919" s="107"/>
      <c r="W919" s="214"/>
    </row>
    <row r="920" s="43" customFormat="1" ht="22" customHeight="1" spans="1:23">
      <c r="A920" s="291" t="s">
        <v>3540</v>
      </c>
      <c r="B920" s="174" t="s">
        <v>2850</v>
      </c>
      <c r="C920" s="175"/>
      <c r="D920" s="229" t="s">
        <v>0</v>
      </c>
      <c r="E920" s="83" t="s">
        <v>3229</v>
      </c>
      <c r="F920" s="82">
        <f>IFERROR(VLOOKUP(E920,客户!B:C,2,FALSE),"/")</f>
        <v>0</v>
      </c>
      <c r="G920" s="308" t="s">
        <v>3538</v>
      </c>
      <c r="H920" s="144" t="s">
        <v>147</v>
      </c>
      <c r="I920" s="146" t="s">
        <v>1546</v>
      </c>
      <c r="J920" s="110">
        <v>44670</v>
      </c>
      <c r="K920" s="201">
        <v>44729</v>
      </c>
      <c r="L920" s="93"/>
      <c r="M920" s="315" t="s">
        <v>3539</v>
      </c>
      <c r="N920" s="329" t="s">
        <v>3541</v>
      </c>
      <c r="O920" s="108" t="s">
        <v>523</v>
      </c>
      <c r="P920" s="333"/>
      <c r="Q920" s="318"/>
      <c r="R920" s="129"/>
      <c r="S920" s="130"/>
      <c r="T920" s="107"/>
      <c r="U920" s="93"/>
      <c r="V920" s="107"/>
      <c r="W920" s="214"/>
    </row>
    <row r="921" s="43" customFormat="1" ht="22" customHeight="1" spans="1:23">
      <c r="A921" s="330" t="s">
        <v>3542</v>
      </c>
      <c r="B921" s="174" t="s">
        <v>2850</v>
      </c>
      <c r="C921" s="175"/>
      <c r="D921" s="229" t="s">
        <v>0</v>
      </c>
      <c r="E921" s="83" t="s">
        <v>3259</v>
      </c>
      <c r="F921" s="82">
        <f>IFERROR(VLOOKUP(E921,客户!B:C,2,FALSE),"/")</f>
        <v>0</v>
      </c>
      <c r="G921" s="308" t="s">
        <v>3543</v>
      </c>
      <c r="H921" s="144" t="s">
        <v>147</v>
      </c>
      <c r="I921" s="146" t="s">
        <v>1546</v>
      </c>
      <c r="J921" s="110">
        <v>44672</v>
      </c>
      <c r="K921" s="201">
        <v>44729</v>
      </c>
      <c r="L921" s="93"/>
      <c r="M921" s="334" t="s">
        <v>3544</v>
      </c>
      <c r="N921" s="329" t="s">
        <v>3545</v>
      </c>
      <c r="O921" s="108" t="s">
        <v>523</v>
      </c>
      <c r="P921" s="333">
        <v>101554</v>
      </c>
      <c r="Q921" s="318">
        <v>15233.1</v>
      </c>
      <c r="R921" s="129"/>
      <c r="S921" s="130"/>
      <c r="T921" s="107"/>
      <c r="U921" s="93"/>
      <c r="V921" s="107"/>
      <c r="W921" s="214"/>
    </row>
    <row r="922" s="43" customFormat="1" ht="22" customHeight="1" spans="1:23">
      <c r="A922" s="291" t="s">
        <v>3546</v>
      </c>
      <c r="B922" s="174" t="s">
        <v>2850</v>
      </c>
      <c r="C922" s="175"/>
      <c r="D922" s="229" t="s">
        <v>3</v>
      </c>
      <c r="E922" s="83" t="s">
        <v>3209</v>
      </c>
      <c r="F922" s="82">
        <f>IFERROR(VLOOKUP(E922,客户!B:C,2,FALSE),"/")</f>
        <v>0</v>
      </c>
      <c r="G922" s="308" t="s">
        <v>3547</v>
      </c>
      <c r="H922" s="144" t="s">
        <v>123</v>
      </c>
      <c r="I922" s="146" t="s">
        <v>3440</v>
      </c>
      <c r="J922" s="110">
        <v>44678</v>
      </c>
      <c r="K922" s="93"/>
      <c r="L922" s="93"/>
      <c r="M922" s="315" t="s">
        <v>3548</v>
      </c>
      <c r="N922" s="329"/>
      <c r="O922" s="108" t="s">
        <v>970</v>
      </c>
      <c r="P922" s="235">
        <v>82644.75</v>
      </c>
      <c r="Q922" s="318">
        <v>24928</v>
      </c>
      <c r="R922" s="129">
        <v>447.97</v>
      </c>
      <c r="S922" s="130"/>
      <c r="T922" s="107">
        <v>57268.78</v>
      </c>
      <c r="U922" s="93"/>
      <c r="V922" s="107"/>
      <c r="W922" s="214"/>
    </row>
    <row r="923" s="43" customFormat="1" ht="22" customHeight="1" spans="1:23">
      <c r="A923" s="291" t="s">
        <v>3549</v>
      </c>
      <c r="B923" s="174" t="s">
        <v>2850</v>
      </c>
      <c r="C923" s="175"/>
      <c r="D923" s="229" t="s">
        <v>0</v>
      </c>
      <c r="E923" s="83" t="s">
        <v>3209</v>
      </c>
      <c r="F923" s="82">
        <f>IFERROR(VLOOKUP(E923,客户!B:C,2,FALSE),"/")</f>
        <v>0</v>
      </c>
      <c r="G923" s="308" t="s">
        <v>3550</v>
      </c>
      <c r="H923" s="144" t="s">
        <v>123</v>
      </c>
      <c r="I923" s="146" t="s">
        <v>3440</v>
      </c>
      <c r="J923" s="110">
        <v>44678</v>
      </c>
      <c r="K923" s="93"/>
      <c r="L923" s="93"/>
      <c r="M923" s="315" t="s">
        <v>3548</v>
      </c>
      <c r="N923" s="329"/>
      <c r="O923" s="108"/>
      <c r="P923" s="235"/>
      <c r="Q923" s="318"/>
      <c r="R923" s="129"/>
      <c r="S923" s="130"/>
      <c r="T923" s="107"/>
      <c r="U923" s="93"/>
      <c r="V923" s="107"/>
      <c r="W923" s="214"/>
    </row>
    <row r="924" s="43" customFormat="1" ht="22" customHeight="1" spans="1:23">
      <c r="A924" s="291" t="s">
        <v>3551</v>
      </c>
      <c r="B924" s="174" t="s">
        <v>2850</v>
      </c>
      <c r="C924" s="175"/>
      <c r="D924" s="229" t="s">
        <v>3</v>
      </c>
      <c r="E924" s="83" t="s">
        <v>3552</v>
      </c>
      <c r="F924" s="82">
        <f>IFERROR(VLOOKUP(E924,客户!B:C,2,FALSE),"/")</f>
        <v>0</v>
      </c>
      <c r="G924" s="308" t="s">
        <v>3553</v>
      </c>
      <c r="H924" s="144" t="s">
        <v>123</v>
      </c>
      <c r="I924" s="146" t="s">
        <v>3554</v>
      </c>
      <c r="J924" s="110">
        <v>44693</v>
      </c>
      <c r="K924" s="93"/>
      <c r="L924" s="93"/>
      <c r="M924" s="315" t="s">
        <v>3555</v>
      </c>
      <c r="N924" s="329"/>
      <c r="O924" s="108" t="s">
        <v>523</v>
      </c>
      <c r="P924" s="335">
        <v>74530</v>
      </c>
      <c r="Q924" s="240">
        <v>22359</v>
      </c>
      <c r="R924" s="129"/>
      <c r="S924" s="130"/>
      <c r="T924" s="107"/>
      <c r="U924" s="93"/>
      <c r="V924" s="107"/>
      <c r="W924" s="214"/>
    </row>
    <row r="925" s="43" customFormat="1" ht="22" customHeight="1" spans="1:23">
      <c r="A925" s="291" t="s">
        <v>3556</v>
      </c>
      <c r="B925" s="174" t="s">
        <v>2850</v>
      </c>
      <c r="C925" s="175"/>
      <c r="D925" s="229" t="s">
        <v>3</v>
      </c>
      <c r="E925" s="83" t="s">
        <v>3200</v>
      </c>
      <c r="F925" s="82">
        <f>IFERROR(VLOOKUP(E925,客户!B:C,2,FALSE),"/")</f>
        <v>0</v>
      </c>
      <c r="G925" s="308" t="s">
        <v>3557</v>
      </c>
      <c r="H925" s="144" t="s">
        <v>123</v>
      </c>
      <c r="I925" s="146" t="s">
        <v>1546</v>
      </c>
      <c r="J925" s="110">
        <v>44694</v>
      </c>
      <c r="K925" s="93"/>
      <c r="L925" s="93"/>
      <c r="M925" s="315" t="s">
        <v>3558</v>
      </c>
      <c r="N925" s="329"/>
      <c r="O925" s="108" t="s">
        <v>523</v>
      </c>
      <c r="P925" s="333">
        <v>331061.45</v>
      </c>
      <c r="Q925" s="107">
        <f>25000*4</f>
        <v>100000</v>
      </c>
      <c r="R925" s="129"/>
      <c r="S925" s="130"/>
      <c r="T925" s="107"/>
      <c r="U925" s="93"/>
      <c r="V925" s="107"/>
      <c r="W925" s="214"/>
    </row>
    <row r="926" s="43" customFormat="1" ht="22" customHeight="1" spans="1:23">
      <c r="A926" s="291" t="s">
        <v>3559</v>
      </c>
      <c r="B926" s="174" t="s">
        <v>2850</v>
      </c>
      <c r="C926" s="175"/>
      <c r="D926" s="229" t="s">
        <v>3</v>
      </c>
      <c r="E926" s="83" t="s">
        <v>3286</v>
      </c>
      <c r="F926" s="82">
        <f>IFERROR(VLOOKUP(E926,客户!B:C,2,FALSE),"/")</f>
        <v>0</v>
      </c>
      <c r="G926" s="308" t="s">
        <v>3560</v>
      </c>
      <c r="H926" s="144" t="s">
        <v>147</v>
      </c>
      <c r="I926" s="146" t="s">
        <v>2934</v>
      </c>
      <c r="J926" s="110">
        <v>44709</v>
      </c>
      <c r="K926" s="93"/>
      <c r="L926" s="93"/>
      <c r="M926" s="315" t="s">
        <v>3561</v>
      </c>
      <c r="N926" s="329"/>
      <c r="O926" s="108" t="s">
        <v>523</v>
      </c>
      <c r="P926" s="333">
        <v>33576</v>
      </c>
      <c r="Q926" s="318">
        <v>10073</v>
      </c>
      <c r="R926" s="129"/>
      <c r="S926" s="130"/>
      <c r="T926" s="107"/>
      <c r="U926" s="93"/>
      <c r="V926" s="107"/>
      <c r="W926" s="214"/>
    </row>
    <row r="927" s="43" customFormat="1" ht="22" customHeight="1" spans="1:23">
      <c r="A927" s="291" t="s">
        <v>3562</v>
      </c>
      <c r="B927" s="174" t="s">
        <v>2850</v>
      </c>
      <c r="C927" s="175"/>
      <c r="D927" s="229" t="s">
        <v>3</v>
      </c>
      <c r="E927" s="83" t="s">
        <v>3563</v>
      </c>
      <c r="F927" s="82">
        <f>IFERROR(VLOOKUP(E927,客户!B:C,2,FALSE),"/")</f>
        <v>0</v>
      </c>
      <c r="G927" s="308" t="s">
        <v>3564</v>
      </c>
      <c r="H927" s="144" t="s">
        <v>186</v>
      </c>
      <c r="I927" s="146"/>
      <c r="J927" s="110">
        <v>44721</v>
      </c>
      <c r="K927" s="93"/>
      <c r="L927" s="93"/>
      <c r="M927" s="315"/>
      <c r="N927" s="329"/>
      <c r="O927" s="108" t="s">
        <v>970</v>
      </c>
      <c r="P927" s="335">
        <v>106205</v>
      </c>
      <c r="Q927" s="240">
        <v>30000</v>
      </c>
      <c r="R927" s="129"/>
      <c r="S927" s="130"/>
      <c r="T927" s="107"/>
      <c r="U927" s="93"/>
      <c r="V927" s="107"/>
      <c r="W927" s="214"/>
    </row>
    <row r="928" s="43" customFormat="1" ht="22" customHeight="1" spans="1:23">
      <c r="A928" s="255"/>
      <c r="B928" s="174"/>
      <c r="C928" s="175"/>
      <c r="D928" s="45"/>
      <c r="E928" s="73"/>
      <c r="F928" s="82" t="str">
        <f>IFERROR(VLOOKUP(E928,客户!B:C,2,FALSE),"/")</f>
        <v>/</v>
      </c>
      <c r="G928" s="73"/>
      <c r="H928" s="144"/>
      <c r="I928" s="110"/>
      <c r="J928" s="110"/>
      <c r="K928" s="93"/>
      <c r="L928" s="93"/>
      <c r="M928" s="181"/>
      <c r="N928" s="107"/>
      <c r="O928" s="108"/>
      <c r="P928" s="235"/>
      <c r="Q928" s="235"/>
      <c r="R928" s="129"/>
      <c r="S928" s="130"/>
      <c r="T928" s="107"/>
      <c r="U928" s="93"/>
      <c r="V928" s="107"/>
      <c r="W928" s="214"/>
    </row>
    <row r="929" s="43" customFormat="1" ht="22" customHeight="1" spans="1:23">
      <c r="A929" s="142" t="s">
        <v>3565</v>
      </c>
      <c r="B929" s="174"/>
      <c r="C929" s="175"/>
      <c r="D929" s="45" t="s">
        <v>31</v>
      </c>
      <c r="E929" s="45" t="s">
        <v>3566</v>
      </c>
      <c r="F929" s="82" t="str">
        <f>IFERROR(VLOOKUP(E929,客户!B:C,2,FALSE),"/")</f>
        <v>/</v>
      </c>
      <c r="G929" s="45" t="s">
        <v>3567</v>
      </c>
      <c r="H929" s="145" t="s">
        <v>123</v>
      </c>
      <c r="I929" s="110" t="s">
        <v>3568</v>
      </c>
      <c r="J929" s="110">
        <v>43552</v>
      </c>
      <c r="K929" s="93">
        <v>43571</v>
      </c>
      <c r="L929" s="93">
        <v>43613</v>
      </c>
      <c r="M929" s="181" t="s">
        <v>3569</v>
      </c>
      <c r="N929" s="107" t="s">
        <v>3570</v>
      </c>
      <c r="O929" s="108"/>
      <c r="P929" s="235">
        <v>15894.12</v>
      </c>
      <c r="Q929" s="317">
        <v>40584</v>
      </c>
      <c r="R929" s="129">
        <v>0</v>
      </c>
      <c r="S929" s="130"/>
      <c r="T929" s="317">
        <v>83267</v>
      </c>
      <c r="U929" s="93">
        <v>43566</v>
      </c>
      <c r="V929" s="107"/>
      <c r="W929" s="214"/>
    </row>
    <row r="930" s="43" customFormat="1" ht="22" customHeight="1" spans="1:23">
      <c r="A930" s="142" t="s">
        <v>3571</v>
      </c>
      <c r="B930" s="174" t="s">
        <v>2850</v>
      </c>
      <c r="C930" s="175"/>
      <c r="D930" s="45" t="s">
        <v>31</v>
      </c>
      <c r="E930" s="229" t="s">
        <v>2989</v>
      </c>
      <c r="F930" s="82" t="str">
        <f>IFERROR(VLOOKUP(E930,客户!B:C,2,FALSE),"/")</f>
        <v>安哥拉门及配件给清单  灯的清单和照片 如果HScode是九十五章  提前和报关货代说
2021.3.4收¥55000(汇率6.46，折合美金$8512.93)
冻结中</v>
      </c>
      <c r="G930" s="45" t="s">
        <v>3572</v>
      </c>
      <c r="H930" s="145" t="s">
        <v>123</v>
      </c>
      <c r="I930" s="110" t="s">
        <v>3573</v>
      </c>
      <c r="J930" s="110">
        <v>43594</v>
      </c>
      <c r="K930" s="93">
        <v>43618</v>
      </c>
      <c r="L930" s="93">
        <v>43660</v>
      </c>
      <c r="M930" s="181"/>
      <c r="N930" s="107" t="s">
        <v>3574</v>
      </c>
      <c r="O930" s="108"/>
      <c r="P930" s="235">
        <v>16395.93</v>
      </c>
      <c r="Q930" s="317"/>
      <c r="R930" s="129">
        <v>0</v>
      </c>
      <c r="S930" s="130"/>
      <c r="T930" s="317">
        <v>75338</v>
      </c>
      <c r="U930" s="93">
        <v>43650</v>
      </c>
      <c r="V930" s="107"/>
      <c r="W930" s="214"/>
    </row>
    <row r="931" s="43" customFormat="1" ht="22" customHeight="1" spans="1:23">
      <c r="A931" s="142" t="s">
        <v>3575</v>
      </c>
      <c r="B931" s="174" t="s">
        <v>2850</v>
      </c>
      <c r="C931" s="175"/>
      <c r="D931" s="45" t="s">
        <v>31</v>
      </c>
      <c r="E931" s="73" t="s">
        <v>2867</v>
      </c>
      <c r="F931" s="82">
        <f>IFERROR(VLOOKUP(E931,客户!B:C,2,FALSE),"/")</f>
        <v>0</v>
      </c>
      <c r="G931" s="45" t="s">
        <v>3567</v>
      </c>
      <c r="H931" s="145" t="s">
        <v>123</v>
      </c>
      <c r="I931" s="110" t="s">
        <v>3576</v>
      </c>
      <c r="J931" s="110">
        <v>43594</v>
      </c>
      <c r="K931" s="93">
        <v>43634</v>
      </c>
      <c r="L931" s="93">
        <v>43659</v>
      </c>
      <c r="M931" s="163" t="s">
        <v>3577</v>
      </c>
      <c r="N931" s="107" t="s">
        <v>3578</v>
      </c>
      <c r="O931" s="108"/>
      <c r="P931" s="235">
        <v>14740.74</v>
      </c>
      <c r="Q931" s="235">
        <v>3364</v>
      </c>
      <c r="R931" s="129">
        <v>0</v>
      </c>
      <c r="S931" s="130"/>
      <c r="T931" s="107">
        <v>11366</v>
      </c>
      <c r="U931" s="93">
        <v>43656</v>
      </c>
      <c r="V931" s="107"/>
      <c r="W931" s="214"/>
    </row>
    <row r="932" s="43" customFormat="1" ht="22" customHeight="1" spans="1:23">
      <c r="A932" s="142" t="s">
        <v>3579</v>
      </c>
      <c r="B932" s="174" t="s">
        <v>2850</v>
      </c>
      <c r="C932" s="175"/>
      <c r="D932" s="45" t="s">
        <v>31</v>
      </c>
      <c r="E932" s="73" t="s">
        <v>2867</v>
      </c>
      <c r="F932" s="82">
        <f>IFERROR(VLOOKUP(E932,客户!B:C,2,FALSE),"/")</f>
        <v>0</v>
      </c>
      <c r="G932" s="45" t="s">
        <v>3567</v>
      </c>
      <c r="H932" s="145" t="s">
        <v>123</v>
      </c>
      <c r="I932" s="110" t="s">
        <v>3576</v>
      </c>
      <c r="J932" s="110">
        <v>43811</v>
      </c>
      <c r="K932" s="93">
        <v>43899</v>
      </c>
      <c r="L932" s="93">
        <v>43931</v>
      </c>
      <c r="M932" s="336" t="s">
        <v>3580</v>
      </c>
      <c r="N932" s="247" t="s">
        <v>3581</v>
      </c>
      <c r="O932" s="108" t="s">
        <v>523</v>
      </c>
      <c r="P932" s="235">
        <v>14230.94</v>
      </c>
      <c r="Q932" s="235">
        <v>3039</v>
      </c>
      <c r="R932" s="129"/>
      <c r="S932" s="130"/>
      <c r="T932" s="107">
        <v>11191</v>
      </c>
      <c r="U932" s="93"/>
      <c r="V932" s="247" t="s">
        <v>3582</v>
      </c>
      <c r="W932" s="214"/>
    </row>
    <row r="933" s="43" customFormat="1" ht="22" customHeight="1" spans="1:23">
      <c r="A933" s="142" t="s">
        <v>3583</v>
      </c>
      <c r="B933" s="174" t="s">
        <v>2850</v>
      </c>
      <c r="C933" s="175"/>
      <c r="D933" s="229" t="s">
        <v>31</v>
      </c>
      <c r="E933" s="83" t="s">
        <v>3584</v>
      </c>
      <c r="F933" s="82">
        <f>IFERROR(VLOOKUP(E933,客户!B:C,2,FALSE),"/")</f>
        <v>0</v>
      </c>
      <c r="G933" s="45" t="s">
        <v>3585</v>
      </c>
      <c r="H933" s="145" t="s">
        <v>123</v>
      </c>
      <c r="I933" s="110" t="s">
        <v>3586</v>
      </c>
      <c r="J933" s="110">
        <v>44088</v>
      </c>
      <c r="K933" s="93">
        <v>44281</v>
      </c>
      <c r="L933" s="93">
        <v>44341</v>
      </c>
      <c r="M933" s="337" t="s">
        <v>3587</v>
      </c>
      <c r="N933" s="247" t="s">
        <v>3588</v>
      </c>
      <c r="O933" s="108" t="s">
        <v>970</v>
      </c>
      <c r="P933" s="235">
        <v>18607.55</v>
      </c>
      <c r="Q933" s="235">
        <v>6800</v>
      </c>
      <c r="R933" s="129"/>
      <c r="S933" s="130"/>
      <c r="T933" s="107">
        <v>11807.55</v>
      </c>
      <c r="U933" s="93"/>
      <c r="V933" s="107"/>
      <c r="W933" s="214"/>
    </row>
    <row r="934" s="43" customFormat="1" ht="22" customHeight="1" spans="1:23">
      <c r="A934" s="142" t="s">
        <v>3589</v>
      </c>
      <c r="B934" s="174" t="s">
        <v>2850</v>
      </c>
      <c r="C934" s="175"/>
      <c r="D934" s="45" t="s">
        <v>31</v>
      </c>
      <c r="E934" s="83" t="s">
        <v>3234</v>
      </c>
      <c r="F934" s="82">
        <f>IFERROR(VLOOKUP(E934,客户!B:C,2,FALSE),"/")</f>
        <v>0</v>
      </c>
      <c r="G934" s="45" t="s">
        <v>3590</v>
      </c>
      <c r="H934" s="145" t="s">
        <v>123</v>
      </c>
      <c r="I934" s="110" t="s">
        <v>3576</v>
      </c>
      <c r="J934" s="110">
        <v>44098</v>
      </c>
      <c r="K934" s="93">
        <v>44129</v>
      </c>
      <c r="L934" s="93">
        <v>44151</v>
      </c>
      <c r="M934" s="336" t="s">
        <v>3591</v>
      </c>
      <c r="N934" s="247" t="s">
        <v>3592</v>
      </c>
      <c r="O934" s="108" t="s">
        <v>523</v>
      </c>
      <c r="P934" s="235">
        <v>9001.98</v>
      </c>
      <c r="Q934" s="235">
        <v>2320</v>
      </c>
      <c r="R934" s="129"/>
      <c r="S934" s="130"/>
      <c r="T934" s="107">
        <v>6681</v>
      </c>
      <c r="U934" s="93"/>
      <c r="V934" s="107"/>
      <c r="W934" s="214"/>
    </row>
    <row r="935" s="43" customFormat="1" ht="22" customHeight="1" spans="1:23">
      <c r="A935" s="255"/>
      <c r="B935" s="174"/>
      <c r="C935" s="175"/>
      <c r="D935" s="45"/>
      <c r="E935" s="73"/>
      <c r="F935" s="82" t="str">
        <f>IFERROR(VLOOKUP(E935,客户!B:C,2,FALSE),"/")</f>
        <v>/</v>
      </c>
      <c r="G935" s="45"/>
      <c r="H935" s="145"/>
      <c r="I935" s="110" t="s">
        <v>3593</v>
      </c>
      <c r="J935" s="110"/>
      <c r="K935" s="93"/>
      <c r="L935" s="201"/>
      <c r="M935" s="181"/>
      <c r="N935" s="107"/>
      <c r="O935" s="108"/>
      <c r="P935" s="235"/>
      <c r="Q935" s="317"/>
      <c r="R935" s="129"/>
      <c r="S935" s="130"/>
      <c r="T935" s="317"/>
      <c r="U935" s="93"/>
      <c r="V935" s="107"/>
      <c r="W935" s="214"/>
    </row>
    <row r="936" s="43" customFormat="1" ht="22" customHeight="1" spans="1:23">
      <c r="A936" s="142" t="s">
        <v>3594</v>
      </c>
      <c r="B936" s="174"/>
      <c r="C936" s="175"/>
      <c r="D936" s="45"/>
      <c r="E936" s="73"/>
      <c r="F936" s="82" t="str">
        <f>IFERROR(VLOOKUP(E936,客户!B:C,2,FALSE),"/")</f>
        <v>/</v>
      </c>
      <c r="G936" s="45"/>
      <c r="H936" s="45"/>
      <c r="I936" s="45"/>
      <c r="J936" s="110"/>
      <c r="K936" s="93"/>
      <c r="L936" s="93"/>
      <c r="M936" s="110"/>
      <c r="N936" s="110"/>
      <c r="O936" s="108"/>
      <c r="P936" s="107"/>
      <c r="Q936" s="107"/>
      <c r="R936" s="129"/>
      <c r="S936" s="130"/>
      <c r="T936" s="107"/>
      <c r="U936" s="93"/>
      <c r="V936" s="128"/>
      <c r="W936" s="284"/>
    </row>
    <row r="937" s="43" customFormat="1" ht="22" customHeight="1" spans="1:23">
      <c r="A937" s="142" t="s">
        <v>3595</v>
      </c>
      <c r="B937" s="174" t="s">
        <v>3596</v>
      </c>
      <c r="C937" s="175"/>
      <c r="D937" s="45" t="s">
        <v>31</v>
      </c>
      <c r="E937" s="73" t="s">
        <v>3597</v>
      </c>
      <c r="F937" s="82">
        <f>IFERROR(VLOOKUP(E937,客户!B:C,2,FALSE),"/")</f>
        <v>0</v>
      </c>
      <c r="G937" s="73" t="s">
        <v>3598</v>
      </c>
      <c r="H937" s="45" t="s">
        <v>123</v>
      </c>
      <c r="I937" s="45"/>
      <c r="J937" s="110">
        <v>43297</v>
      </c>
      <c r="K937" s="93"/>
      <c r="L937" s="93"/>
      <c r="M937" s="110"/>
      <c r="N937" s="162" t="s">
        <v>3599</v>
      </c>
      <c r="O937" s="108"/>
      <c r="P937" s="126">
        <v>22473.1</v>
      </c>
      <c r="Q937" s="107">
        <v>17300</v>
      </c>
      <c r="R937" s="129"/>
      <c r="S937" s="130"/>
      <c r="T937" s="107">
        <v>5173.1</v>
      </c>
      <c r="U937" s="93"/>
      <c r="V937" s="126"/>
      <c r="W937" s="284"/>
    </row>
    <row r="938" s="43" customFormat="1" ht="22" customHeight="1" spans="1:23">
      <c r="A938" s="142" t="s">
        <v>3600</v>
      </c>
      <c r="B938" s="174" t="s">
        <v>3596</v>
      </c>
      <c r="C938" s="175"/>
      <c r="D938" s="45" t="s">
        <v>31</v>
      </c>
      <c r="E938" s="73" t="s">
        <v>3601</v>
      </c>
      <c r="F938" s="82">
        <f>IFERROR(VLOOKUP(E938,客户!B:C,2,FALSE),"/")</f>
        <v>0</v>
      </c>
      <c r="G938" s="73" t="s">
        <v>3602</v>
      </c>
      <c r="H938" s="45" t="s">
        <v>154</v>
      </c>
      <c r="I938" s="45"/>
      <c r="J938" s="110">
        <v>43305</v>
      </c>
      <c r="K938" s="93"/>
      <c r="L938" s="93"/>
      <c r="M938" s="110"/>
      <c r="N938" s="178" t="s">
        <v>3603</v>
      </c>
      <c r="O938" s="108"/>
      <c r="P938" s="107">
        <v>24110</v>
      </c>
      <c r="Q938" s="107">
        <v>7380</v>
      </c>
      <c r="R938" s="129"/>
      <c r="S938" s="130"/>
      <c r="T938" s="107">
        <v>17023</v>
      </c>
      <c r="U938" s="93"/>
      <c r="V938" s="107"/>
      <c r="W938" s="284"/>
    </row>
    <row r="939" s="43" customFormat="1" ht="22" customHeight="1" spans="1:23">
      <c r="A939" s="143" t="s">
        <v>3604</v>
      </c>
      <c r="B939" s="174" t="s">
        <v>3596</v>
      </c>
      <c r="C939" s="175"/>
      <c r="D939" s="45" t="s">
        <v>31</v>
      </c>
      <c r="E939" s="73" t="s">
        <v>3605</v>
      </c>
      <c r="F939" s="82">
        <f>IFERROR(VLOOKUP(E939,客户!B:C,2,FALSE),"/")</f>
        <v>0</v>
      </c>
      <c r="G939" s="73" t="s">
        <v>3606</v>
      </c>
      <c r="H939" s="45" t="s">
        <v>123</v>
      </c>
      <c r="I939" s="45"/>
      <c r="J939" s="110">
        <v>43277</v>
      </c>
      <c r="K939" s="93"/>
      <c r="L939" s="93"/>
      <c r="M939" s="110"/>
      <c r="N939" s="162" t="s">
        <v>3607</v>
      </c>
      <c r="O939" s="108"/>
      <c r="P939" s="107">
        <v>25347</v>
      </c>
      <c r="Q939" s="296" t="s">
        <v>3608</v>
      </c>
      <c r="R939" s="129"/>
      <c r="S939" s="130"/>
      <c r="T939" s="107">
        <f>(100000+40925)/6.8</f>
        <v>20724.2647058824</v>
      </c>
      <c r="U939" s="93"/>
      <c r="V939" s="107"/>
      <c r="W939" s="214"/>
    </row>
    <row r="940" s="43" customFormat="1" ht="22" customHeight="1" spans="1:23">
      <c r="A940" s="142" t="s">
        <v>3609</v>
      </c>
      <c r="B940" s="174" t="s">
        <v>3596</v>
      </c>
      <c r="C940" s="175"/>
      <c r="D940" s="45" t="s">
        <v>31</v>
      </c>
      <c r="E940" s="331" t="s">
        <v>3610</v>
      </c>
      <c r="F940" s="82">
        <f>IFERROR(VLOOKUP(E940,客户!B:C,2,FALSE),"/")</f>
        <v>0</v>
      </c>
      <c r="G940" s="296" t="s">
        <v>3611</v>
      </c>
      <c r="H940" s="296" t="s">
        <v>154</v>
      </c>
      <c r="I940" s="296"/>
      <c r="J940" s="110">
        <v>43321</v>
      </c>
      <c r="K940" s="93"/>
      <c r="L940" s="93"/>
      <c r="M940" s="110"/>
      <c r="N940" s="162" t="s">
        <v>3612</v>
      </c>
      <c r="O940" s="108"/>
      <c r="P940" s="107">
        <v>21534.8</v>
      </c>
      <c r="Q940" s="296" t="s">
        <v>3613</v>
      </c>
      <c r="R940" s="129"/>
      <c r="S940" s="130"/>
      <c r="T940" s="107">
        <v>21534.8</v>
      </c>
      <c r="U940" s="93"/>
      <c r="V940" s="107"/>
      <c r="W940" s="214"/>
    </row>
    <row r="941" s="43" customFormat="1" ht="22" customHeight="1" spans="1:23">
      <c r="A941" s="142" t="s">
        <v>3614</v>
      </c>
      <c r="B941" s="174" t="s">
        <v>3596</v>
      </c>
      <c r="C941" s="175"/>
      <c r="D941" s="45" t="s">
        <v>31</v>
      </c>
      <c r="E941" s="331" t="s">
        <v>3610</v>
      </c>
      <c r="F941" s="82">
        <f>IFERROR(VLOOKUP(E941,客户!B:C,2,FALSE),"/")</f>
        <v>0</v>
      </c>
      <c r="G941" s="296" t="s">
        <v>3611</v>
      </c>
      <c r="H941" s="296" t="s">
        <v>154</v>
      </c>
      <c r="I941" s="296"/>
      <c r="J941" s="110">
        <v>43332</v>
      </c>
      <c r="K941" s="93"/>
      <c r="L941" s="93"/>
      <c r="M941" s="110"/>
      <c r="N941" s="146" t="s">
        <v>3615</v>
      </c>
      <c r="O941" s="108"/>
      <c r="P941" s="107">
        <v>21762.3</v>
      </c>
      <c r="Q941" s="296" t="s">
        <v>3613</v>
      </c>
      <c r="R941" s="129"/>
      <c r="S941" s="130"/>
      <c r="T941" s="107">
        <v>21762.3</v>
      </c>
      <c r="U941" s="93"/>
      <c r="V941" s="107"/>
      <c r="W941" s="214"/>
    </row>
    <row r="942" s="43" customFormat="1" ht="22" customHeight="1" spans="1:23">
      <c r="A942" s="143" t="s">
        <v>3616</v>
      </c>
      <c r="B942" s="174" t="s">
        <v>3596</v>
      </c>
      <c r="C942" s="175"/>
      <c r="D942" s="45" t="s">
        <v>31</v>
      </c>
      <c r="E942" s="331" t="s">
        <v>3617</v>
      </c>
      <c r="F942" s="82" t="str">
        <f>IFERROR(VLOOKUP(E942,客户!B:C,2,FALSE),"/")</f>
        <v>/</v>
      </c>
      <c r="G942" s="145" t="s">
        <v>3618</v>
      </c>
      <c r="H942" s="145" t="s">
        <v>123</v>
      </c>
      <c r="I942" s="145"/>
      <c r="J942" s="110">
        <v>43356</v>
      </c>
      <c r="K942" s="93"/>
      <c r="L942" s="93"/>
      <c r="M942" s="110"/>
      <c r="N942" s="162" t="s">
        <v>3619</v>
      </c>
      <c r="O942" s="108"/>
      <c r="P942" s="107">
        <v>19737.4</v>
      </c>
      <c r="Q942" s="145"/>
      <c r="R942" s="129"/>
      <c r="S942" s="130"/>
      <c r="T942" s="107"/>
      <c r="U942" s="93"/>
      <c r="V942" s="128"/>
      <c r="W942" s="214"/>
    </row>
    <row r="943" s="43" customFormat="1" ht="22" customHeight="1" spans="1:23">
      <c r="A943" s="142" t="s">
        <v>3620</v>
      </c>
      <c r="B943" s="174" t="s">
        <v>3596</v>
      </c>
      <c r="C943" s="175"/>
      <c r="D943" s="45" t="s">
        <v>31</v>
      </c>
      <c r="E943" s="331" t="s">
        <v>3621</v>
      </c>
      <c r="F943" s="82">
        <f>IFERROR(VLOOKUP(E943,客户!B:C,2,FALSE),"/")</f>
        <v>0</v>
      </c>
      <c r="G943" s="145" t="s">
        <v>3622</v>
      </c>
      <c r="H943" s="145" t="s">
        <v>154</v>
      </c>
      <c r="I943" s="145"/>
      <c r="J943" s="110">
        <v>43350</v>
      </c>
      <c r="K943" s="93"/>
      <c r="L943" s="93"/>
      <c r="M943" s="110"/>
      <c r="N943" s="146" t="s">
        <v>3623</v>
      </c>
      <c r="O943" s="108"/>
      <c r="P943" s="107">
        <v>20250</v>
      </c>
      <c r="Q943" s="145"/>
      <c r="R943" s="129"/>
      <c r="S943" s="130"/>
      <c r="T943" s="107">
        <v>20190</v>
      </c>
      <c r="U943" s="93"/>
      <c r="V943" s="126"/>
      <c r="W943" s="214"/>
    </row>
    <row r="944" s="43" customFormat="1" ht="22" customHeight="1" spans="1:23">
      <c r="A944" s="143" t="s">
        <v>3624</v>
      </c>
      <c r="B944" s="174" t="s">
        <v>3596</v>
      </c>
      <c r="C944" s="175"/>
      <c r="D944" s="45" t="s">
        <v>31</v>
      </c>
      <c r="E944" s="331" t="s">
        <v>3625</v>
      </c>
      <c r="F944" s="82">
        <f>IFERROR(VLOOKUP(E944,客户!B:C,2,FALSE),"/")</f>
        <v>0</v>
      </c>
      <c r="G944" s="145" t="s">
        <v>3626</v>
      </c>
      <c r="H944" s="145" t="s">
        <v>123</v>
      </c>
      <c r="I944" s="145"/>
      <c r="J944" s="110">
        <v>43364</v>
      </c>
      <c r="K944" s="93"/>
      <c r="L944" s="93"/>
      <c r="M944" s="110"/>
      <c r="N944" s="162" t="s">
        <v>3627</v>
      </c>
      <c r="O944" s="108"/>
      <c r="P944" s="107">
        <v>17224.05</v>
      </c>
      <c r="Q944" s="107">
        <v>11988.71</v>
      </c>
      <c r="R944" s="129"/>
      <c r="S944" s="130"/>
      <c r="T944" s="107"/>
      <c r="U944" s="93"/>
      <c r="V944" s="189"/>
      <c r="W944" s="214"/>
    </row>
    <row r="945" s="45" customFormat="1" ht="22" customHeight="1" spans="1:23">
      <c r="A945" s="45" t="s">
        <v>3628</v>
      </c>
      <c r="B945" s="174" t="s">
        <v>3596</v>
      </c>
      <c r="C945" s="175"/>
      <c r="D945" s="45" t="s">
        <v>31</v>
      </c>
      <c r="E945" s="73" t="s">
        <v>3629</v>
      </c>
      <c r="F945" s="82">
        <f>IFERROR(VLOOKUP(E945,客户!B:C,2,FALSE),"/")</f>
        <v>0</v>
      </c>
      <c r="G945" s="45" t="s">
        <v>2239</v>
      </c>
      <c r="J945" s="146">
        <v>43372</v>
      </c>
      <c r="K945" s="93"/>
      <c r="L945" s="93"/>
      <c r="M945" s="110"/>
      <c r="N945" s="146" t="s">
        <v>3630</v>
      </c>
      <c r="O945" s="108"/>
      <c r="P945" s="107">
        <v>20167.2</v>
      </c>
      <c r="R945" s="129"/>
      <c r="S945" s="130"/>
      <c r="T945" s="107"/>
      <c r="U945" s="93"/>
      <c r="V945" s="126"/>
      <c r="W945" s="214"/>
    </row>
    <row r="946" s="43" customFormat="1" ht="22" customHeight="1" spans="1:23">
      <c r="A946" s="142" t="s">
        <v>3631</v>
      </c>
      <c r="B946" s="174" t="s">
        <v>3596</v>
      </c>
      <c r="C946" s="175"/>
      <c r="D946" s="45" t="s">
        <v>31</v>
      </c>
      <c r="E946" s="331" t="s">
        <v>3610</v>
      </c>
      <c r="F946" s="82">
        <f>IFERROR(VLOOKUP(E946,客户!B:C,2,FALSE),"/")</f>
        <v>0</v>
      </c>
      <c r="G946" s="145" t="s">
        <v>3632</v>
      </c>
      <c r="H946" s="145"/>
      <c r="I946" s="145"/>
      <c r="J946" s="110">
        <v>43381</v>
      </c>
      <c r="K946" s="93"/>
      <c r="L946" s="93"/>
      <c r="M946" s="110"/>
      <c r="N946" s="146" t="s">
        <v>3633</v>
      </c>
      <c r="O946" s="108"/>
      <c r="P946" s="107">
        <v>20940</v>
      </c>
      <c r="Q946" s="145"/>
      <c r="R946" s="129"/>
      <c r="S946" s="130"/>
      <c r="T946" s="107">
        <v>20940</v>
      </c>
      <c r="U946" s="93"/>
      <c r="V946" s="126"/>
      <c r="W946" s="214"/>
    </row>
    <row r="947" s="43" customFormat="1" ht="22" customHeight="1" spans="1:23">
      <c r="A947" s="142" t="s">
        <v>3634</v>
      </c>
      <c r="B947" s="174" t="s">
        <v>3596</v>
      </c>
      <c r="C947" s="175"/>
      <c r="D947" s="45" t="s">
        <v>31</v>
      </c>
      <c r="E947" s="331" t="s">
        <v>3610</v>
      </c>
      <c r="F947" s="82">
        <f>IFERROR(VLOOKUP(E947,客户!B:C,2,FALSE),"/")</f>
        <v>0</v>
      </c>
      <c r="G947" s="145" t="s">
        <v>3632</v>
      </c>
      <c r="H947" s="145"/>
      <c r="I947" s="145"/>
      <c r="J947" s="110">
        <v>43399</v>
      </c>
      <c r="K947" s="93"/>
      <c r="L947" s="93"/>
      <c r="M947" s="110"/>
      <c r="N947" s="146" t="s">
        <v>3635</v>
      </c>
      <c r="O947" s="108"/>
      <c r="P947" s="107">
        <v>21840.4</v>
      </c>
      <c r="Q947" s="145" t="s">
        <v>3613</v>
      </c>
      <c r="R947" s="129"/>
      <c r="S947" s="130"/>
      <c r="T947" s="107">
        <v>21840</v>
      </c>
      <c r="U947" s="93"/>
      <c r="V947" s="126"/>
      <c r="W947" s="338"/>
    </row>
    <row r="948" s="43" customFormat="1" ht="22" customHeight="1" spans="1:23">
      <c r="A948" s="142" t="s">
        <v>3636</v>
      </c>
      <c r="B948" s="174" t="s">
        <v>3596</v>
      </c>
      <c r="C948" s="175"/>
      <c r="D948" s="45" t="s">
        <v>31</v>
      </c>
      <c r="E948" s="331" t="s">
        <v>3610</v>
      </c>
      <c r="F948" s="82">
        <f>IFERROR(VLOOKUP(E948,客户!B:C,2,FALSE),"/")</f>
        <v>0</v>
      </c>
      <c r="G948" s="145" t="s">
        <v>3637</v>
      </c>
      <c r="H948" s="145"/>
      <c r="I948" s="145"/>
      <c r="J948" s="110">
        <v>43409</v>
      </c>
      <c r="K948" s="93"/>
      <c r="L948" s="93"/>
      <c r="M948" s="110"/>
      <c r="N948" s="146" t="s">
        <v>3635</v>
      </c>
      <c r="O948" s="108"/>
      <c r="P948" s="107">
        <v>21414.2</v>
      </c>
      <c r="Q948" s="145" t="s">
        <v>3613</v>
      </c>
      <c r="R948" s="129"/>
      <c r="S948" s="130"/>
      <c r="T948" s="107">
        <v>21414.2</v>
      </c>
      <c r="U948" s="93"/>
      <c r="V948" s="107"/>
      <c r="W948" s="214"/>
    </row>
    <row r="949" s="43" customFormat="1" ht="22" customHeight="1" spans="1:23">
      <c r="A949" s="142" t="s">
        <v>3638</v>
      </c>
      <c r="B949" s="174" t="s">
        <v>3596</v>
      </c>
      <c r="C949" s="175"/>
      <c r="D949" s="45" t="s">
        <v>31</v>
      </c>
      <c r="E949" s="331" t="s">
        <v>3639</v>
      </c>
      <c r="F949" s="82" t="str">
        <f>IFERROR(VLOOKUP(E949,客户!B:C,2,FALSE),"/")</f>
        <v>/</v>
      </c>
      <c r="G949" s="145" t="s">
        <v>3640</v>
      </c>
      <c r="H949" s="145"/>
      <c r="I949" s="145"/>
      <c r="J949" s="110">
        <v>43400</v>
      </c>
      <c r="K949" s="93">
        <v>43448</v>
      </c>
      <c r="L949" s="93">
        <v>43488</v>
      </c>
      <c r="M949" s="110"/>
      <c r="N949" s="146" t="s">
        <v>3641</v>
      </c>
      <c r="O949" s="108"/>
      <c r="P949" s="107">
        <v>34864.38</v>
      </c>
      <c r="Q949" s="107">
        <v>7246</v>
      </c>
      <c r="R949" s="129"/>
      <c r="S949" s="130"/>
      <c r="T949" s="107" t="s">
        <v>3642</v>
      </c>
      <c r="U949" s="93">
        <v>43483</v>
      </c>
      <c r="V949" s="135"/>
      <c r="W949" s="214"/>
    </row>
    <row r="950" s="43" customFormat="1" ht="22" customHeight="1" spans="1:23">
      <c r="A950" s="142" t="s">
        <v>3643</v>
      </c>
      <c r="B950" s="174" t="s">
        <v>3596</v>
      </c>
      <c r="C950" s="175"/>
      <c r="D950" s="45" t="s">
        <v>31</v>
      </c>
      <c r="E950" s="331" t="s">
        <v>3644</v>
      </c>
      <c r="F950" s="82" t="str">
        <f>IFERROR(VLOOKUP(E950,客户!B:C,2,FALSE),"/")</f>
        <v>/</v>
      </c>
      <c r="G950" s="145" t="s">
        <v>3645</v>
      </c>
      <c r="H950" s="145"/>
      <c r="I950" s="332" t="s">
        <v>3646</v>
      </c>
      <c r="J950" s="110">
        <v>43416</v>
      </c>
      <c r="K950" s="93">
        <v>43448</v>
      </c>
      <c r="L950" s="93">
        <v>43506</v>
      </c>
      <c r="M950" s="110"/>
      <c r="N950" s="146" t="s">
        <v>3647</v>
      </c>
      <c r="O950" s="108"/>
      <c r="P950" s="107">
        <v>37532.98</v>
      </c>
      <c r="Q950" s="107">
        <v>9749</v>
      </c>
      <c r="R950" s="129"/>
      <c r="S950" s="130"/>
      <c r="T950" s="107" t="s">
        <v>3648</v>
      </c>
      <c r="U950" s="93"/>
      <c r="V950" s="135"/>
      <c r="W950" s="214"/>
    </row>
    <row r="951" s="43" customFormat="1" ht="22" customHeight="1" spans="1:23">
      <c r="A951" s="142" t="s">
        <v>3649</v>
      </c>
      <c r="B951" s="174" t="s">
        <v>3596</v>
      </c>
      <c r="C951" s="175"/>
      <c r="D951" s="45" t="s">
        <v>31</v>
      </c>
      <c r="E951" s="331" t="s">
        <v>3644</v>
      </c>
      <c r="F951" s="82" t="str">
        <f>IFERROR(VLOOKUP(E951,客户!B:C,2,FALSE),"/")</f>
        <v>/</v>
      </c>
      <c r="G951" s="145" t="s">
        <v>3650</v>
      </c>
      <c r="H951" s="145"/>
      <c r="I951" s="145" t="s">
        <v>3651</v>
      </c>
      <c r="J951" s="110"/>
      <c r="K951" s="93">
        <v>43435</v>
      </c>
      <c r="L951" s="93">
        <v>43478</v>
      </c>
      <c r="M951" s="110"/>
      <c r="N951" s="146" t="s">
        <v>3652</v>
      </c>
      <c r="O951" s="108"/>
      <c r="P951" s="107">
        <v>36835.64</v>
      </c>
      <c r="Q951" s="107">
        <v>6672.32</v>
      </c>
      <c r="R951" s="129"/>
      <c r="S951" s="130"/>
      <c r="T951" s="107">
        <v>34908</v>
      </c>
      <c r="U951" s="93">
        <v>43469</v>
      </c>
      <c r="V951" s="135"/>
      <c r="W951" s="214"/>
    </row>
    <row r="952" s="45" customFormat="1" ht="22" customHeight="1" spans="1:23">
      <c r="A952" s="142" t="s">
        <v>3653</v>
      </c>
      <c r="B952" s="174" t="s">
        <v>3596</v>
      </c>
      <c r="C952" s="175"/>
      <c r="D952" s="45" t="s">
        <v>31</v>
      </c>
      <c r="E952" s="73" t="s">
        <v>3654</v>
      </c>
      <c r="F952" s="82" t="str">
        <f>IFERROR(VLOOKUP(E952,客户!B:C,2,FALSE),"/")</f>
        <v>/</v>
      </c>
      <c r="G952" s="45" t="s">
        <v>3655</v>
      </c>
      <c r="I952" s="45" t="s">
        <v>3656</v>
      </c>
      <c r="J952" s="146">
        <v>43416</v>
      </c>
      <c r="K952" s="93">
        <v>43464</v>
      </c>
      <c r="L952" s="93">
        <v>43492</v>
      </c>
      <c r="M952" s="146" t="s">
        <v>3657</v>
      </c>
      <c r="N952" s="146" t="s">
        <v>3658</v>
      </c>
      <c r="O952" s="108"/>
      <c r="P952" s="107">
        <v>27555.95</v>
      </c>
      <c r="Q952" s="235" t="s">
        <v>3659</v>
      </c>
      <c r="R952" s="129">
        <v>0</v>
      </c>
      <c r="S952" s="130"/>
      <c r="T952" s="107" t="s">
        <v>3660</v>
      </c>
      <c r="U952" s="93">
        <v>43524</v>
      </c>
      <c r="V952" s="107"/>
      <c r="W952" s="214"/>
    </row>
    <row r="953" s="43" customFormat="1" ht="22" customHeight="1" spans="1:23">
      <c r="A953" s="142" t="s">
        <v>3661</v>
      </c>
      <c r="B953" s="174" t="s">
        <v>3596</v>
      </c>
      <c r="C953" s="175"/>
      <c r="D953" s="45" t="s">
        <v>31</v>
      </c>
      <c r="E953" s="331" t="s">
        <v>3610</v>
      </c>
      <c r="F953" s="82">
        <f>IFERROR(VLOOKUP(E953,客户!B:C,2,FALSE),"/")</f>
        <v>0</v>
      </c>
      <c r="G953" s="145" t="s">
        <v>3637</v>
      </c>
      <c r="H953" s="145"/>
      <c r="I953" s="145" t="s">
        <v>3662</v>
      </c>
      <c r="J953" s="110">
        <v>43431</v>
      </c>
      <c r="K953" s="93">
        <v>43457</v>
      </c>
      <c r="L953" s="93">
        <v>43485</v>
      </c>
      <c r="M953" s="146"/>
      <c r="N953" s="146" t="s">
        <v>3635</v>
      </c>
      <c r="O953" s="108"/>
      <c r="P953" s="107">
        <v>19082</v>
      </c>
      <c r="Q953" s="145"/>
      <c r="R953" s="129">
        <v>0</v>
      </c>
      <c r="S953" s="130"/>
      <c r="T953" s="107"/>
      <c r="U953" s="93"/>
      <c r="V953" s="107"/>
      <c r="W953" s="214"/>
    </row>
    <row r="954" s="43" customFormat="1" ht="22" customHeight="1" spans="1:23">
      <c r="A954" s="142" t="s">
        <v>3663</v>
      </c>
      <c r="B954" s="174" t="s">
        <v>3596</v>
      </c>
      <c r="C954" s="175"/>
      <c r="D954" s="45" t="s">
        <v>31</v>
      </c>
      <c r="E954" s="331" t="s">
        <v>3664</v>
      </c>
      <c r="F954" s="82" t="str">
        <f>IFERROR(VLOOKUP(E954,客户!B:C,2,FALSE),"/")</f>
        <v>/</v>
      </c>
      <c r="G954" s="145" t="s">
        <v>3665</v>
      </c>
      <c r="H954" s="145" t="s">
        <v>123</v>
      </c>
      <c r="I954" s="145" t="s">
        <v>3666</v>
      </c>
      <c r="J954" s="110">
        <v>43445</v>
      </c>
      <c r="K954" s="93">
        <v>43529</v>
      </c>
      <c r="L954" s="93">
        <v>43565</v>
      </c>
      <c r="M954" s="146" t="s">
        <v>3667</v>
      </c>
      <c r="N954" s="146" t="s">
        <v>3668</v>
      </c>
      <c r="O954" s="108"/>
      <c r="P954" s="107">
        <v>16324.4</v>
      </c>
      <c r="Q954" s="107">
        <v>2997.6</v>
      </c>
      <c r="R954" s="129"/>
      <c r="S954" s="130"/>
      <c r="T954" s="107">
        <v>16901.74</v>
      </c>
      <c r="U954" s="93"/>
      <c r="V954" s="107"/>
      <c r="W954" s="214"/>
    </row>
    <row r="955" s="43" customFormat="1" ht="22" customHeight="1" spans="1:23">
      <c r="A955" s="142" t="s">
        <v>3669</v>
      </c>
      <c r="B955" s="174" t="s">
        <v>3596</v>
      </c>
      <c r="C955" s="175"/>
      <c r="D955" s="45" t="s">
        <v>31</v>
      </c>
      <c r="E955" s="331" t="s">
        <v>3610</v>
      </c>
      <c r="F955" s="82">
        <f>IFERROR(VLOOKUP(E955,客户!B:C,2,FALSE),"/")</f>
        <v>0</v>
      </c>
      <c r="G955" s="145" t="s">
        <v>3670</v>
      </c>
      <c r="H955" s="145" t="s">
        <v>123</v>
      </c>
      <c r="I955" s="145" t="s">
        <v>3671</v>
      </c>
      <c r="J955" s="110">
        <v>43449</v>
      </c>
      <c r="K955" s="93"/>
      <c r="L955" s="93"/>
      <c r="M955" s="203"/>
      <c r="N955" s="146" t="s">
        <v>3672</v>
      </c>
      <c r="O955" s="108"/>
      <c r="P955" s="107">
        <v>18645</v>
      </c>
      <c r="Q955" s="145"/>
      <c r="R955" s="129">
        <v>0</v>
      </c>
      <c r="S955" s="130"/>
      <c r="T955" s="107">
        <v>18645</v>
      </c>
      <c r="U955" s="93"/>
      <c r="V955" s="135"/>
      <c r="W955" s="214"/>
    </row>
    <row r="956" s="43" customFormat="1" ht="22" customHeight="1" spans="1:23">
      <c r="A956" s="142" t="s">
        <v>3673</v>
      </c>
      <c r="B956" s="174" t="s">
        <v>3596</v>
      </c>
      <c r="C956" s="175"/>
      <c r="D956" s="45" t="s">
        <v>31</v>
      </c>
      <c r="E956" s="331" t="s">
        <v>3610</v>
      </c>
      <c r="F956" s="82">
        <f>IFERROR(VLOOKUP(E956,客户!B:C,2,FALSE),"/")</f>
        <v>0</v>
      </c>
      <c r="G956" s="145" t="s">
        <v>3670</v>
      </c>
      <c r="H956" s="145" t="s">
        <v>123</v>
      </c>
      <c r="I956" s="145" t="s">
        <v>3671</v>
      </c>
      <c r="J956" s="110">
        <v>43461</v>
      </c>
      <c r="K956" s="93"/>
      <c r="L956" s="93"/>
      <c r="M956" s="203"/>
      <c r="N956" s="146" t="s">
        <v>3674</v>
      </c>
      <c r="O956" s="108"/>
      <c r="P956" s="107">
        <v>19818.4</v>
      </c>
      <c r="Q956" s="145"/>
      <c r="R956" s="129">
        <v>0</v>
      </c>
      <c r="S956" s="130"/>
      <c r="T956" s="107">
        <v>19818</v>
      </c>
      <c r="U956" s="93"/>
      <c r="V956" s="128"/>
      <c r="W956" s="214"/>
    </row>
    <row r="957" s="43" customFormat="1" ht="22" customHeight="1" spans="1:23">
      <c r="A957" s="142" t="s">
        <v>3675</v>
      </c>
      <c r="B957" s="174" t="s">
        <v>3596</v>
      </c>
      <c r="C957" s="175"/>
      <c r="D957" s="45" t="s">
        <v>31</v>
      </c>
      <c r="E957" s="144" t="s">
        <v>3676</v>
      </c>
      <c r="F957" s="82">
        <f>IFERROR(VLOOKUP(E957,客户!B:C,2,FALSE),"/")</f>
        <v>0</v>
      </c>
      <c r="G957" s="145" t="s">
        <v>3677</v>
      </c>
      <c r="H957" s="145" t="s">
        <v>970</v>
      </c>
      <c r="I957" s="145"/>
      <c r="J957" s="110"/>
      <c r="K957" s="93"/>
      <c r="L957" s="93"/>
      <c r="M957" s="146"/>
      <c r="N957" s="146"/>
      <c r="O957" s="108"/>
      <c r="P957" s="107" t="s">
        <v>3678</v>
      </c>
      <c r="Q957" s="145" t="s">
        <v>3679</v>
      </c>
      <c r="R957" s="129">
        <v>0</v>
      </c>
      <c r="S957" s="130"/>
      <c r="T957" s="107" t="s">
        <v>3680</v>
      </c>
      <c r="U957" s="93">
        <v>43483</v>
      </c>
      <c r="V957" s="128"/>
      <c r="W957" s="214"/>
    </row>
    <row r="958" s="43" customFormat="1" ht="22" customHeight="1" spans="1:23">
      <c r="A958" s="142" t="s">
        <v>3681</v>
      </c>
      <c r="B958" s="174" t="s">
        <v>3596</v>
      </c>
      <c r="C958" s="175"/>
      <c r="D958" s="45" t="s">
        <v>31</v>
      </c>
      <c r="E958" s="331" t="s">
        <v>3682</v>
      </c>
      <c r="F958" s="82">
        <f>IFERROR(VLOOKUP(E958,客户!B:C,2,FALSE),"/")</f>
        <v>0</v>
      </c>
      <c r="G958" s="145" t="s">
        <v>3683</v>
      </c>
      <c r="H958" s="145" t="s">
        <v>123</v>
      </c>
      <c r="I958" s="145" t="s">
        <v>3684</v>
      </c>
      <c r="J958" s="110">
        <v>43473</v>
      </c>
      <c r="K958" s="93">
        <v>43549</v>
      </c>
      <c r="L958" s="93">
        <v>43576</v>
      </c>
      <c r="M958" s="146" t="s">
        <v>3685</v>
      </c>
      <c r="N958" s="146" t="s">
        <v>3686</v>
      </c>
      <c r="O958" s="108"/>
      <c r="P958" s="107">
        <v>22455</v>
      </c>
      <c r="Q958" s="145">
        <v>6736.5</v>
      </c>
      <c r="R958" s="129">
        <v>0</v>
      </c>
      <c r="S958" s="130"/>
      <c r="T958" s="107">
        <v>15667</v>
      </c>
      <c r="U958" s="93">
        <v>43574</v>
      </c>
      <c r="V958" s="128"/>
      <c r="W958" s="214"/>
    </row>
    <row r="959" s="43" customFormat="1" ht="22" customHeight="1" spans="1:23">
      <c r="A959" s="142" t="s">
        <v>3687</v>
      </c>
      <c r="B959" s="174" t="s">
        <v>3596</v>
      </c>
      <c r="C959" s="175"/>
      <c r="D959" s="45" t="s">
        <v>31</v>
      </c>
      <c r="E959" s="144" t="s">
        <v>3688</v>
      </c>
      <c r="F959" s="82">
        <f>IFERROR(VLOOKUP(E959,客户!B:C,2,FALSE),"/")</f>
        <v>0</v>
      </c>
      <c r="G959" s="145" t="s">
        <v>3689</v>
      </c>
      <c r="H959" s="145" t="s">
        <v>123</v>
      </c>
      <c r="I959" s="145" t="s">
        <v>3671</v>
      </c>
      <c r="J959" s="110">
        <v>43511</v>
      </c>
      <c r="K959" s="93">
        <v>43542</v>
      </c>
      <c r="L959" s="93"/>
      <c r="M959" s="181"/>
      <c r="N959" s="146" t="s">
        <v>3690</v>
      </c>
      <c r="O959" s="108"/>
      <c r="P959" s="107">
        <v>20292.6</v>
      </c>
      <c r="Q959" s="145" t="s">
        <v>3613</v>
      </c>
      <c r="R959" s="129">
        <v>0</v>
      </c>
      <c r="S959" s="130"/>
      <c r="T959" s="107">
        <v>20255</v>
      </c>
      <c r="U959" s="93">
        <v>43544</v>
      </c>
      <c r="V959" s="128"/>
      <c r="W959" s="214"/>
    </row>
    <row r="960" s="43" customFormat="1" ht="22" customHeight="1" spans="1:23">
      <c r="A960" s="142" t="s">
        <v>3691</v>
      </c>
      <c r="B960" s="174" t="s">
        <v>3596</v>
      </c>
      <c r="C960" s="175"/>
      <c r="D960" s="45" t="s">
        <v>31</v>
      </c>
      <c r="E960" s="144" t="s">
        <v>3692</v>
      </c>
      <c r="F960" s="82" t="str">
        <f>IFERROR(VLOOKUP(E960,客户!B:C,2,FALSE),"/")</f>
        <v>/</v>
      </c>
      <c r="G960" s="145" t="s">
        <v>3693</v>
      </c>
      <c r="H960" s="145" t="s">
        <v>123</v>
      </c>
      <c r="I960" s="145" t="s">
        <v>2448</v>
      </c>
      <c r="J960" s="110">
        <v>43528</v>
      </c>
      <c r="K960" s="94">
        <v>43575</v>
      </c>
      <c r="L960" s="93" t="s">
        <v>3694</v>
      </c>
      <c r="M960" s="182"/>
      <c r="N960" s="146" t="s">
        <v>600</v>
      </c>
      <c r="O960" s="108"/>
      <c r="P960" s="107">
        <v>17156.33</v>
      </c>
      <c r="Q960" s="107">
        <v>6532.2</v>
      </c>
      <c r="R960" s="129">
        <v>0</v>
      </c>
      <c r="S960" s="130"/>
      <c r="T960" s="107">
        <v>10624</v>
      </c>
      <c r="U960" s="93">
        <v>43606</v>
      </c>
      <c r="V960" s="128"/>
      <c r="W960" s="214"/>
    </row>
    <row r="961" s="43" customFormat="1" ht="22" customHeight="1" spans="1:23">
      <c r="A961" s="142" t="s">
        <v>3695</v>
      </c>
      <c r="B961" s="174" t="s">
        <v>3596</v>
      </c>
      <c r="C961" s="175"/>
      <c r="D961" s="45" t="s">
        <v>31</v>
      </c>
      <c r="E961" s="144" t="s">
        <v>3696</v>
      </c>
      <c r="F961" s="82">
        <f>IFERROR(VLOOKUP(E961,客户!B:C,2,FALSE),"/")</f>
        <v>0</v>
      </c>
      <c r="G961" s="145" t="s">
        <v>3697</v>
      </c>
      <c r="H961" s="145" t="s">
        <v>123</v>
      </c>
      <c r="I961" s="145" t="s">
        <v>3698</v>
      </c>
      <c r="J961" s="110">
        <v>43528</v>
      </c>
      <c r="K961" s="93">
        <v>43579</v>
      </c>
      <c r="L961" s="94"/>
      <c r="M961" s="146" t="s">
        <v>3699</v>
      </c>
      <c r="N961" s="146" t="s">
        <v>3700</v>
      </c>
      <c r="O961" s="108"/>
      <c r="P961" s="107">
        <v>39508.5</v>
      </c>
      <c r="Q961" s="107" t="s">
        <v>3701</v>
      </c>
      <c r="R961" s="129">
        <v>0</v>
      </c>
      <c r="S961" s="130"/>
      <c r="T961" s="107">
        <v>27647</v>
      </c>
      <c r="U961" s="93">
        <v>43598</v>
      </c>
      <c r="V961" s="128" t="s">
        <v>3702</v>
      </c>
      <c r="W961" s="214"/>
    </row>
    <row r="962" s="43" customFormat="1" ht="22" customHeight="1" spans="1:23">
      <c r="A962" s="142" t="s">
        <v>3703</v>
      </c>
      <c r="B962" s="174" t="s">
        <v>3596</v>
      </c>
      <c r="C962" s="175"/>
      <c r="D962" s="45" t="s">
        <v>31</v>
      </c>
      <c r="E962" s="144" t="s">
        <v>3704</v>
      </c>
      <c r="F962" s="82">
        <f>IFERROR(VLOOKUP(E962,客户!B:C,2,FALSE),"/")</f>
        <v>0</v>
      </c>
      <c r="G962" s="145" t="s">
        <v>3705</v>
      </c>
      <c r="H962" s="145" t="s">
        <v>123</v>
      </c>
      <c r="I962" s="332" t="s">
        <v>3706</v>
      </c>
      <c r="J962" s="110">
        <v>43535</v>
      </c>
      <c r="K962" s="93">
        <v>43578</v>
      </c>
      <c r="L962" s="93">
        <v>43653</v>
      </c>
      <c r="M962" s="181" t="s">
        <v>3707</v>
      </c>
      <c r="N962" s="146" t="s">
        <v>3708</v>
      </c>
      <c r="O962" s="108"/>
      <c r="P962" s="107">
        <v>27700</v>
      </c>
      <c r="Q962" s="107">
        <v>7590.9</v>
      </c>
      <c r="R962" s="129">
        <v>0</v>
      </c>
      <c r="S962" s="130"/>
      <c r="T962" s="107">
        <v>20109</v>
      </c>
      <c r="U962" s="93">
        <v>43612</v>
      </c>
      <c r="V962" s="128"/>
      <c r="W962" s="214"/>
    </row>
    <row r="963" s="43" customFormat="1" ht="22" customHeight="1" spans="1:23">
      <c r="A963" s="142" t="s">
        <v>3709</v>
      </c>
      <c r="B963" s="174" t="s">
        <v>3596</v>
      </c>
      <c r="C963" s="175"/>
      <c r="D963" s="45" t="s">
        <v>31</v>
      </c>
      <c r="E963" s="144" t="s">
        <v>3710</v>
      </c>
      <c r="F963" s="82">
        <f>IFERROR(VLOOKUP(E963,客户!B:C,2,FALSE),"/")</f>
        <v>0</v>
      </c>
      <c r="G963" s="145" t="s">
        <v>3711</v>
      </c>
      <c r="H963" s="190" t="s">
        <v>147</v>
      </c>
      <c r="I963" s="332" t="s">
        <v>215</v>
      </c>
      <c r="J963" s="110">
        <v>43540</v>
      </c>
      <c r="K963" s="93">
        <v>43573</v>
      </c>
      <c r="L963" s="93"/>
      <c r="M963" s="146" t="s">
        <v>3712</v>
      </c>
      <c r="N963" s="146" t="s">
        <v>3713</v>
      </c>
      <c r="O963" s="108"/>
      <c r="P963" s="240">
        <v>116480</v>
      </c>
      <c r="Q963" s="240">
        <v>35000</v>
      </c>
      <c r="R963" s="345">
        <v>0</v>
      </c>
      <c r="S963" s="346"/>
      <c r="T963" s="107">
        <v>81480</v>
      </c>
      <c r="U963" s="93">
        <v>43584</v>
      </c>
      <c r="V963" s="128"/>
      <c r="W963" s="214"/>
    </row>
    <row r="964" s="43" customFormat="1" ht="22" customHeight="1" spans="1:23">
      <c r="A964" s="142" t="s">
        <v>3714</v>
      </c>
      <c r="B964" s="174" t="s">
        <v>3596</v>
      </c>
      <c r="C964" s="175"/>
      <c r="D964" s="45" t="s">
        <v>31</v>
      </c>
      <c r="E964" s="144" t="s">
        <v>3715</v>
      </c>
      <c r="F964" s="82">
        <f>IFERROR(VLOOKUP(E964,客户!B:C,2,FALSE),"/")</f>
        <v>0</v>
      </c>
      <c r="G964" s="145" t="s">
        <v>3711</v>
      </c>
      <c r="H964" s="145" t="s">
        <v>123</v>
      </c>
      <c r="I964" s="145" t="s">
        <v>3671</v>
      </c>
      <c r="J964" s="110">
        <v>43553</v>
      </c>
      <c r="K964" s="93">
        <v>43576</v>
      </c>
      <c r="L964" s="93"/>
      <c r="M964" s="146" t="s">
        <v>3716</v>
      </c>
      <c r="N964" s="146" t="s">
        <v>3717</v>
      </c>
      <c r="O964" s="108"/>
      <c r="P964" s="107">
        <v>20976.6</v>
      </c>
      <c r="Q964" s="107"/>
      <c r="R964" s="129">
        <v>0</v>
      </c>
      <c r="S964" s="130"/>
      <c r="T964" s="107">
        <v>20940</v>
      </c>
      <c r="U964" s="93">
        <v>43572</v>
      </c>
      <c r="V964" s="128"/>
      <c r="W964" s="214"/>
    </row>
    <row r="965" s="43" customFormat="1" ht="22" customHeight="1" spans="1:23">
      <c r="A965" s="142" t="s">
        <v>3718</v>
      </c>
      <c r="B965" s="174" t="s">
        <v>3596</v>
      </c>
      <c r="C965" s="175"/>
      <c r="D965" s="45" t="s">
        <v>31</v>
      </c>
      <c r="E965" s="144" t="s">
        <v>3719</v>
      </c>
      <c r="F965" s="82">
        <f>IFERROR(VLOOKUP(E965,客户!B:C,2,FALSE),"/")</f>
        <v>0</v>
      </c>
      <c r="G965" s="145" t="s">
        <v>3720</v>
      </c>
      <c r="H965" s="145" t="s">
        <v>123</v>
      </c>
      <c r="I965" s="145" t="s">
        <v>711</v>
      </c>
      <c r="J965" s="110">
        <v>43600</v>
      </c>
      <c r="K965" s="93"/>
      <c r="L965" s="201"/>
      <c r="M965" s="146"/>
      <c r="N965" s="146"/>
      <c r="O965" s="108"/>
      <c r="P965" s="107">
        <v>6658</v>
      </c>
      <c r="Q965" s="107"/>
      <c r="R965" s="129"/>
      <c r="S965" s="130"/>
      <c r="T965" s="107"/>
      <c r="U965" s="93"/>
      <c r="V965" s="128"/>
      <c r="W965" s="214"/>
    </row>
    <row r="966" s="43" customFormat="1" ht="22" customHeight="1" spans="1:23">
      <c r="A966" s="142" t="s">
        <v>3721</v>
      </c>
      <c r="B966" s="174" t="s">
        <v>3596</v>
      </c>
      <c r="C966" s="175"/>
      <c r="D966" s="45" t="s">
        <v>31</v>
      </c>
      <c r="E966" s="144" t="s">
        <v>3715</v>
      </c>
      <c r="F966" s="82">
        <f>IFERROR(VLOOKUP(E966,客户!B:C,2,FALSE),"/")</f>
        <v>0</v>
      </c>
      <c r="G966" s="145" t="s">
        <v>3722</v>
      </c>
      <c r="H966" s="145" t="s">
        <v>123</v>
      </c>
      <c r="I966" s="145" t="s">
        <v>3671</v>
      </c>
      <c r="J966" s="110">
        <v>43601</v>
      </c>
      <c r="K966" s="93">
        <v>43623</v>
      </c>
      <c r="L966" s="201"/>
      <c r="M966" s="146"/>
      <c r="N966" s="146"/>
      <c r="O966" s="108"/>
      <c r="P966" s="107" t="s">
        <v>3613</v>
      </c>
      <c r="Q966" s="107"/>
      <c r="R966" s="129"/>
      <c r="S966" s="130"/>
      <c r="T966" s="107"/>
      <c r="U966" s="93"/>
      <c r="V966" s="128"/>
      <c r="W966" s="214"/>
    </row>
    <row r="967" s="43" customFormat="1" ht="22" customHeight="1" spans="1:23">
      <c r="A967" s="142" t="s">
        <v>3723</v>
      </c>
      <c r="B967" s="174" t="s">
        <v>3596</v>
      </c>
      <c r="C967" s="175"/>
      <c r="D967" s="45" t="s">
        <v>31</v>
      </c>
      <c r="E967" s="144" t="s">
        <v>3724</v>
      </c>
      <c r="F967" s="82">
        <f>IFERROR(VLOOKUP(E967,客户!B:C,2,FALSE),"/")</f>
        <v>0</v>
      </c>
      <c r="G967" s="145" t="s">
        <v>3725</v>
      </c>
      <c r="H967" s="145" t="s">
        <v>123</v>
      </c>
      <c r="I967" s="314" t="s">
        <v>3726</v>
      </c>
      <c r="J967" s="110">
        <v>43536</v>
      </c>
      <c r="K967" s="93">
        <v>43575</v>
      </c>
      <c r="L967" s="93">
        <v>43621</v>
      </c>
      <c r="M967" s="146" t="s">
        <v>3707</v>
      </c>
      <c r="N967" s="146" t="s">
        <v>3727</v>
      </c>
      <c r="O967" s="108"/>
      <c r="P967" s="107">
        <v>36306.7</v>
      </c>
      <c r="Q967" s="107">
        <v>6668.68</v>
      </c>
      <c r="R967" s="129"/>
      <c r="S967" s="130"/>
      <c r="T967" s="107">
        <v>29638</v>
      </c>
      <c r="U967" s="93"/>
      <c r="V967" s="128"/>
      <c r="W967" s="214"/>
    </row>
    <row r="968" s="43" customFormat="1" ht="22" customHeight="1" spans="1:23">
      <c r="A968" s="142" t="s">
        <v>3728</v>
      </c>
      <c r="B968" s="174" t="s">
        <v>3596</v>
      </c>
      <c r="C968" s="175"/>
      <c r="D968" s="45" t="s">
        <v>31</v>
      </c>
      <c r="E968" s="144" t="s">
        <v>3729</v>
      </c>
      <c r="F968" s="82" t="str">
        <f>IFERROR(VLOOKUP(E968,客户!B:C,2,FALSE),"/")</f>
        <v>/</v>
      </c>
      <c r="G968" s="145" t="s">
        <v>3730</v>
      </c>
      <c r="H968" s="190" t="s">
        <v>147</v>
      </c>
      <c r="I968" s="314" t="s">
        <v>3731</v>
      </c>
      <c r="J968" s="110">
        <v>43584</v>
      </c>
      <c r="K968" s="93"/>
      <c r="L968" s="94"/>
      <c r="M968" s="146"/>
      <c r="N968" s="146"/>
      <c r="O968" s="108"/>
      <c r="P968" s="107"/>
      <c r="Q968" s="107">
        <v>13300</v>
      </c>
      <c r="R968" s="129"/>
      <c r="S968" s="130"/>
      <c r="T968" s="107"/>
      <c r="U968" s="93"/>
      <c r="V968" s="128"/>
      <c r="W968" s="214"/>
    </row>
    <row r="969" s="43" customFormat="1" ht="22" customHeight="1" spans="1:23">
      <c r="A969" s="142" t="s">
        <v>3732</v>
      </c>
      <c r="B969" s="174" t="s">
        <v>3596</v>
      </c>
      <c r="C969" s="175"/>
      <c r="D969" s="45" t="s">
        <v>31</v>
      </c>
      <c r="E969" s="324" t="s">
        <v>3733</v>
      </c>
      <c r="F969" s="82">
        <f>IFERROR(VLOOKUP(E969,客户!B:C,2,FALSE),"/")</f>
        <v>0</v>
      </c>
      <c r="G969" s="145" t="s">
        <v>3734</v>
      </c>
      <c r="H969" s="145" t="s">
        <v>123</v>
      </c>
      <c r="I969" s="314" t="s">
        <v>3735</v>
      </c>
      <c r="J969" s="110">
        <v>43724</v>
      </c>
      <c r="K969" s="93">
        <v>43787</v>
      </c>
      <c r="L969" s="93">
        <v>43813</v>
      </c>
      <c r="M969" s="146" t="s">
        <v>3736</v>
      </c>
      <c r="N969" s="146" t="s">
        <v>3737</v>
      </c>
      <c r="O969" s="108" t="s">
        <v>523</v>
      </c>
      <c r="P969" s="107">
        <v>21983</v>
      </c>
      <c r="Q969" s="107">
        <v>6594.9</v>
      </c>
      <c r="R969" s="129"/>
      <c r="S969" s="130"/>
      <c r="T969" s="107" t="s">
        <v>3738</v>
      </c>
      <c r="U969" s="93">
        <v>43811</v>
      </c>
      <c r="V969" s="128"/>
      <c r="W969" s="214"/>
    </row>
    <row r="970" s="43" customFormat="1" ht="22" customHeight="1" spans="1:23">
      <c r="A970" s="142" t="s">
        <v>3739</v>
      </c>
      <c r="B970" s="174" t="s">
        <v>3596</v>
      </c>
      <c r="C970" s="175"/>
      <c r="D970" s="45" t="s">
        <v>3</v>
      </c>
      <c r="E970" s="83" t="s">
        <v>3740</v>
      </c>
      <c r="F970" s="82">
        <f>IFERROR(VLOOKUP(E970,客户!B:C,2,FALSE),"/")</f>
        <v>0</v>
      </c>
      <c r="G970" s="145" t="s">
        <v>3741</v>
      </c>
      <c r="H970" s="145" t="s">
        <v>3742</v>
      </c>
      <c r="I970" s="314"/>
      <c r="J970" s="110">
        <v>43789</v>
      </c>
      <c r="K970" s="93"/>
      <c r="L970" s="94"/>
      <c r="M970" s="165" t="s">
        <v>3743</v>
      </c>
      <c r="N970" s="146"/>
      <c r="O970" s="108"/>
      <c r="P970" s="107">
        <v>121409.75</v>
      </c>
      <c r="Q970" s="107" t="s">
        <v>3744</v>
      </c>
      <c r="R970" s="129"/>
      <c r="S970" s="130"/>
      <c r="T970" s="107"/>
      <c r="U970" s="93"/>
      <c r="V970" s="128"/>
      <c r="W970" s="214"/>
    </row>
    <row r="971" s="43" customFormat="1" ht="22" customHeight="1" spans="1:23">
      <c r="A971" s="142" t="s">
        <v>3745</v>
      </c>
      <c r="B971" s="174" t="s">
        <v>3596</v>
      </c>
      <c r="C971" s="175"/>
      <c r="D971" s="45" t="s">
        <v>31</v>
      </c>
      <c r="E971" s="144" t="s">
        <v>3746</v>
      </c>
      <c r="F971" s="82">
        <f>IFERROR(VLOOKUP(E971,客户!B:C,2,FALSE),"/")</f>
        <v>0</v>
      </c>
      <c r="G971" s="145" t="s">
        <v>3747</v>
      </c>
      <c r="H971" s="145" t="s">
        <v>123</v>
      </c>
      <c r="I971" s="314" t="s">
        <v>3748</v>
      </c>
      <c r="J971" s="110">
        <v>43776</v>
      </c>
      <c r="K971" s="93">
        <v>43852</v>
      </c>
      <c r="L971" s="93">
        <v>43898</v>
      </c>
      <c r="M971" s="146" t="s">
        <v>3749</v>
      </c>
      <c r="N971" s="146" t="s">
        <v>3750</v>
      </c>
      <c r="O971" s="108" t="s">
        <v>523</v>
      </c>
      <c r="P971" s="107">
        <v>39207.87</v>
      </c>
      <c r="Q971" s="107">
        <v>10895.25</v>
      </c>
      <c r="R971" s="129"/>
      <c r="S971" s="130"/>
      <c r="T971" s="107">
        <v>28261.12</v>
      </c>
      <c r="U971" s="93">
        <v>43867</v>
      </c>
      <c r="V971" s="128"/>
      <c r="W971" s="214"/>
    </row>
    <row r="972" s="40" customFormat="1" ht="22" customHeight="1" spans="1:23">
      <c r="A972" s="142" t="s">
        <v>3751</v>
      </c>
      <c r="B972" s="174" t="s">
        <v>3596</v>
      </c>
      <c r="C972" s="175"/>
      <c r="D972" s="45" t="s">
        <v>31</v>
      </c>
      <c r="E972" s="73" t="s">
        <v>3629</v>
      </c>
      <c r="F972" s="82">
        <f>IFERROR(VLOOKUP(E972,客户!B:C,2,FALSE),"/")</f>
        <v>0</v>
      </c>
      <c r="G972" s="45" t="s">
        <v>1599</v>
      </c>
      <c r="H972" s="45" t="s">
        <v>123</v>
      </c>
      <c r="I972" s="45" t="s">
        <v>3752</v>
      </c>
      <c r="J972" s="157">
        <v>43781</v>
      </c>
      <c r="K972" s="93">
        <v>43809</v>
      </c>
      <c r="L972" s="201"/>
      <c r="M972" s="154" t="s">
        <v>3753</v>
      </c>
      <c r="N972" s="145" t="s">
        <v>3754</v>
      </c>
      <c r="O972" s="108" t="s">
        <v>970</v>
      </c>
      <c r="P972" s="107">
        <v>18693.2</v>
      </c>
      <c r="Q972" s="107"/>
      <c r="R972" s="129"/>
      <c r="S972" s="130"/>
      <c r="T972" s="107">
        <v>18676.2</v>
      </c>
      <c r="U972" s="93" t="s">
        <v>3755</v>
      </c>
      <c r="V972" s="107"/>
      <c r="W972" s="45"/>
    </row>
    <row r="973" s="40" customFormat="1" ht="22" customHeight="1" spans="1:23">
      <c r="A973" s="142" t="s">
        <v>3756</v>
      </c>
      <c r="B973" s="174" t="s">
        <v>3596</v>
      </c>
      <c r="C973" s="175"/>
      <c r="D973" s="45" t="s">
        <v>31</v>
      </c>
      <c r="E973" s="83" t="s">
        <v>3757</v>
      </c>
      <c r="F973" s="82">
        <f>IFERROR(VLOOKUP(E973,客户!B:C,2,FALSE),"/")</f>
        <v>0</v>
      </c>
      <c r="G973" s="45" t="s">
        <v>3758</v>
      </c>
      <c r="H973" s="45" t="s">
        <v>123</v>
      </c>
      <c r="I973" s="45" t="s">
        <v>3759</v>
      </c>
      <c r="J973" s="157">
        <v>43785</v>
      </c>
      <c r="K973" s="93">
        <v>43827</v>
      </c>
      <c r="L973" s="93">
        <v>43876</v>
      </c>
      <c r="M973" s="145" t="s">
        <v>3760</v>
      </c>
      <c r="N973" s="145" t="s">
        <v>3761</v>
      </c>
      <c r="O973" s="108" t="s">
        <v>523</v>
      </c>
      <c r="P973" s="107">
        <v>20678.06</v>
      </c>
      <c r="Q973" s="107">
        <v>7352.43</v>
      </c>
      <c r="R973" s="129"/>
      <c r="S973" s="130"/>
      <c r="T973" s="107">
        <v>13325.63</v>
      </c>
      <c r="U973" s="93">
        <v>43847</v>
      </c>
      <c r="V973" s="107"/>
      <c r="W973" s="45"/>
    </row>
    <row r="974" s="43" customFormat="1" ht="22" customHeight="1" spans="1:23">
      <c r="A974" s="142" t="s">
        <v>3762</v>
      </c>
      <c r="B974" s="174" t="s">
        <v>3596</v>
      </c>
      <c r="C974" s="175"/>
      <c r="D974" s="45" t="s">
        <v>31</v>
      </c>
      <c r="E974" s="83" t="s">
        <v>3763</v>
      </c>
      <c r="F974" s="82">
        <f>IFERROR(VLOOKUP(E974,客户!B:C,2,FALSE),"/")</f>
        <v>0</v>
      </c>
      <c r="G974" s="145" t="s">
        <v>3764</v>
      </c>
      <c r="H974" s="145" t="s">
        <v>123</v>
      </c>
      <c r="I974" s="314" t="s">
        <v>3765</v>
      </c>
      <c r="J974" s="110">
        <v>43789</v>
      </c>
      <c r="K974" s="93">
        <v>43849</v>
      </c>
      <c r="L974" s="93">
        <v>43887</v>
      </c>
      <c r="M974" s="165" t="s">
        <v>3766</v>
      </c>
      <c r="N974" s="146"/>
      <c r="O974" s="108" t="s">
        <v>970</v>
      </c>
      <c r="P974" s="107">
        <v>10358</v>
      </c>
      <c r="Q974" s="107" t="s">
        <v>3767</v>
      </c>
      <c r="R974" s="129"/>
      <c r="S974" s="130"/>
      <c r="T974" s="107" t="s">
        <v>3768</v>
      </c>
      <c r="U974" s="93">
        <v>43830</v>
      </c>
      <c r="V974" s="218" t="s">
        <v>3769</v>
      </c>
      <c r="W974" s="214"/>
    </row>
    <row r="975" s="43" customFormat="1" ht="22" customHeight="1" spans="1:23">
      <c r="A975" s="142" t="s">
        <v>3770</v>
      </c>
      <c r="B975" s="174" t="s">
        <v>3596</v>
      </c>
      <c r="C975" s="175"/>
      <c r="D975" s="45" t="s">
        <v>31</v>
      </c>
      <c r="E975" s="83" t="s">
        <v>3771</v>
      </c>
      <c r="F975" s="82">
        <f>IFERROR(VLOOKUP(E975,客户!B:C,2,FALSE),"/")</f>
        <v>0</v>
      </c>
      <c r="G975" s="145" t="s">
        <v>3772</v>
      </c>
      <c r="H975" s="145" t="s">
        <v>123</v>
      </c>
      <c r="I975" s="314"/>
      <c r="J975" s="110">
        <v>43790</v>
      </c>
      <c r="K975" s="93">
        <v>43840</v>
      </c>
      <c r="L975" s="94"/>
      <c r="M975" s="165" t="s">
        <v>3773</v>
      </c>
      <c r="N975" s="146" t="s">
        <v>3774</v>
      </c>
      <c r="O975" s="108" t="s">
        <v>970</v>
      </c>
      <c r="P975" s="107">
        <v>18624.23</v>
      </c>
      <c r="Q975" s="107">
        <v>5838.08</v>
      </c>
      <c r="R975" s="129"/>
      <c r="S975" s="130"/>
      <c r="T975" s="107">
        <v>13572.37</v>
      </c>
      <c r="U975" s="93">
        <v>43826</v>
      </c>
      <c r="V975" s="128"/>
      <c r="W975" s="214"/>
    </row>
    <row r="976" s="40" customFormat="1" ht="22" customHeight="1" spans="1:23">
      <c r="A976" s="142" t="s">
        <v>3775</v>
      </c>
      <c r="B976" s="174" t="s">
        <v>3596</v>
      </c>
      <c r="C976" s="175"/>
      <c r="D976" s="45" t="s">
        <v>31</v>
      </c>
      <c r="E976" s="45" t="s">
        <v>3776</v>
      </c>
      <c r="F976" s="82">
        <f>IFERROR(VLOOKUP(E976,客户!B:C,2,FALSE),"/")</f>
        <v>0</v>
      </c>
      <c r="G976" s="45" t="s">
        <v>3777</v>
      </c>
      <c r="H976" s="45" t="s">
        <v>123</v>
      </c>
      <c r="I976" s="45" t="s">
        <v>3778</v>
      </c>
      <c r="J976" s="157">
        <v>43809</v>
      </c>
      <c r="K976" s="93">
        <v>43841</v>
      </c>
      <c r="L976" s="201"/>
      <c r="M976" s="156" t="s">
        <v>3779</v>
      </c>
      <c r="N976" s="145" t="s">
        <v>3780</v>
      </c>
      <c r="O976" s="145" t="s">
        <v>523</v>
      </c>
      <c r="P976" s="107">
        <v>21839.9</v>
      </c>
      <c r="Q976" s="107">
        <v>6202</v>
      </c>
      <c r="R976" s="129"/>
      <c r="S976" s="130"/>
      <c r="T976" s="107">
        <v>15595.4</v>
      </c>
      <c r="U976" s="93">
        <v>43843</v>
      </c>
      <c r="V976" s="107"/>
      <c r="W976" s="45"/>
    </row>
    <row r="977" s="40" customFormat="1" ht="22" customHeight="1" spans="1:23">
      <c r="A977" s="142" t="s">
        <v>3781</v>
      </c>
      <c r="B977" s="174" t="s">
        <v>3596</v>
      </c>
      <c r="C977" s="175"/>
      <c r="D977" s="45" t="s">
        <v>31</v>
      </c>
      <c r="E977" s="83" t="s">
        <v>3782</v>
      </c>
      <c r="F977" s="82">
        <f>IFERROR(VLOOKUP(E977,客户!B:C,2,FALSE),"/")</f>
        <v>0</v>
      </c>
      <c r="G977" s="45" t="s">
        <v>3783</v>
      </c>
      <c r="H977" s="45" t="s">
        <v>123</v>
      </c>
      <c r="I977" s="45" t="s">
        <v>3784</v>
      </c>
      <c r="J977" s="157">
        <v>43815</v>
      </c>
      <c r="K977" s="93">
        <v>43911</v>
      </c>
      <c r="L977" s="196">
        <v>43959</v>
      </c>
      <c r="M977" s="229" t="s">
        <v>3785</v>
      </c>
      <c r="N977" s="339" t="s">
        <v>3786</v>
      </c>
      <c r="O977" s="108" t="s">
        <v>523</v>
      </c>
      <c r="P977" s="107">
        <f>12708+37</f>
        <v>12745</v>
      </c>
      <c r="Q977" s="107">
        <v>2558.7</v>
      </c>
      <c r="R977" s="129"/>
      <c r="S977" s="130"/>
      <c r="T977" s="107">
        <v>10186</v>
      </c>
      <c r="U977" s="93"/>
      <c r="V977" s="247" t="s">
        <v>3787</v>
      </c>
      <c r="W977" s="45"/>
    </row>
    <row r="978" s="40" customFormat="1" ht="22" customHeight="1" spans="1:23">
      <c r="A978" s="142" t="s">
        <v>3788</v>
      </c>
      <c r="B978" s="174" t="s">
        <v>3596</v>
      </c>
      <c r="C978" s="175"/>
      <c r="D978" s="45" t="s">
        <v>31</v>
      </c>
      <c r="E978" s="83" t="s">
        <v>3757</v>
      </c>
      <c r="F978" s="82">
        <f>IFERROR(VLOOKUP(E978,客户!B:C,2,FALSE),"/")</f>
        <v>0</v>
      </c>
      <c r="G978" s="45" t="s">
        <v>3758</v>
      </c>
      <c r="H978" s="45" t="s">
        <v>123</v>
      </c>
      <c r="I978" s="45" t="s">
        <v>3698</v>
      </c>
      <c r="J978" s="157">
        <v>43816</v>
      </c>
      <c r="K978" s="93">
        <v>43846</v>
      </c>
      <c r="L978" s="93">
        <v>43897</v>
      </c>
      <c r="M978" s="229" t="s">
        <v>3789</v>
      </c>
      <c r="N978" s="145" t="s">
        <v>3790</v>
      </c>
      <c r="O978" s="145" t="s">
        <v>523</v>
      </c>
      <c r="P978" s="107">
        <v>18030.03</v>
      </c>
      <c r="Q978" s="107">
        <v>5209.64</v>
      </c>
      <c r="R978" s="129"/>
      <c r="S978" s="130"/>
      <c r="T978" s="107">
        <v>12820.39</v>
      </c>
      <c r="U978" s="93">
        <v>43871</v>
      </c>
      <c r="V978" s="107"/>
      <c r="W978" s="45"/>
    </row>
    <row r="979" s="40" customFormat="1" ht="22" customHeight="1" spans="1:23">
      <c r="A979" s="142" t="s">
        <v>3791</v>
      </c>
      <c r="B979" s="174" t="s">
        <v>3596</v>
      </c>
      <c r="C979" s="175"/>
      <c r="D979" s="45" t="s">
        <v>31</v>
      </c>
      <c r="E979" s="73" t="s">
        <v>3792</v>
      </c>
      <c r="F979" s="82">
        <f>IFERROR(VLOOKUP(E979,客户!B:C,2,FALSE),"/")</f>
        <v>0</v>
      </c>
      <c r="G979" s="45" t="s">
        <v>3793</v>
      </c>
      <c r="H979" s="45" t="s">
        <v>123</v>
      </c>
      <c r="I979" s="45"/>
      <c r="J979" s="157">
        <v>43818</v>
      </c>
      <c r="K979" s="93">
        <v>43840</v>
      </c>
      <c r="L979" s="201"/>
      <c r="M979" s="339" t="s">
        <v>3794</v>
      </c>
      <c r="N979" s="145"/>
      <c r="O979" s="108" t="s">
        <v>970</v>
      </c>
      <c r="P979" s="107" t="s">
        <v>3795</v>
      </c>
      <c r="Q979" s="107" t="s">
        <v>3796</v>
      </c>
      <c r="R979" s="129"/>
      <c r="S979" s="130"/>
      <c r="T979" s="107" t="s">
        <v>3797</v>
      </c>
      <c r="U979" s="93">
        <v>43840</v>
      </c>
      <c r="V979" s="107"/>
      <c r="W979" s="45"/>
    </row>
    <row r="980" s="40" customFormat="1" ht="22" customHeight="1" spans="1:23">
      <c r="A980" s="142" t="s">
        <v>3798</v>
      </c>
      <c r="B980" s="174" t="s">
        <v>3596</v>
      </c>
      <c r="C980" s="175"/>
      <c r="D980" s="45" t="s">
        <v>31</v>
      </c>
      <c r="E980" s="229" t="s">
        <v>3799</v>
      </c>
      <c r="F980" s="82">
        <f>IFERROR(VLOOKUP(E980,客户!B:C,2,FALSE),"/")</f>
        <v>0</v>
      </c>
      <c r="G980" s="45" t="s">
        <v>3800</v>
      </c>
      <c r="H980" s="45" t="s">
        <v>123</v>
      </c>
      <c r="I980" s="45"/>
      <c r="J980" s="157">
        <v>43811</v>
      </c>
      <c r="K980" s="93">
        <v>43903</v>
      </c>
      <c r="L980" s="201"/>
      <c r="M980" s="340" t="s">
        <v>3801</v>
      </c>
      <c r="N980" s="145"/>
      <c r="O980" s="108" t="s">
        <v>970</v>
      </c>
      <c r="P980" s="107" t="s">
        <v>3802</v>
      </c>
      <c r="Q980" s="107" t="s">
        <v>3803</v>
      </c>
      <c r="R980" s="129"/>
      <c r="S980" s="130"/>
      <c r="T980" s="107" t="s">
        <v>3804</v>
      </c>
      <c r="U980" s="93">
        <v>43898</v>
      </c>
      <c r="V980" s="107" t="s">
        <v>3805</v>
      </c>
      <c r="W980" s="45"/>
    </row>
    <row r="981" s="40" customFormat="1" ht="22" customHeight="1" spans="1:23">
      <c r="A981" s="142" t="s">
        <v>3806</v>
      </c>
      <c r="B981" s="174" t="s">
        <v>3596</v>
      </c>
      <c r="C981" s="175"/>
      <c r="D981" s="45" t="s">
        <v>31</v>
      </c>
      <c r="E981" s="83" t="s">
        <v>3771</v>
      </c>
      <c r="F981" s="82">
        <f>IFERROR(VLOOKUP(E981,客户!B:C,2,FALSE),"/")</f>
        <v>0</v>
      </c>
      <c r="G981" s="45" t="s">
        <v>3807</v>
      </c>
      <c r="H981" s="45" t="s">
        <v>123</v>
      </c>
      <c r="I981" s="45" t="s">
        <v>3808</v>
      </c>
      <c r="J981" s="157">
        <v>43845</v>
      </c>
      <c r="K981" s="93">
        <v>44000</v>
      </c>
      <c r="L981" s="201"/>
      <c r="M981" s="341" t="s">
        <v>3809</v>
      </c>
      <c r="N981" s="339" t="s">
        <v>3810</v>
      </c>
      <c r="O981" s="108" t="s">
        <v>970</v>
      </c>
      <c r="P981" s="107">
        <f>24392.97+836.03</f>
        <v>25229</v>
      </c>
      <c r="Q981" s="107">
        <v>5708.66</v>
      </c>
      <c r="R981" s="129"/>
      <c r="S981" s="130"/>
      <c r="T981" s="107">
        <v>19548</v>
      </c>
      <c r="U981" s="93"/>
      <c r="V981" s="247" t="s">
        <v>3811</v>
      </c>
      <c r="W981" s="45"/>
    </row>
    <row r="982" s="40" customFormat="1" ht="22" customHeight="1" spans="1:23">
      <c r="A982" s="142" t="s">
        <v>3812</v>
      </c>
      <c r="B982" s="174" t="s">
        <v>3596</v>
      </c>
      <c r="C982" s="175"/>
      <c r="D982" s="45" t="s">
        <v>31</v>
      </c>
      <c r="E982" s="83" t="s">
        <v>3813</v>
      </c>
      <c r="F982" s="82">
        <f>IFERROR(VLOOKUP(E982,客户!B:C,2,FALSE),"/")</f>
        <v>0</v>
      </c>
      <c r="G982" s="45" t="s">
        <v>941</v>
      </c>
      <c r="H982" s="45" t="s">
        <v>123</v>
      </c>
      <c r="I982" s="45" t="s">
        <v>770</v>
      </c>
      <c r="J982" s="157">
        <v>43851</v>
      </c>
      <c r="K982" s="93">
        <v>43982</v>
      </c>
      <c r="L982" s="93">
        <v>44006</v>
      </c>
      <c r="M982" s="339" t="s">
        <v>3814</v>
      </c>
      <c r="N982" s="339" t="s">
        <v>3815</v>
      </c>
      <c r="O982" s="108" t="s">
        <v>523</v>
      </c>
      <c r="P982" s="107">
        <v>21962.5</v>
      </c>
      <c r="Q982" s="107">
        <f>30750/6.84</f>
        <v>4495.61403508772</v>
      </c>
      <c r="R982" s="129"/>
      <c r="S982" s="130"/>
      <c r="T982" s="107">
        <v>17422</v>
      </c>
      <c r="U982" s="93"/>
      <c r="V982" s="247" t="s">
        <v>3816</v>
      </c>
      <c r="W982" s="45"/>
    </row>
    <row r="983" s="40" customFormat="1" ht="22" customHeight="1" spans="1:23">
      <c r="A983" s="143" t="s">
        <v>3817</v>
      </c>
      <c r="B983" s="174" t="s">
        <v>3596</v>
      </c>
      <c r="C983" s="175"/>
      <c r="D983" s="45" t="s">
        <v>31</v>
      </c>
      <c r="E983" s="73" t="s">
        <v>3629</v>
      </c>
      <c r="F983" s="82">
        <f>IFERROR(VLOOKUP(E983,客户!B:C,2,FALSE),"/")</f>
        <v>0</v>
      </c>
      <c r="G983" s="45" t="s">
        <v>3818</v>
      </c>
      <c r="H983" s="45" t="s">
        <v>123</v>
      </c>
      <c r="I983" s="45" t="s">
        <v>3819</v>
      </c>
      <c r="J983" s="157">
        <v>43879</v>
      </c>
      <c r="K983" s="93">
        <v>44002</v>
      </c>
      <c r="L983" s="201"/>
      <c r="M983" s="339" t="s">
        <v>3820</v>
      </c>
      <c r="N983" s="145"/>
      <c r="O983" s="108" t="s">
        <v>970</v>
      </c>
      <c r="P983" s="107">
        <v>18648</v>
      </c>
      <c r="Q983" s="107"/>
      <c r="R983" s="129"/>
      <c r="S983" s="130"/>
      <c r="T983" s="107">
        <v>18622</v>
      </c>
      <c r="U983" s="93"/>
      <c r="V983" s="350"/>
      <c r="W983" s="45"/>
    </row>
    <row r="984" s="40" customFormat="1" ht="22" customHeight="1" spans="1:23">
      <c r="A984" s="142" t="s">
        <v>3821</v>
      </c>
      <c r="B984" s="174" t="s">
        <v>3596</v>
      </c>
      <c r="C984" s="175"/>
      <c r="D984" s="45" t="s">
        <v>31</v>
      </c>
      <c r="E984" s="73" t="s">
        <v>3629</v>
      </c>
      <c r="F984" s="82">
        <f>IFERROR(VLOOKUP(E984,客户!B:C,2,FALSE),"/")</f>
        <v>0</v>
      </c>
      <c r="G984" s="45" t="s">
        <v>3818</v>
      </c>
      <c r="H984" s="45" t="s">
        <v>123</v>
      </c>
      <c r="I984" s="45" t="s">
        <v>3819</v>
      </c>
      <c r="J984" s="157">
        <v>43879</v>
      </c>
      <c r="K984" s="93">
        <v>43992</v>
      </c>
      <c r="L984" s="201"/>
      <c r="M984" s="339" t="s">
        <v>3822</v>
      </c>
      <c r="N984" s="339" t="s">
        <v>3823</v>
      </c>
      <c r="O984" s="108" t="s">
        <v>970</v>
      </c>
      <c r="P984" s="107">
        <v>18834.4</v>
      </c>
      <c r="Q984" s="107"/>
      <c r="R984" s="129"/>
      <c r="S984" s="130"/>
      <c r="T984" s="107">
        <v>18808.4</v>
      </c>
      <c r="U984" s="93"/>
      <c r="V984" s="107"/>
      <c r="W984" s="45"/>
    </row>
    <row r="985" s="40" customFormat="1" ht="22" customHeight="1" spans="1:23">
      <c r="A985" s="142" t="s">
        <v>3824</v>
      </c>
      <c r="B985" s="174" t="s">
        <v>3596</v>
      </c>
      <c r="C985" s="175"/>
      <c r="D985" s="45" t="s">
        <v>31</v>
      </c>
      <c r="E985" s="83" t="s">
        <v>3825</v>
      </c>
      <c r="F985" s="82">
        <f>IFERROR(VLOOKUP(E985,客户!B:C,2,FALSE),"/")</f>
        <v>0</v>
      </c>
      <c r="G985" s="45" t="s">
        <v>3818</v>
      </c>
      <c r="H985" s="45" t="s">
        <v>123</v>
      </c>
      <c r="I985" s="45" t="s">
        <v>3819</v>
      </c>
      <c r="J985" s="157">
        <v>43879</v>
      </c>
      <c r="K985" s="93">
        <v>43972</v>
      </c>
      <c r="L985" s="201"/>
      <c r="M985" s="339"/>
      <c r="N985" s="339" t="s">
        <v>3754</v>
      </c>
      <c r="O985" s="108" t="s">
        <v>970</v>
      </c>
      <c r="P985" s="107">
        <v>19349</v>
      </c>
      <c r="Q985" s="107">
        <f>10000/7.088</f>
        <v>1410.83521444695</v>
      </c>
      <c r="R985" s="129"/>
      <c r="S985" s="130"/>
      <c r="T985" s="107">
        <v>17921</v>
      </c>
      <c r="U985" s="93"/>
      <c r="V985" s="247"/>
      <c r="W985" s="45"/>
    </row>
    <row r="986" s="43" customFormat="1" ht="19" customHeight="1" spans="1:23">
      <c r="A986" s="142" t="s">
        <v>3826</v>
      </c>
      <c r="B986" s="174" t="s">
        <v>3596</v>
      </c>
      <c r="C986" s="175"/>
      <c r="D986" s="45" t="s">
        <v>31</v>
      </c>
      <c r="E986" s="83" t="s">
        <v>3827</v>
      </c>
      <c r="F986" s="82">
        <f>IFERROR(VLOOKUP(E986,客户!B:C,2,FALSE),"/")</f>
        <v>0</v>
      </c>
      <c r="G986" s="45" t="s">
        <v>941</v>
      </c>
      <c r="H986" s="145" t="s">
        <v>123</v>
      </c>
      <c r="I986" s="110" t="s">
        <v>3828</v>
      </c>
      <c r="J986" s="110">
        <v>43894</v>
      </c>
      <c r="K986" s="93">
        <v>43998</v>
      </c>
      <c r="L986" s="93">
        <v>44039</v>
      </c>
      <c r="M986" s="342" t="s">
        <v>3829</v>
      </c>
      <c r="N986" s="247" t="s">
        <v>3830</v>
      </c>
      <c r="O986" s="108" t="s">
        <v>523</v>
      </c>
      <c r="P986" s="235">
        <v>19400.63</v>
      </c>
      <c r="Q986" s="107">
        <v>6312.74</v>
      </c>
      <c r="R986" s="129">
        <f>P986-Q986</f>
        <v>13087.89</v>
      </c>
      <c r="S986" s="130"/>
      <c r="T986" s="107">
        <v>13065.89</v>
      </c>
      <c r="U986" s="93"/>
      <c r="V986" s="107"/>
      <c r="W986" s="214"/>
    </row>
    <row r="987" s="40" customFormat="1" ht="22" customHeight="1" spans="1:23">
      <c r="A987" s="142" t="s">
        <v>3831</v>
      </c>
      <c r="B987" s="174" t="s">
        <v>3596</v>
      </c>
      <c r="C987" s="175"/>
      <c r="D987" s="45" t="s">
        <v>31</v>
      </c>
      <c r="E987" s="83" t="s">
        <v>3832</v>
      </c>
      <c r="F987" s="82">
        <f>IFERROR(VLOOKUP(E987,客户!B:C,2,FALSE),"/")</f>
        <v>0</v>
      </c>
      <c r="G987" s="45" t="s">
        <v>3833</v>
      </c>
      <c r="H987" s="45" t="s">
        <v>123</v>
      </c>
      <c r="I987" s="45" t="s">
        <v>3834</v>
      </c>
      <c r="J987" s="157">
        <v>43895</v>
      </c>
      <c r="K987" s="93">
        <v>43995</v>
      </c>
      <c r="L987" s="93">
        <v>44043</v>
      </c>
      <c r="M987" s="156" t="s">
        <v>3835</v>
      </c>
      <c r="N987" s="343" t="s">
        <v>3836</v>
      </c>
      <c r="O987" s="108" t="s">
        <v>523</v>
      </c>
      <c r="P987" s="107">
        <v>21723.32</v>
      </c>
      <c r="Q987" s="107">
        <v>4000</v>
      </c>
      <c r="R987" s="129"/>
      <c r="S987" s="130"/>
      <c r="T987" s="107">
        <v>17698.32</v>
      </c>
      <c r="U987" s="93"/>
      <c r="V987" s="247" t="s">
        <v>3837</v>
      </c>
      <c r="W987" s="45"/>
    </row>
    <row r="988" s="40" customFormat="1" ht="22" customHeight="1" spans="1:23">
      <c r="A988" s="220" t="s">
        <v>3838</v>
      </c>
      <c r="B988" s="174" t="s">
        <v>3596</v>
      </c>
      <c r="C988" s="175"/>
      <c r="D988" s="45" t="s">
        <v>31</v>
      </c>
      <c r="E988" s="83" t="s">
        <v>3839</v>
      </c>
      <c r="F988" s="82">
        <f>IFERROR(VLOOKUP(E988,客户!B:C,2,FALSE),"/")</f>
        <v>0</v>
      </c>
      <c r="G988" s="45" t="s">
        <v>2324</v>
      </c>
      <c r="H988" s="45" t="s">
        <v>123</v>
      </c>
      <c r="I988" s="45" t="s">
        <v>3840</v>
      </c>
      <c r="J988" s="157">
        <v>43895</v>
      </c>
      <c r="K988" s="93">
        <v>44066</v>
      </c>
      <c r="L988" s="93">
        <v>44093</v>
      </c>
      <c r="M988" s="45" t="s">
        <v>3841</v>
      </c>
      <c r="N988" s="339" t="s">
        <v>3842</v>
      </c>
      <c r="O988" s="108" t="s">
        <v>523</v>
      </c>
      <c r="P988" s="107">
        <v>16333</v>
      </c>
      <c r="Q988" s="107">
        <f>22700/6.92</f>
        <v>3280.34682080925</v>
      </c>
      <c r="R988" s="129"/>
      <c r="S988" s="130"/>
      <c r="T988" s="107">
        <v>13066.4</v>
      </c>
      <c r="U988" s="93"/>
      <c r="V988" s="247" t="s">
        <v>3843</v>
      </c>
      <c r="W988" s="45"/>
    </row>
    <row r="989" s="40" customFormat="1" ht="22" customHeight="1" spans="1:23">
      <c r="A989" s="142" t="s">
        <v>3844</v>
      </c>
      <c r="B989" s="174" t="s">
        <v>3596</v>
      </c>
      <c r="C989" s="175"/>
      <c r="D989" s="45" t="s">
        <v>31</v>
      </c>
      <c r="E989" s="83" t="s">
        <v>3813</v>
      </c>
      <c r="F989" s="82">
        <f>IFERROR(VLOOKUP(E989,客户!B:C,2,FALSE),"/")</f>
        <v>0</v>
      </c>
      <c r="G989" s="45" t="s">
        <v>2324</v>
      </c>
      <c r="H989" s="45" t="s">
        <v>123</v>
      </c>
      <c r="I989" s="45" t="s">
        <v>770</v>
      </c>
      <c r="J989" s="157">
        <v>43899</v>
      </c>
      <c r="K989" s="93">
        <v>44059</v>
      </c>
      <c r="L989" s="93">
        <v>44079</v>
      </c>
      <c r="M989" s="229" t="s">
        <v>3845</v>
      </c>
      <c r="N989" s="339" t="s">
        <v>3815</v>
      </c>
      <c r="O989" s="108" t="s">
        <v>523</v>
      </c>
      <c r="P989" s="107">
        <v>16370.78</v>
      </c>
      <c r="Q989" s="107">
        <v>5282.25</v>
      </c>
      <c r="R989" s="129"/>
      <c r="S989" s="130"/>
      <c r="T989" s="107">
        <v>11088.53</v>
      </c>
      <c r="U989" s="93"/>
      <c r="V989" s="107"/>
      <c r="W989" s="45"/>
    </row>
    <row r="990" s="40" customFormat="1" ht="22" customHeight="1" spans="1:23">
      <c r="A990" s="142" t="s">
        <v>3846</v>
      </c>
      <c r="B990" s="174" t="s">
        <v>3596</v>
      </c>
      <c r="C990" s="175"/>
      <c r="D990" s="45" t="s">
        <v>31</v>
      </c>
      <c r="E990" s="83" t="s">
        <v>3847</v>
      </c>
      <c r="F990" s="82">
        <f>IFERROR(VLOOKUP(E990,客户!B:C,2,FALSE),"/")</f>
        <v>0</v>
      </c>
      <c r="G990" s="45" t="s">
        <v>3848</v>
      </c>
      <c r="H990" s="45" t="s">
        <v>123</v>
      </c>
      <c r="I990" s="45" t="s">
        <v>3849</v>
      </c>
      <c r="J990" s="157">
        <v>43908</v>
      </c>
      <c r="K990" s="93">
        <v>44005</v>
      </c>
      <c r="L990" s="93">
        <v>44030</v>
      </c>
      <c r="M990" s="156" t="s">
        <v>3850</v>
      </c>
      <c r="N990" s="339" t="s">
        <v>3851</v>
      </c>
      <c r="O990" s="108" t="s">
        <v>523</v>
      </c>
      <c r="P990" s="107">
        <v>36690.42</v>
      </c>
      <c r="Q990" s="107">
        <v>11357</v>
      </c>
      <c r="R990" s="129"/>
      <c r="S990" s="130"/>
      <c r="T990" s="107">
        <v>25263</v>
      </c>
      <c r="U990" s="93"/>
      <c r="V990" s="247" t="s">
        <v>3852</v>
      </c>
      <c r="W990" s="45"/>
    </row>
    <row r="991" s="40" customFormat="1" ht="22" customHeight="1" spans="1:23">
      <c r="A991" s="142" t="s">
        <v>3853</v>
      </c>
      <c r="B991" s="174" t="s">
        <v>3596</v>
      </c>
      <c r="C991" s="175"/>
      <c r="D991" s="45" t="s">
        <v>31</v>
      </c>
      <c r="E991" s="83" t="s">
        <v>3847</v>
      </c>
      <c r="F991" s="82">
        <f>IFERROR(VLOOKUP(E991,客户!B:C,2,FALSE),"/")</f>
        <v>0</v>
      </c>
      <c r="G991" s="45" t="s">
        <v>3854</v>
      </c>
      <c r="H991" s="45" t="s">
        <v>123</v>
      </c>
      <c r="I991" s="45" t="s">
        <v>3849</v>
      </c>
      <c r="J991" s="157">
        <v>43908</v>
      </c>
      <c r="K991" s="93">
        <v>43943</v>
      </c>
      <c r="L991" s="93">
        <v>43964</v>
      </c>
      <c r="M991" s="229" t="s">
        <v>3855</v>
      </c>
      <c r="N991" s="339" t="s">
        <v>3856</v>
      </c>
      <c r="O991" s="108" t="s">
        <v>523</v>
      </c>
      <c r="P991" s="107">
        <v>45158.4</v>
      </c>
      <c r="Q991" s="107">
        <v>12800</v>
      </c>
      <c r="R991" s="129"/>
      <c r="S991" s="130"/>
      <c r="T991" s="107">
        <v>32315.7</v>
      </c>
      <c r="U991" s="93"/>
      <c r="V991" s="247" t="s">
        <v>3857</v>
      </c>
      <c r="W991" s="45"/>
    </row>
    <row r="992" s="40" customFormat="1" ht="22" customHeight="1" spans="1:23">
      <c r="A992" s="142" t="s">
        <v>3858</v>
      </c>
      <c r="B992" s="174" t="s">
        <v>3596</v>
      </c>
      <c r="C992" s="175"/>
      <c r="D992" s="45" t="s">
        <v>31</v>
      </c>
      <c r="E992" s="83" t="s">
        <v>3859</v>
      </c>
      <c r="F992" s="82"/>
      <c r="G992" s="45" t="s">
        <v>3860</v>
      </c>
      <c r="H992" s="45" t="s">
        <v>123</v>
      </c>
      <c r="I992" s="45" t="s">
        <v>3849</v>
      </c>
      <c r="J992" s="157">
        <v>43908</v>
      </c>
      <c r="K992" s="93">
        <v>43973</v>
      </c>
      <c r="L992" s="93">
        <v>43994</v>
      </c>
      <c r="M992" s="229" t="s">
        <v>3861</v>
      </c>
      <c r="N992" s="339" t="s">
        <v>3862</v>
      </c>
      <c r="O992" s="108" t="s">
        <v>523</v>
      </c>
      <c r="P992" s="107">
        <v>84997.75</v>
      </c>
      <c r="Q992" s="107">
        <v>24378</v>
      </c>
      <c r="R992" s="129"/>
      <c r="S992" s="130"/>
      <c r="T992" s="107">
        <v>53917</v>
      </c>
      <c r="U992" s="93"/>
      <c r="V992" s="247" t="s">
        <v>3863</v>
      </c>
      <c r="W992" s="45"/>
    </row>
    <row r="993" s="40" customFormat="1" ht="22" customHeight="1" spans="1:23">
      <c r="A993" s="142" t="s">
        <v>3864</v>
      </c>
      <c r="B993" s="174" t="s">
        <v>3596</v>
      </c>
      <c r="C993" s="175"/>
      <c r="D993" s="45" t="s">
        <v>31</v>
      </c>
      <c r="E993" s="83" t="s">
        <v>3859</v>
      </c>
      <c r="F993" s="82"/>
      <c r="G993" s="45" t="s">
        <v>3854</v>
      </c>
      <c r="H993" s="45" t="s">
        <v>123</v>
      </c>
      <c r="I993" s="45" t="s">
        <v>3849</v>
      </c>
      <c r="J993" s="157">
        <v>43908</v>
      </c>
      <c r="K993" s="93">
        <v>43973</v>
      </c>
      <c r="L993" s="93">
        <v>43994</v>
      </c>
      <c r="M993" s="229" t="s">
        <v>3865</v>
      </c>
      <c r="N993" s="339" t="s">
        <v>3866</v>
      </c>
      <c r="O993" s="108" t="s">
        <v>523</v>
      </c>
      <c r="P993" s="107">
        <v>43220</v>
      </c>
      <c r="Q993" s="107">
        <v>12295</v>
      </c>
      <c r="R993" s="129"/>
      <c r="S993" s="130"/>
      <c r="T993" s="107">
        <v>37522.25</v>
      </c>
      <c r="U993" s="93"/>
      <c r="V993" s="247" t="s">
        <v>3867</v>
      </c>
      <c r="W993" s="45"/>
    </row>
    <row r="994" s="40" customFormat="1" ht="22" customHeight="1" spans="1:23">
      <c r="A994" s="220" t="s">
        <v>3868</v>
      </c>
      <c r="B994" s="174" t="s">
        <v>3596</v>
      </c>
      <c r="C994" s="175"/>
      <c r="D994" s="45" t="s">
        <v>31</v>
      </c>
      <c r="E994" s="83" t="s">
        <v>3771</v>
      </c>
      <c r="F994" s="82">
        <f>IFERROR(VLOOKUP(E994,客户!B:C,2,FALSE),"/")</f>
        <v>0</v>
      </c>
      <c r="G994" s="45" t="s">
        <v>3869</v>
      </c>
      <c r="H994" s="45" t="s">
        <v>123</v>
      </c>
      <c r="I994" s="45" t="s">
        <v>3808</v>
      </c>
      <c r="J994" s="157">
        <v>43910</v>
      </c>
      <c r="K994" s="93">
        <v>44036</v>
      </c>
      <c r="L994" s="201"/>
      <c r="M994" s="343" t="s">
        <v>3870</v>
      </c>
      <c r="N994" s="339" t="s">
        <v>3871</v>
      </c>
      <c r="O994" s="264" t="s">
        <v>970</v>
      </c>
      <c r="P994" s="107">
        <f>23045.4+899.45</f>
        <v>23944.85</v>
      </c>
      <c r="Q994" s="107">
        <f>5677.16+3115.53+898.68</f>
        <v>9691.37</v>
      </c>
      <c r="R994" s="129"/>
      <c r="S994" s="130"/>
      <c r="T994" s="107">
        <f>5393.5/6.88</f>
        <v>783.938953488372</v>
      </c>
      <c r="U994" s="107">
        <v>13445</v>
      </c>
      <c r="V994" s="247"/>
      <c r="W994" s="45"/>
    </row>
    <row r="995" s="40" customFormat="1" ht="22" customHeight="1" spans="1:23">
      <c r="A995" s="142" t="s">
        <v>3872</v>
      </c>
      <c r="B995" s="174" t="s">
        <v>3596</v>
      </c>
      <c r="C995" s="175"/>
      <c r="D995" s="45" t="s">
        <v>31</v>
      </c>
      <c r="E995" s="83" t="s">
        <v>3873</v>
      </c>
      <c r="F995" s="82">
        <f>IFERROR(VLOOKUP(E995,客户!B:C,2,FALSE),"/")</f>
        <v>0</v>
      </c>
      <c r="G995" s="45" t="s">
        <v>3874</v>
      </c>
      <c r="H995" s="45" t="s">
        <v>123</v>
      </c>
      <c r="I995" s="45" t="s">
        <v>3748</v>
      </c>
      <c r="J995" s="157">
        <v>43922</v>
      </c>
      <c r="K995" s="93">
        <v>44004</v>
      </c>
      <c r="L995" s="93">
        <v>44033</v>
      </c>
      <c r="M995" s="229" t="s">
        <v>3875</v>
      </c>
      <c r="N995" s="339" t="s">
        <v>3876</v>
      </c>
      <c r="O995" s="108" t="s">
        <v>523</v>
      </c>
      <c r="P995" s="107">
        <v>35637.62</v>
      </c>
      <c r="Q995" s="107">
        <v>10813.53</v>
      </c>
      <c r="R995" s="129"/>
      <c r="S995" s="130"/>
      <c r="T995" s="107">
        <v>24577.78</v>
      </c>
      <c r="U995" s="93"/>
      <c r="V995" s="247" t="s">
        <v>3877</v>
      </c>
      <c r="W995" s="45"/>
    </row>
    <row r="996" s="40" customFormat="1" ht="22" customHeight="1" spans="1:23">
      <c r="A996" s="142" t="s">
        <v>3878</v>
      </c>
      <c r="B996" s="174" t="s">
        <v>3596</v>
      </c>
      <c r="C996" s="175"/>
      <c r="D996" s="45" t="s">
        <v>31</v>
      </c>
      <c r="E996" s="83" t="s">
        <v>3879</v>
      </c>
      <c r="F996" s="82">
        <f>IFERROR(VLOOKUP(E996,客户!B:C,2,FALSE),"/")</f>
        <v>0</v>
      </c>
      <c r="G996" s="45" t="s">
        <v>3880</v>
      </c>
      <c r="H996" s="45" t="s">
        <v>186</v>
      </c>
      <c r="I996" s="45"/>
      <c r="J996" s="157">
        <v>43937</v>
      </c>
      <c r="K996" s="93">
        <v>44155</v>
      </c>
      <c r="L996" s="201"/>
      <c r="M996" s="343" t="s">
        <v>3881</v>
      </c>
      <c r="N996" s="145"/>
      <c r="O996" s="108" t="s">
        <v>970</v>
      </c>
      <c r="P996" s="240">
        <v>93303</v>
      </c>
      <c r="Q996" s="240">
        <v>18660</v>
      </c>
      <c r="R996" s="129"/>
      <c r="S996" s="130"/>
      <c r="T996" s="240">
        <v>74643</v>
      </c>
      <c r="U996" s="93"/>
      <c r="V996" s="107"/>
      <c r="W996" s="45"/>
    </row>
    <row r="997" s="40" customFormat="1" ht="22" customHeight="1" spans="1:23">
      <c r="A997" s="142" t="s">
        <v>3882</v>
      </c>
      <c r="B997" s="174" t="s">
        <v>3596</v>
      </c>
      <c r="C997" s="175"/>
      <c r="D997" s="45" t="s">
        <v>31</v>
      </c>
      <c r="E997" s="83" t="s">
        <v>3883</v>
      </c>
      <c r="F997" s="82">
        <f>IFERROR(VLOOKUP(E997,客户!B:C,2,FALSE),"/")</f>
        <v>0</v>
      </c>
      <c r="G997" s="45" t="s">
        <v>2574</v>
      </c>
      <c r="H997" s="45" t="s">
        <v>147</v>
      </c>
      <c r="I997" s="45" t="s">
        <v>1123</v>
      </c>
      <c r="J997" s="157">
        <v>43950</v>
      </c>
      <c r="K997" s="93">
        <v>43995</v>
      </c>
      <c r="L997" s="93">
        <v>44011</v>
      </c>
      <c r="M997" s="156" t="s">
        <v>3884</v>
      </c>
      <c r="N997" s="339" t="s">
        <v>3885</v>
      </c>
      <c r="O997" s="108" t="s">
        <v>970</v>
      </c>
      <c r="P997" s="107">
        <v>20868</v>
      </c>
      <c r="Q997" s="107">
        <f>40000/7.06</f>
        <v>5665.7223796034</v>
      </c>
      <c r="R997" s="129"/>
      <c r="S997" s="107"/>
      <c r="T997" s="107">
        <f>107480/7.07</f>
        <v>15202.2630834512</v>
      </c>
      <c r="U997" s="93"/>
      <c r="V997" s="107"/>
      <c r="W997" s="45"/>
    </row>
    <row r="998" s="40" customFormat="1" ht="22" customHeight="1" spans="1:23">
      <c r="A998" s="142" t="s">
        <v>3886</v>
      </c>
      <c r="B998" s="174" t="s">
        <v>3596</v>
      </c>
      <c r="C998" s="175"/>
      <c r="D998" s="45" t="s">
        <v>31</v>
      </c>
      <c r="E998" s="83" t="s">
        <v>3887</v>
      </c>
      <c r="F998" s="82" t="str">
        <f>IFERROR(VLOOKUP(E998,客户!B:C,2,FALSE),"/")</f>
        <v>J3805客户尾款打的多</v>
      </c>
      <c r="G998" s="45" t="s">
        <v>3888</v>
      </c>
      <c r="H998" s="45" t="s">
        <v>123</v>
      </c>
      <c r="I998" s="45" t="s">
        <v>3889</v>
      </c>
      <c r="J998" s="157">
        <v>43962</v>
      </c>
      <c r="K998" s="93">
        <v>44006</v>
      </c>
      <c r="L998" s="196">
        <v>44057</v>
      </c>
      <c r="M998" s="156" t="s">
        <v>3890</v>
      </c>
      <c r="N998" s="339" t="s">
        <v>3891</v>
      </c>
      <c r="O998" s="108" t="s">
        <v>523</v>
      </c>
      <c r="P998" s="107">
        <v>13986.21</v>
      </c>
      <c r="Q998" s="235">
        <v>8352.4</v>
      </c>
      <c r="R998" s="129"/>
      <c r="S998" s="130"/>
      <c r="T998" s="107">
        <v>20027.66</v>
      </c>
      <c r="U998" s="93"/>
      <c r="V998" s="247" t="s">
        <v>3892</v>
      </c>
      <c r="W998" s="45"/>
    </row>
    <row r="999" s="40" customFormat="1" ht="22" customHeight="1" spans="1:23">
      <c r="A999" s="142" t="s">
        <v>3893</v>
      </c>
      <c r="B999" s="174" t="s">
        <v>3596</v>
      </c>
      <c r="C999" s="175"/>
      <c r="D999" s="45" t="s">
        <v>31</v>
      </c>
      <c r="E999" s="83" t="s">
        <v>3859</v>
      </c>
      <c r="F999" s="82">
        <f>IFERROR(VLOOKUP(E999,客户!B:C,2,FALSE),"/")</f>
        <v>0</v>
      </c>
      <c r="G999" s="45" t="s">
        <v>3894</v>
      </c>
      <c r="H999" s="45" t="s">
        <v>123</v>
      </c>
      <c r="I999" s="45" t="s">
        <v>3895</v>
      </c>
      <c r="J999" s="157">
        <v>43978</v>
      </c>
      <c r="K999" s="93">
        <v>44024</v>
      </c>
      <c r="L999" s="196">
        <v>44049</v>
      </c>
      <c r="M999" s="156" t="s">
        <v>3896</v>
      </c>
      <c r="N999" s="339" t="s">
        <v>3897</v>
      </c>
      <c r="O999" s="264" t="s">
        <v>523</v>
      </c>
      <c r="P999" s="107">
        <v>39780</v>
      </c>
      <c r="Q999" s="107">
        <v>11934</v>
      </c>
      <c r="R999" s="129"/>
      <c r="S999" s="130"/>
      <c r="T999" s="107">
        <v>27776</v>
      </c>
      <c r="U999" s="93"/>
      <c r="V999" s="247" t="s">
        <v>3898</v>
      </c>
      <c r="W999" s="45"/>
    </row>
    <row r="1000" s="40" customFormat="1" ht="22" customHeight="1" spans="1:23">
      <c r="A1000" s="142" t="s">
        <v>3899</v>
      </c>
      <c r="B1000" s="174" t="s">
        <v>3596</v>
      </c>
      <c r="C1000" s="175"/>
      <c r="D1000" s="45" t="s">
        <v>31</v>
      </c>
      <c r="E1000" s="83" t="s">
        <v>3900</v>
      </c>
      <c r="F1000" s="82">
        <f>IFERROR(VLOOKUP(E1000,客户!B:C,2,FALSE),"/")</f>
        <v>0</v>
      </c>
      <c r="G1000" s="45" t="s">
        <v>3901</v>
      </c>
      <c r="H1000" s="45" t="s">
        <v>123</v>
      </c>
      <c r="I1000" s="45" t="s">
        <v>3902</v>
      </c>
      <c r="J1000" s="157">
        <v>43980</v>
      </c>
      <c r="K1000" s="93">
        <v>44027</v>
      </c>
      <c r="L1000" s="196">
        <v>44058</v>
      </c>
      <c r="M1000" s="156" t="s">
        <v>3903</v>
      </c>
      <c r="N1000" s="339" t="s">
        <v>3904</v>
      </c>
      <c r="O1000" s="264" t="s">
        <v>523</v>
      </c>
      <c r="P1000" s="107">
        <v>18215.6</v>
      </c>
      <c r="Q1000" s="107">
        <f>7741.14-1076.41</f>
        <v>6664.73</v>
      </c>
      <c r="R1000" s="129"/>
      <c r="S1000" s="130"/>
      <c r="T1000" s="107">
        <v>11550.86</v>
      </c>
      <c r="U1000" s="93"/>
      <c r="V1000" s="107"/>
      <c r="W1000" s="45"/>
    </row>
    <row r="1001" s="40" customFormat="1" ht="22" customHeight="1" spans="1:23">
      <c r="A1001" s="142" t="s">
        <v>3905</v>
      </c>
      <c r="B1001" s="174" t="s">
        <v>3596</v>
      </c>
      <c r="C1001" s="175"/>
      <c r="D1001" s="45" t="s">
        <v>31</v>
      </c>
      <c r="E1001" s="83" t="s">
        <v>3906</v>
      </c>
      <c r="F1001" s="82">
        <f>IFERROR(VLOOKUP(E1001,客户!B:C,2,FALSE),"/")</f>
        <v>0</v>
      </c>
      <c r="G1001" s="229" t="s">
        <v>3907</v>
      </c>
      <c r="H1001" s="45" t="s">
        <v>186</v>
      </c>
      <c r="I1001" s="45"/>
      <c r="J1001" s="157">
        <v>44001</v>
      </c>
      <c r="K1001" s="93">
        <v>44045</v>
      </c>
      <c r="L1001" s="201"/>
      <c r="M1001" s="343" t="s">
        <v>3908</v>
      </c>
      <c r="N1001" s="145"/>
      <c r="O1001" s="264" t="s">
        <v>970</v>
      </c>
      <c r="P1001" s="240">
        <v>14762.75</v>
      </c>
      <c r="Q1001" s="240">
        <v>4000</v>
      </c>
      <c r="R1001" s="347"/>
      <c r="S1001" s="348"/>
      <c r="T1001" s="240">
        <v>10762</v>
      </c>
      <c r="U1001" s="93"/>
      <c r="V1001" s="107"/>
      <c r="W1001" s="45"/>
    </row>
    <row r="1002" s="40" customFormat="1" ht="22" customHeight="1" spans="1:23">
      <c r="A1002" s="142" t="s">
        <v>3909</v>
      </c>
      <c r="B1002" s="174" t="s">
        <v>3596</v>
      </c>
      <c r="C1002" s="175"/>
      <c r="D1002" s="45" t="s">
        <v>31</v>
      </c>
      <c r="E1002" s="83" t="s">
        <v>3910</v>
      </c>
      <c r="F1002" s="82">
        <f>IFERROR(VLOOKUP(E1002,客户!B:C,2,FALSE),"/")</f>
        <v>0</v>
      </c>
      <c r="G1002" s="229" t="s">
        <v>3911</v>
      </c>
      <c r="H1002" s="45" t="s">
        <v>123</v>
      </c>
      <c r="I1002" s="45" t="s">
        <v>3508</v>
      </c>
      <c r="J1002" s="157">
        <v>44015</v>
      </c>
      <c r="K1002" s="93">
        <v>44039</v>
      </c>
      <c r="L1002" s="201"/>
      <c r="M1002" s="343" t="s">
        <v>3912</v>
      </c>
      <c r="N1002" s="339" t="s">
        <v>3823</v>
      </c>
      <c r="O1002" s="264" t="s">
        <v>970</v>
      </c>
      <c r="P1002" s="107">
        <v>19737.4</v>
      </c>
      <c r="Q1002" s="335"/>
      <c r="R1002" s="129"/>
      <c r="S1002" s="130"/>
      <c r="T1002" s="107">
        <v>19737.4</v>
      </c>
      <c r="U1002" s="93"/>
      <c r="V1002" s="247" t="s">
        <v>3913</v>
      </c>
      <c r="W1002" s="45"/>
    </row>
    <row r="1003" s="40" customFormat="1" ht="22" customHeight="1" spans="1:23">
      <c r="A1003" s="142" t="s">
        <v>3914</v>
      </c>
      <c r="B1003" s="174" t="s">
        <v>3596</v>
      </c>
      <c r="C1003" s="175"/>
      <c r="D1003" s="45" t="s">
        <v>31</v>
      </c>
      <c r="E1003" s="83" t="s">
        <v>3910</v>
      </c>
      <c r="F1003" s="82">
        <f>IFERROR(VLOOKUP(E1003,客户!B:C,2,FALSE),"/")</f>
        <v>0</v>
      </c>
      <c r="G1003" s="229" t="s">
        <v>3911</v>
      </c>
      <c r="H1003" s="45" t="s">
        <v>123</v>
      </c>
      <c r="I1003" s="45" t="s">
        <v>3508</v>
      </c>
      <c r="J1003" s="157">
        <v>44015</v>
      </c>
      <c r="K1003" s="93">
        <v>44053</v>
      </c>
      <c r="L1003" s="201"/>
      <c r="M1003" s="156" t="s">
        <v>3915</v>
      </c>
      <c r="N1003" s="339" t="s">
        <v>3916</v>
      </c>
      <c r="O1003" s="264" t="s">
        <v>970</v>
      </c>
      <c r="P1003" s="107">
        <v>19729</v>
      </c>
      <c r="Q1003" s="240"/>
      <c r="R1003" s="129"/>
      <c r="S1003" s="130"/>
      <c r="T1003" s="107">
        <v>19729</v>
      </c>
      <c r="U1003" s="93"/>
      <c r="V1003" s="107"/>
      <c r="W1003" s="45"/>
    </row>
    <row r="1004" s="40" customFormat="1" ht="22" customHeight="1" spans="1:23">
      <c r="A1004" s="142" t="s">
        <v>3917</v>
      </c>
      <c r="B1004" s="174" t="s">
        <v>3596</v>
      </c>
      <c r="C1004" s="175"/>
      <c r="D1004" s="45" t="s">
        <v>31</v>
      </c>
      <c r="E1004" s="83" t="s">
        <v>3859</v>
      </c>
      <c r="F1004" s="82">
        <f>IFERROR(VLOOKUP(E1004,客户!B:C,2,FALSE),"/")</f>
        <v>0</v>
      </c>
      <c r="G1004" s="229" t="s">
        <v>3918</v>
      </c>
      <c r="H1004" s="45" t="s">
        <v>123</v>
      </c>
      <c r="I1004" s="45" t="s">
        <v>3895</v>
      </c>
      <c r="J1004" s="157">
        <v>44018</v>
      </c>
      <c r="K1004" s="93">
        <v>44051</v>
      </c>
      <c r="L1004" s="93">
        <v>44076</v>
      </c>
      <c r="M1004" s="343" t="s">
        <v>3919</v>
      </c>
      <c r="N1004" s="339" t="s">
        <v>3920</v>
      </c>
      <c r="O1004" s="264" t="s">
        <v>523</v>
      </c>
      <c r="P1004" s="107">
        <v>43192.8</v>
      </c>
      <c r="Q1004" s="107">
        <v>13378</v>
      </c>
      <c r="R1004" s="129"/>
      <c r="S1004" s="130"/>
      <c r="T1004" s="107">
        <v>29813</v>
      </c>
      <c r="U1004" s="93"/>
      <c r="V1004" s="107"/>
      <c r="W1004" s="45"/>
    </row>
    <row r="1005" s="40" customFormat="1" ht="22" customHeight="1" spans="1:23">
      <c r="A1005" s="142" t="s">
        <v>3921</v>
      </c>
      <c r="B1005" s="174" t="s">
        <v>3596</v>
      </c>
      <c r="C1005" s="175"/>
      <c r="D1005" s="45" t="s">
        <v>31</v>
      </c>
      <c r="E1005" s="83" t="s">
        <v>3922</v>
      </c>
      <c r="F1005" s="82">
        <f>IFERROR(VLOOKUP(E1005,客户!B:C,2,FALSE),"/")</f>
        <v>0</v>
      </c>
      <c r="G1005" s="45" t="s">
        <v>3923</v>
      </c>
      <c r="H1005" s="45" t="s">
        <v>123</v>
      </c>
      <c r="I1005" s="45" t="s">
        <v>3808</v>
      </c>
      <c r="J1005" s="157">
        <v>44020</v>
      </c>
      <c r="K1005" s="93">
        <v>44073</v>
      </c>
      <c r="L1005" s="201"/>
      <c r="M1005" s="343" t="s">
        <v>3924</v>
      </c>
      <c r="N1005" s="145" t="s">
        <v>3810</v>
      </c>
      <c r="O1005" s="264" t="s">
        <v>970</v>
      </c>
      <c r="P1005" s="107">
        <v>25268.5</v>
      </c>
      <c r="Q1005" s="107">
        <v>9214</v>
      </c>
      <c r="R1005" s="129"/>
      <c r="S1005" s="130"/>
      <c r="T1005" s="107">
        <v>18777.25</v>
      </c>
      <c r="U1005" s="93"/>
      <c r="V1005" s="247" t="s">
        <v>3925</v>
      </c>
      <c r="W1005" s="45"/>
    </row>
    <row r="1006" s="40" customFormat="1" ht="22" customHeight="1" spans="1:23">
      <c r="A1006" s="142" t="s">
        <v>3926</v>
      </c>
      <c r="B1006" s="174" t="s">
        <v>3596</v>
      </c>
      <c r="C1006" s="175"/>
      <c r="D1006" s="45" t="s">
        <v>31</v>
      </c>
      <c r="E1006" s="83" t="s">
        <v>3883</v>
      </c>
      <c r="F1006" s="82">
        <f>IFERROR(VLOOKUP(E1006,客户!B:C,2,FALSE),"/")</f>
        <v>0</v>
      </c>
      <c r="G1006" s="45" t="s">
        <v>3927</v>
      </c>
      <c r="H1006" s="45" t="s">
        <v>127</v>
      </c>
      <c r="I1006" s="45" t="s">
        <v>1123</v>
      </c>
      <c r="J1006" s="157">
        <v>44027</v>
      </c>
      <c r="K1006" s="93">
        <v>44065</v>
      </c>
      <c r="L1006" s="93">
        <v>44081</v>
      </c>
      <c r="M1006" s="156" t="s">
        <v>3928</v>
      </c>
      <c r="N1006" s="339" t="s">
        <v>3929</v>
      </c>
      <c r="O1006" s="264" t="s">
        <v>970</v>
      </c>
      <c r="P1006" s="107">
        <v>22586</v>
      </c>
      <c r="Q1006" s="107">
        <f>47000/6.98</f>
        <v>6733.52435530086</v>
      </c>
      <c r="R1006" s="129"/>
      <c r="S1006" s="130"/>
      <c r="T1006" s="107">
        <f>109699.13/6.92</f>
        <v>15852.475433526</v>
      </c>
      <c r="U1006" s="93"/>
      <c r="V1006" s="107"/>
      <c r="W1006" s="45"/>
    </row>
    <row r="1007" s="40" customFormat="1" ht="22" customHeight="1" spans="1:23">
      <c r="A1007" s="142" t="s">
        <v>3930</v>
      </c>
      <c r="B1007" s="174" t="s">
        <v>3596</v>
      </c>
      <c r="C1007" s="175"/>
      <c r="D1007" s="45" t="s">
        <v>31</v>
      </c>
      <c r="E1007" s="83" t="s">
        <v>3883</v>
      </c>
      <c r="F1007" s="82">
        <f>IFERROR(VLOOKUP(E1007,客户!B:C,2,FALSE),"/")</f>
        <v>0</v>
      </c>
      <c r="G1007" s="45" t="s">
        <v>3927</v>
      </c>
      <c r="H1007" s="45" t="s">
        <v>127</v>
      </c>
      <c r="I1007" s="45" t="s">
        <v>1123</v>
      </c>
      <c r="J1007" s="157">
        <v>44031</v>
      </c>
      <c r="K1007" s="93">
        <v>44086</v>
      </c>
      <c r="L1007" s="93">
        <v>44102</v>
      </c>
      <c r="M1007" s="343" t="s">
        <v>3931</v>
      </c>
      <c r="N1007" s="339" t="s">
        <v>3932</v>
      </c>
      <c r="O1007" s="264" t="s">
        <v>970</v>
      </c>
      <c r="P1007" s="107">
        <v>22407</v>
      </c>
      <c r="Q1007" s="107">
        <f>48000/6.98</f>
        <v>6876.79083094556</v>
      </c>
      <c r="R1007" s="129"/>
      <c r="S1007" s="130"/>
      <c r="T1007" s="107">
        <f>109100/6.82</f>
        <v>15997.0674486804</v>
      </c>
      <c r="U1007" s="93"/>
      <c r="V1007" s="247" t="s">
        <v>3933</v>
      </c>
      <c r="W1007" s="45"/>
    </row>
    <row r="1008" s="40" customFormat="1" ht="22" customHeight="1" spans="1:23">
      <c r="A1008" s="142" t="s">
        <v>3934</v>
      </c>
      <c r="B1008" s="174" t="s">
        <v>3596</v>
      </c>
      <c r="C1008" s="175"/>
      <c r="D1008" s="45" t="s">
        <v>31</v>
      </c>
      <c r="E1008" s="83" t="s">
        <v>3910</v>
      </c>
      <c r="F1008" s="82">
        <f>IFERROR(VLOOKUP(E1008,客户!B:C,2,FALSE),"/")</f>
        <v>0</v>
      </c>
      <c r="G1008" s="45" t="s">
        <v>1234</v>
      </c>
      <c r="H1008" s="45" t="s">
        <v>123</v>
      </c>
      <c r="I1008" s="45" t="s">
        <v>3508</v>
      </c>
      <c r="J1008" s="157">
        <v>44035</v>
      </c>
      <c r="K1008" s="93">
        <v>44067</v>
      </c>
      <c r="L1008" s="201"/>
      <c r="M1008" s="343" t="s">
        <v>3935</v>
      </c>
      <c r="N1008" s="339" t="s">
        <v>3754</v>
      </c>
      <c r="O1008" s="339" t="s">
        <v>970</v>
      </c>
      <c r="P1008" s="107">
        <v>19772</v>
      </c>
      <c r="Q1008" s="335"/>
      <c r="R1008" s="129"/>
      <c r="S1008" s="130"/>
      <c r="T1008" s="107">
        <v>19772</v>
      </c>
      <c r="U1008" s="93"/>
      <c r="V1008" s="107"/>
      <c r="W1008" s="45"/>
    </row>
    <row r="1009" s="40" customFormat="1" ht="22" customHeight="1" spans="1:23">
      <c r="A1009" s="142" t="s">
        <v>3936</v>
      </c>
      <c r="B1009" s="174" t="s">
        <v>3596</v>
      </c>
      <c r="C1009" s="175"/>
      <c r="D1009" s="45" t="s">
        <v>31</v>
      </c>
      <c r="E1009" s="83" t="s">
        <v>3937</v>
      </c>
      <c r="F1009" s="82">
        <f>IFERROR(VLOOKUP(E1009,客户!B:C,2,FALSE),"/")</f>
        <v>0</v>
      </c>
      <c r="G1009" s="229" t="s">
        <v>3938</v>
      </c>
      <c r="H1009" s="45" t="s">
        <v>186</v>
      </c>
      <c r="I1009" s="45"/>
      <c r="J1009" s="157">
        <v>44044</v>
      </c>
      <c r="K1009" s="93">
        <v>44079</v>
      </c>
      <c r="L1009" s="201"/>
      <c r="M1009" s="341" t="s">
        <v>3939</v>
      </c>
      <c r="N1009" s="339"/>
      <c r="O1009" s="339" t="s">
        <v>970</v>
      </c>
      <c r="P1009" s="240">
        <v>84386</v>
      </c>
      <c r="Q1009" s="240">
        <v>21272.5</v>
      </c>
      <c r="R1009" s="129"/>
      <c r="S1009" s="130"/>
      <c r="T1009" s="349">
        <v>63113.5</v>
      </c>
      <c r="U1009" s="93"/>
      <c r="V1009" s="107"/>
      <c r="W1009" s="45"/>
    </row>
    <row r="1010" s="40" customFormat="1" ht="22" customHeight="1" spans="1:23">
      <c r="A1010" s="142" t="s">
        <v>3940</v>
      </c>
      <c r="B1010" s="174" t="s">
        <v>3596</v>
      </c>
      <c r="C1010" s="175"/>
      <c r="D1010" s="45" t="s">
        <v>31</v>
      </c>
      <c r="E1010" s="83" t="s">
        <v>3910</v>
      </c>
      <c r="F1010" s="82">
        <f>IFERROR(VLOOKUP(E1010,客户!B:C,2,FALSE),"/")</f>
        <v>0</v>
      </c>
      <c r="G1010" s="45" t="s">
        <v>3941</v>
      </c>
      <c r="H1010" s="45" t="s">
        <v>123</v>
      </c>
      <c r="I1010" s="45" t="s">
        <v>3508</v>
      </c>
      <c r="J1010" s="157">
        <v>44056</v>
      </c>
      <c r="K1010" s="93">
        <v>44100</v>
      </c>
      <c r="L1010" s="201"/>
      <c r="M1010" s="343" t="s">
        <v>3942</v>
      </c>
      <c r="N1010" s="339" t="s">
        <v>3916</v>
      </c>
      <c r="O1010" s="339" t="s">
        <v>970</v>
      </c>
      <c r="P1010" s="107">
        <v>40639.6</v>
      </c>
      <c r="Q1010" s="335"/>
      <c r="R1010" s="129"/>
      <c r="S1010" s="130"/>
      <c r="T1010" s="107">
        <v>40639.6</v>
      </c>
      <c r="U1010" s="93"/>
      <c r="V1010" s="107"/>
      <c r="W1010" s="45"/>
    </row>
    <row r="1011" s="40" customFormat="1" ht="22" customHeight="1" spans="1:23">
      <c r="A1011" s="142" t="s">
        <v>3943</v>
      </c>
      <c r="B1011" s="174" t="s">
        <v>3596</v>
      </c>
      <c r="C1011" s="175"/>
      <c r="D1011" s="45" t="s">
        <v>31</v>
      </c>
      <c r="E1011" s="83" t="s">
        <v>3910</v>
      </c>
      <c r="F1011" s="82">
        <f>IFERROR(VLOOKUP(E1011,客户!B:C,2,FALSE),"/")</f>
        <v>0</v>
      </c>
      <c r="G1011" s="45" t="s">
        <v>3941</v>
      </c>
      <c r="H1011" s="45" t="s">
        <v>123</v>
      </c>
      <c r="I1011" s="45" t="s">
        <v>3508</v>
      </c>
      <c r="J1011" s="157">
        <v>44056</v>
      </c>
      <c r="K1011" s="93">
        <v>44119</v>
      </c>
      <c r="L1011" s="201"/>
      <c r="M1011" s="343" t="s">
        <v>3944</v>
      </c>
      <c r="N1011" s="339" t="s">
        <v>3945</v>
      </c>
      <c r="O1011" s="264" t="s">
        <v>970</v>
      </c>
      <c r="P1011" s="107">
        <v>39659.9</v>
      </c>
      <c r="Q1011" s="335"/>
      <c r="R1011" s="129"/>
      <c r="S1011" s="130"/>
      <c r="T1011" s="107">
        <v>39659.9</v>
      </c>
      <c r="U1011" s="93"/>
      <c r="V1011" s="107" t="s">
        <v>3946</v>
      </c>
      <c r="W1011" s="45"/>
    </row>
    <row r="1012" s="40" customFormat="1" ht="22" customHeight="1" spans="1:23">
      <c r="A1012" s="142" t="s">
        <v>3947</v>
      </c>
      <c r="B1012" s="174" t="s">
        <v>3596</v>
      </c>
      <c r="C1012" s="175"/>
      <c r="D1012" s="45" t="s">
        <v>31</v>
      </c>
      <c r="E1012" s="83" t="s">
        <v>3900</v>
      </c>
      <c r="F1012" s="82">
        <f>IFERROR(VLOOKUP(E1012,客户!B:C,2,FALSE),"/")</f>
        <v>0</v>
      </c>
      <c r="G1012" s="45" t="s">
        <v>3948</v>
      </c>
      <c r="H1012" s="45" t="s">
        <v>123</v>
      </c>
      <c r="I1012" s="45" t="s">
        <v>3902</v>
      </c>
      <c r="J1012" s="157">
        <v>44060</v>
      </c>
      <c r="K1012" s="93">
        <v>44109</v>
      </c>
      <c r="L1012" s="93">
        <v>44147</v>
      </c>
      <c r="M1012" s="343" t="s">
        <v>3949</v>
      </c>
      <c r="N1012" s="339" t="s">
        <v>3950</v>
      </c>
      <c r="O1012" s="264" t="s">
        <v>523</v>
      </c>
      <c r="P1012" s="107">
        <v>43765.8</v>
      </c>
      <c r="Q1012" s="107">
        <f>8209.92+4596.9</f>
        <v>12806.82</v>
      </c>
      <c r="R1012" s="129"/>
      <c r="S1012" s="130"/>
      <c r="T1012" s="107">
        <v>19156.48</v>
      </c>
      <c r="U1012" s="107">
        <v>10726.1</v>
      </c>
      <c r="V1012" s="107"/>
      <c r="W1012" s="45"/>
    </row>
    <row r="1013" s="40" customFormat="1" ht="22" customHeight="1" spans="1:23">
      <c r="A1013" s="142" t="s">
        <v>3951</v>
      </c>
      <c r="B1013" s="174" t="s">
        <v>3596</v>
      </c>
      <c r="C1013" s="175"/>
      <c r="D1013" s="45" t="s">
        <v>31</v>
      </c>
      <c r="E1013" s="83" t="s">
        <v>3859</v>
      </c>
      <c r="F1013" s="82">
        <f>IFERROR(VLOOKUP(E1013,客户!B:C,2,FALSE),"/")</f>
        <v>0</v>
      </c>
      <c r="G1013" s="45" t="s">
        <v>3952</v>
      </c>
      <c r="H1013" s="45" t="s">
        <v>123</v>
      </c>
      <c r="I1013" s="45" t="s">
        <v>3849</v>
      </c>
      <c r="J1013" s="157">
        <v>44064</v>
      </c>
      <c r="K1013" s="93">
        <v>44094</v>
      </c>
      <c r="L1013" s="93">
        <v>44118</v>
      </c>
      <c r="M1013" s="343" t="s">
        <v>3953</v>
      </c>
      <c r="N1013" s="339" t="s">
        <v>3954</v>
      </c>
      <c r="O1013" s="264" t="s">
        <v>523</v>
      </c>
      <c r="P1013" s="107">
        <v>20094</v>
      </c>
      <c r="Q1013" s="107">
        <v>6120</v>
      </c>
      <c r="R1013" s="129"/>
      <c r="S1013" s="130"/>
      <c r="T1013" s="107">
        <v>13974</v>
      </c>
      <c r="U1013" s="93"/>
      <c r="V1013" s="107"/>
      <c r="W1013" s="45"/>
    </row>
    <row r="1014" s="40" customFormat="1" ht="22" customHeight="1" spans="1:23">
      <c r="A1014" s="142" t="s">
        <v>3955</v>
      </c>
      <c r="B1014" s="174" t="s">
        <v>3596</v>
      </c>
      <c r="C1014" s="175"/>
      <c r="D1014" s="45" t="s">
        <v>31</v>
      </c>
      <c r="E1014" s="83" t="s">
        <v>3937</v>
      </c>
      <c r="F1014" s="82">
        <f>IFERROR(VLOOKUP(E1014,客户!B:C,2,FALSE),"/")</f>
        <v>0</v>
      </c>
      <c r="G1014" s="229" t="s">
        <v>3938</v>
      </c>
      <c r="H1014" s="45" t="s">
        <v>186</v>
      </c>
      <c r="I1014" s="45"/>
      <c r="J1014" s="157">
        <v>44078</v>
      </c>
      <c r="K1014" s="93">
        <v>44098</v>
      </c>
      <c r="L1014" s="201"/>
      <c r="M1014" s="344" t="s">
        <v>3956</v>
      </c>
      <c r="N1014" s="339"/>
      <c r="O1014" s="264" t="s">
        <v>970</v>
      </c>
      <c r="P1014" s="240">
        <f>116295+4200+1000-650</f>
        <v>120845</v>
      </c>
      <c r="Q1014" s="240">
        <v>20000</v>
      </c>
      <c r="R1014" s="129"/>
      <c r="S1014" s="130"/>
      <c r="T1014" s="240">
        <v>97045</v>
      </c>
      <c r="U1014" s="240">
        <v>3800</v>
      </c>
      <c r="V1014" s="107"/>
      <c r="W1014" s="45"/>
    </row>
    <row r="1015" s="40" customFormat="1" ht="22" customHeight="1" spans="1:23">
      <c r="A1015" s="142" t="s">
        <v>3957</v>
      </c>
      <c r="B1015" s="174" t="s">
        <v>3596</v>
      </c>
      <c r="C1015" s="175" t="s">
        <v>3596</v>
      </c>
      <c r="D1015" s="45" t="s">
        <v>31</v>
      </c>
      <c r="E1015" s="83" t="s">
        <v>3859</v>
      </c>
      <c r="F1015" s="82">
        <f>IFERROR(VLOOKUP(E1015,客户!B:C,2,FALSE),"/")</f>
        <v>0</v>
      </c>
      <c r="G1015" s="229" t="s">
        <v>3958</v>
      </c>
      <c r="H1015" s="45" t="s">
        <v>123</v>
      </c>
      <c r="I1015" s="45" t="s">
        <v>3849</v>
      </c>
      <c r="J1015" s="157">
        <v>44085</v>
      </c>
      <c r="K1015" s="93">
        <v>44133</v>
      </c>
      <c r="L1015" s="93">
        <v>44175</v>
      </c>
      <c r="M1015" s="343" t="s">
        <v>3959</v>
      </c>
      <c r="N1015" s="339" t="s">
        <v>3960</v>
      </c>
      <c r="O1015" s="264" t="s">
        <v>523</v>
      </c>
      <c r="P1015" s="107">
        <v>44226</v>
      </c>
      <c r="Q1015" s="235">
        <v>13267</v>
      </c>
      <c r="R1015" s="129"/>
      <c r="S1015" s="130"/>
      <c r="T1015" s="107">
        <v>30959</v>
      </c>
      <c r="U1015" s="93"/>
      <c r="V1015" s="107"/>
      <c r="W1015" s="45"/>
    </row>
    <row r="1016" s="40" customFormat="1" ht="22" customHeight="1" spans="1:23">
      <c r="A1016" s="142" t="s">
        <v>3961</v>
      </c>
      <c r="B1016" s="174" t="s">
        <v>3596</v>
      </c>
      <c r="C1016" s="175"/>
      <c r="D1016" s="45" t="s">
        <v>31</v>
      </c>
      <c r="E1016" s="83" t="s">
        <v>3962</v>
      </c>
      <c r="F1016" s="82"/>
      <c r="G1016" s="229" t="s">
        <v>3963</v>
      </c>
      <c r="H1016" s="45" t="s">
        <v>186</v>
      </c>
      <c r="I1016" s="45"/>
      <c r="J1016" s="157">
        <v>44094</v>
      </c>
      <c r="K1016" s="93">
        <v>44094</v>
      </c>
      <c r="L1016" s="201"/>
      <c r="M1016" s="343"/>
      <c r="N1016" s="339"/>
      <c r="O1016" s="264" t="s">
        <v>970</v>
      </c>
      <c r="P1016" s="240">
        <v>18631.1</v>
      </c>
      <c r="Q1016" s="235"/>
      <c r="R1016" s="129"/>
      <c r="S1016" s="130"/>
      <c r="T1016" s="240">
        <v>18631.1</v>
      </c>
      <c r="U1016" s="93"/>
      <c r="V1016" s="107"/>
      <c r="W1016" s="45"/>
    </row>
    <row r="1017" s="40" customFormat="1" ht="22" customHeight="1" spans="1:23">
      <c r="A1017" s="142" t="s">
        <v>3964</v>
      </c>
      <c r="B1017" s="174" t="s">
        <v>3596</v>
      </c>
      <c r="C1017" s="175"/>
      <c r="D1017" s="45" t="s">
        <v>31</v>
      </c>
      <c r="E1017" s="83" t="s">
        <v>3922</v>
      </c>
      <c r="F1017" s="82">
        <f>IFERROR(VLOOKUP(E1017,客户!B:C,2,FALSE),"/")</f>
        <v>0</v>
      </c>
      <c r="G1017" s="229" t="s">
        <v>3965</v>
      </c>
      <c r="H1017" s="45" t="s">
        <v>123</v>
      </c>
      <c r="I1017" s="45" t="s">
        <v>3808</v>
      </c>
      <c r="J1017" s="157">
        <v>44097</v>
      </c>
      <c r="K1017" s="93">
        <v>44143</v>
      </c>
      <c r="L1017" s="201"/>
      <c r="M1017" s="343" t="s">
        <v>3966</v>
      </c>
      <c r="N1017" s="343" t="s">
        <v>3967</v>
      </c>
      <c r="O1017" s="264" t="s">
        <v>970</v>
      </c>
      <c r="P1017" s="107">
        <v>27806.45</v>
      </c>
      <c r="Q1017" s="235">
        <v>7525</v>
      </c>
      <c r="R1017" s="129"/>
      <c r="S1017" s="130"/>
      <c r="T1017" s="235">
        <v>17558.7</v>
      </c>
      <c r="U1017" s="93"/>
      <c r="V1017" s="107"/>
      <c r="W1017" s="45"/>
    </row>
    <row r="1018" s="40" customFormat="1" ht="22" customHeight="1" spans="1:23">
      <c r="A1018" s="142" t="s">
        <v>3968</v>
      </c>
      <c r="B1018" s="174" t="s">
        <v>3596</v>
      </c>
      <c r="C1018" s="175"/>
      <c r="D1018" s="45" t="s">
        <v>31</v>
      </c>
      <c r="E1018" s="83" t="s">
        <v>3937</v>
      </c>
      <c r="F1018" s="82">
        <f>IFERROR(VLOOKUP(E1018,客户!B:C,2,FALSE),"/")</f>
        <v>0</v>
      </c>
      <c r="G1018" s="229" t="s">
        <v>3969</v>
      </c>
      <c r="H1018" s="45" t="s">
        <v>186</v>
      </c>
      <c r="I1018" s="45"/>
      <c r="J1018" s="157">
        <v>44099</v>
      </c>
      <c r="K1018" s="93">
        <v>44140</v>
      </c>
      <c r="L1018" s="201"/>
      <c r="M1018" s="343" t="s">
        <v>3970</v>
      </c>
      <c r="N1018" s="339"/>
      <c r="O1018" s="264" t="s">
        <v>970</v>
      </c>
      <c r="P1018" s="240">
        <f>72654+3066</f>
        <v>75720</v>
      </c>
      <c r="Q1018" s="240">
        <f>15000+3066</f>
        <v>18066</v>
      </c>
      <c r="R1018" s="129"/>
      <c r="S1018" s="130"/>
      <c r="T1018" s="240">
        <v>57654</v>
      </c>
      <c r="U1018" s="93"/>
      <c r="V1018" s="107"/>
      <c r="W1018" s="45"/>
    </row>
    <row r="1019" s="40" customFormat="1" ht="22" customHeight="1" spans="1:23">
      <c r="A1019" s="142" t="s">
        <v>3971</v>
      </c>
      <c r="B1019" s="174" t="s">
        <v>3596</v>
      </c>
      <c r="C1019" s="175"/>
      <c r="D1019" s="45" t="s">
        <v>31</v>
      </c>
      <c r="E1019" s="83" t="s">
        <v>3972</v>
      </c>
      <c r="F1019" s="82">
        <f>IFERROR(VLOOKUP(E1019,客户!B:C,2,FALSE),"/")</f>
        <v>0</v>
      </c>
      <c r="G1019" s="229" t="s">
        <v>1742</v>
      </c>
      <c r="H1019" s="45" t="s">
        <v>123</v>
      </c>
      <c r="I1019" s="45" t="s">
        <v>770</v>
      </c>
      <c r="J1019" s="157">
        <v>44113</v>
      </c>
      <c r="K1019" s="93">
        <v>44191</v>
      </c>
      <c r="L1019" s="93">
        <v>44214</v>
      </c>
      <c r="M1019" s="156" t="s">
        <v>3973</v>
      </c>
      <c r="N1019" s="339" t="s">
        <v>3974</v>
      </c>
      <c r="O1019" s="264" t="s">
        <v>523</v>
      </c>
      <c r="P1019" s="107">
        <v>22743.5</v>
      </c>
      <c r="Q1019" s="107">
        <v>7505</v>
      </c>
      <c r="R1019" s="129"/>
      <c r="S1019" s="130"/>
      <c r="T1019" s="107">
        <v>15238.5</v>
      </c>
      <c r="U1019" s="93"/>
      <c r="V1019" s="107"/>
      <c r="W1019" s="45"/>
    </row>
    <row r="1020" s="40" customFormat="1" ht="22" customHeight="1" spans="1:23">
      <c r="A1020" s="142" t="s">
        <v>3975</v>
      </c>
      <c r="B1020" s="174" t="s">
        <v>3596</v>
      </c>
      <c r="C1020" s="175"/>
      <c r="D1020" s="45" t="s">
        <v>31</v>
      </c>
      <c r="E1020" s="83" t="s">
        <v>3900</v>
      </c>
      <c r="F1020" s="82">
        <f>IFERROR(VLOOKUP(E1020,客户!B:C,2,FALSE),"/")</f>
        <v>0</v>
      </c>
      <c r="G1020" s="229" t="s">
        <v>3976</v>
      </c>
      <c r="H1020" s="45" t="s">
        <v>123</v>
      </c>
      <c r="I1020" s="45" t="s">
        <v>3902</v>
      </c>
      <c r="J1020" s="157">
        <v>44113</v>
      </c>
      <c r="K1020" s="93">
        <v>44180</v>
      </c>
      <c r="L1020" s="93">
        <v>44225</v>
      </c>
      <c r="M1020" s="343" t="s">
        <v>3977</v>
      </c>
      <c r="N1020" s="339" t="s">
        <v>3978</v>
      </c>
      <c r="O1020" s="264" t="s">
        <v>523</v>
      </c>
      <c r="P1020" s="107">
        <v>54090.32</v>
      </c>
      <c r="Q1020" s="235">
        <v>12443.67</v>
      </c>
      <c r="R1020" s="129"/>
      <c r="S1020" s="130"/>
      <c r="T1020" s="235">
        <v>41646.65</v>
      </c>
      <c r="U1020" s="93"/>
      <c r="V1020" s="107"/>
      <c r="W1020" s="45"/>
    </row>
    <row r="1021" s="40" customFormat="1" ht="20" customHeight="1" spans="1:23">
      <c r="A1021" s="142" t="s">
        <v>3979</v>
      </c>
      <c r="B1021" s="174" t="s">
        <v>3596</v>
      </c>
      <c r="C1021" s="175"/>
      <c r="D1021" s="45" t="s">
        <v>31</v>
      </c>
      <c r="E1021" s="83" t="s">
        <v>3980</v>
      </c>
      <c r="F1021" s="82">
        <f>IFERROR(VLOOKUP(E1021,客户!B:C,2,FALSE),"/")</f>
        <v>0</v>
      </c>
      <c r="G1021" s="229" t="s">
        <v>3981</v>
      </c>
      <c r="H1021" s="45" t="s">
        <v>123</v>
      </c>
      <c r="I1021" s="45" t="s">
        <v>3982</v>
      </c>
      <c r="J1021" s="157">
        <v>44120</v>
      </c>
      <c r="K1021" s="93">
        <v>44185</v>
      </c>
      <c r="L1021" s="93">
        <v>44205</v>
      </c>
      <c r="M1021" s="156" t="s">
        <v>3983</v>
      </c>
      <c r="N1021" s="339" t="s">
        <v>3984</v>
      </c>
      <c r="O1021" s="264" t="s">
        <v>523</v>
      </c>
      <c r="P1021" s="107">
        <v>22783.2</v>
      </c>
      <c r="Q1021" s="235">
        <v>6182.16</v>
      </c>
      <c r="R1021" s="129"/>
      <c r="S1021" s="130"/>
      <c r="T1021" s="107">
        <v>16601.04</v>
      </c>
      <c r="U1021" s="93"/>
      <c r="V1021" s="107"/>
      <c r="W1021" s="45"/>
    </row>
    <row r="1022" s="40" customFormat="1" ht="22" customHeight="1" spans="1:23">
      <c r="A1022" s="142" t="s">
        <v>3985</v>
      </c>
      <c r="B1022" s="174" t="s">
        <v>3596</v>
      </c>
      <c r="C1022" s="175"/>
      <c r="D1022" s="45" t="s">
        <v>31</v>
      </c>
      <c r="E1022" s="83" t="s">
        <v>3986</v>
      </c>
      <c r="F1022" s="82">
        <f>IFERROR(VLOOKUP(E1022,客户!B:C,2,FALSE),"/")</f>
        <v>0</v>
      </c>
      <c r="G1022" s="229" t="s">
        <v>3987</v>
      </c>
      <c r="H1022" s="45" t="s">
        <v>186</v>
      </c>
      <c r="I1022" s="45"/>
      <c r="J1022" s="157">
        <v>44119</v>
      </c>
      <c r="K1022" s="93">
        <v>44249</v>
      </c>
      <c r="L1022" s="201"/>
      <c r="M1022" s="343" t="s">
        <v>3988</v>
      </c>
      <c r="N1022" s="339" t="s">
        <v>3989</v>
      </c>
      <c r="O1022" s="264" t="s">
        <v>970</v>
      </c>
      <c r="P1022" s="240">
        <v>21537.5</v>
      </c>
      <c r="Q1022" s="240">
        <v>6000</v>
      </c>
      <c r="R1022" s="129"/>
      <c r="S1022" s="130"/>
      <c r="T1022" s="240">
        <v>15537.5</v>
      </c>
      <c r="U1022" s="93"/>
      <c r="V1022" s="107"/>
      <c r="W1022" s="45"/>
    </row>
    <row r="1023" s="40" customFormat="1" ht="22" customHeight="1" spans="1:23">
      <c r="A1023" s="142" t="s">
        <v>3990</v>
      </c>
      <c r="B1023" s="174" t="s">
        <v>3596</v>
      </c>
      <c r="C1023" s="175"/>
      <c r="D1023" s="45" t="s">
        <v>31</v>
      </c>
      <c r="E1023" s="83" t="s">
        <v>3910</v>
      </c>
      <c r="F1023" s="82">
        <f>IFERROR(VLOOKUP(E1023,客户!B:C,2,FALSE),"/")</f>
        <v>0</v>
      </c>
      <c r="G1023" s="229" t="s">
        <v>3911</v>
      </c>
      <c r="H1023" s="45" t="s">
        <v>123</v>
      </c>
      <c r="I1023" s="45" t="s">
        <v>3508</v>
      </c>
      <c r="J1023" s="157">
        <v>44124</v>
      </c>
      <c r="K1023" s="93">
        <v>44182</v>
      </c>
      <c r="L1023" s="201"/>
      <c r="M1023" s="343" t="s">
        <v>3991</v>
      </c>
      <c r="N1023" s="339" t="s">
        <v>3916</v>
      </c>
      <c r="O1023" s="264" t="s">
        <v>970</v>
      </c>
      <c r="P1023" s="107">
        <v>21405.26</v>
      </c>
      <c r="Q1023" s="240"/>
      <c r="R1023" s="129"/>
      <c r="S1023" s="130"/>
      <c r="T1023" s="107">
        <v>21405.26</v>
      </c>
      <c r="U1023" s="93"/>
      <c r="V1023" s="107"/>
      <c r="W1023" s="45"/>
    </row>
    <row r="1024" s="40" customFormat="1" ht="22" customHeight="1" spans="1:23">
      <c r="A1024" s="142" t="s">
        <v>3992</v>
      </c>
      <c r="B1024" s="174" t="s">
        <v>3596</v>
      </c>
      <c r="C1024" s="175"/>
      <c r="D1024" s="45" t="s">
        <v>31</v>
      </c>
      <c r="E1024" s="83" t="s">
        <v>3910</v>
      </c>
      <c r="F1024" s="82">
        <f>IFERROR(VLOOKUP(E1024,客户!B:C,2,FALSE),"/")</f>
        <v>0</v>
      </c>
      <c r="G1024" s="229" t="s">
        <v>3993</v>
      </c>
      <c r="H1024" s="45" t="s">
        <v>123</v>
      </c>
      <c r="I1024" s="45" t="s">
        <v>3508</v>
      </c>
      <c r="J1024" s="157">
        <v>44124</v>
      </c>
      <c r="K1024" s="93">
        <v>44203</v>
      </c>
      <c r="L1024" s="201"/>
      <c r="M1024" s="343" t="s">
        <v>3994</v>
      </c>
      <c r="N1024" s="339" t="s">
        <v>3995</v>
      </c>
      <c r="O1024" s="264" t="s">
        <v>970</v>
      </c>
      <c r="P1024" s="107">
        <v>14890.72</v>
      </c>
      <c r="Q1024" s="240"/>
      <c r="R1024" s="129"/>
      <c r="S1024" s="130"/>
      <c r="T1024" s="107">
        <v>14890.72</v>
      </c>
      <c r="U1024" s="93"/>
      <c r="V1024" s="247" t="s">
        <v>3996</v>
      </c>
      <c r="W1024" s="45"/>
    </row>
    <row r="1025" s="40" customFormat="1" ht="22" customHeight="1" spans="1:23">
      <c r="A1025" s="142" t="s">
        <v>3997</v>
      </c>
      <c r="B1025" s="174" t="s">
        <v>3596</v>
      </c>
      <c r="C1025" s="175"/>
      <c r="D1025" s="45" t="s">
        <v>31</v>
      </c>
      <c r="E1025" s="83" t="s">
        <v>3937</v>
      </c>
      <c r="F1025" s="82">
        <f>IFERROR(VLOOKUP(E1025,客户!B:C,2,FALSE),"/")</f>
        <v>0</v>
      </c>
      <c r="G1025" s="229" t="s">
        <v>3998</v>
      </c>
      <c r="H1025" s="45" t="s">
        <v>186</v>
      </c>
      <c r="I1025" s="45"/>
      <c r="J1025" s="157">
        <v>44139</v>
      </c>
      <c r="K1025" s="93">
        <v>44275</v>
      </c>
      <c r="L1025" s="201"/>
      <c r="M1025" s="343" t="s">
        <v>3999</v>
      </c>
      <c r="N1025" s="339" t="s">
        <v>4000</v>
      </c>
      <c r="O1025" s="264" t="s">
        <v>970</v>
      </c>
      <c r="P1025" s="240">
        <v>96839</v>
      </c>
      <c r="Q1025" s="240">
        <f>10000+7500</f>
        <v>17500</v>
      </c>
      <c r="R1025" s="129"/>
      <c r="S1025" s="130"/>
      <c r="T1025" s="240">
        <f>8000+7598</f>
        <v>15598</v>
      </c>
      <c r="U1025" s="240">
        <v>63391</v>
      </c>
      <c r="V1025" s="107"/>
      <c r="W1025" s="45"/>
    </row>
    <row r="1026" s="40" customFormat="1" ht="22" customHeight="1" spans="1:23">
      <c r="A1026" s="142" t="s">
        <v>4001</v>
      </c>
      <c r="B1026" s="174" t="s">
        <v>3596</v>
      </c>
      <c r="C1026" s="175"/>
      <c r="D1026" s="45" t="s">
        <v>31</v>
      </c>
      <c r="E1026" s="83" t="s">
        <v>3859</v>
      </c>
      <c r="F1026" s="82">
        <f>IFERROR(VLOOKUP(E1026,客户!B:C,2,FALSE),"/")</f>
        <v>0</v>
      </c>
      <c r="G1026" s="229" t="s">
        <v>4002</v>
      </c>
      <c r="H1026" s="45" t="s">
        <v>123</v>
      </c>
      <c r="I1026" s="45" t="s">
        <v>3849</v>
      </c>
      <c r="J1026" s="157">
        <v>44140</v>
      </c>
      <c r="K1026" s="93">
        <v>44200</v>
      </c>
      <c r="L1026" s="93">
        <v>44224</v>
      </c>
      <c r="M1026" s="156" t="s">
        <v>4003</v>
      </c>
      <c r="N1026" s="339" t="s">
        <v>4004</v>
      </c>
      <c r="O1026" s="264" t="s">
        <v>523</v>
      </c>
      <c r="P1026" s="107">
        <v>51291</v>
      </c>
      <c r="Q1026" s="107">
        <v>13373</v>
      </c>
      <c r="R1026" s="129"/>
      <c r="S1026" s="130"/>
      <c r="T1026" s="107">
        <v>37918</v>
      </c>
      <c r="U1026" s="93"/>
      <c r="V1026" s="107"/>
      <c r="W1026" s="45"/>
    </row>
    <row r="1027" s="40" customFormat="1" ht="22" customHeight="1" spans="1:23">
      <c r="A1027" s="142" t="s">
        <v>4005</v>
      </c>
      <c r="B1027" s="174" t="s">
        <v>3596</v>
      </c>
      <c r="C1027" s="175"/>
      <c r="D1027" s="45" t="s">
        <v>31</v>
      </c>
      <c r="E1027" s="83" t="s">
        <v>3922</v>
      </c>
      <c r="F1027" s="82">
        <f>IFERROR(VLOOKUP(E1027,客户!B:C,2,FALSE),"/")</f>
        <v>0</v>
      </c>
      <c r="G1027" s="229" t="s">
        <v>4006</v>
      </c>
      <c r="H1027" s="45" t="s">
        <v>123</v>
      </c>
      <c r="I1027" s="45" t="s">
        <v>3808</v>
      </c>
      <c r="J1027" s="157">
        <v>44148</v>
      </c>
      <c r="K1027" s="93">
        <v>44227</v>
      </c>
      <c r="L1027" s="201"/>
      <c r="M1027" s="343" t="s">
        <v>4007</v>
      </c>
      <c r="N1027" s="339" t="s">
        <v>4008</v>
      </c>
      <c r="O1027" s="264" t="s">
        <v>970</v>
      </c>
      <c r="P1027" s="107">
        <f>30367.8+1009</f>
        <v>31376.8</v>
      </c>
      <c r="Q1027" s="107">
        <v>9110.34</v>
      </c>
      <c r="R1027" s="129"/>
      <c r="S1027" s="130"/>
      <c r="T1027" s="107">
        <v>22266.46</v>
      </c>
      <c r="U1027" s="93"/>
      <c r="V1027" s="107"/>
      <c r="W1027" s="45"/>
    </row>
    <row r="1028" s="40" customFormat="1" ht="22" customHeight="1" spans="1:23">
      <c r="A1028" s="260" t="s">
        <v>4009</v>
      </c>
      <c r="B1028" s="174" t="s">
        <v>3596</v>
      </c>
      <c r="C1028" s="175"/>
      <c r="D1028" s="45" t="s">
        <v>31</v>
      </c>
      <c r="E1028" s="83" t="s">
        <v>4010</v>
      </c>
      <c r="F1028" s="82">
        <f>IFERROR(VLOOKUP(E1028,客户!B:C,2,FALSE),"/")</f>
        <v>0</v>
      </c>
      <c r="G1028" s="307" t="s">
        <v>4011</v>
      </c>
      <c r="H1028" s="144" t="s">
        <v>123</v>
      </c>
      <c r="I1028" s="110" t="s">
        <v>3840</v>
      </c>
      <c r="J1028" s="110">
        <v>44153</v>
      </c>
      <c r="K1028" s="93">
        <v>44206</v>
      </c>
      <c r="L1028" s="93">
        <v>44230</v>
      </c>
      <c r="M1028" s="315" t="s">
        <v>4012</v>
      </c>
      <c r="N1028" s="339" t="s">
        <v>4013</v>
      </c>
      <c r="O1028" s="264" t="s">
        <v>523</v>
      </c>
      <c r="P1028" s="107">
        <v>18000</v>
      </c>
      <c r="Q1028" s="107">
        <v>3600</v>
      </c>
      <c r="R1028" s="129"/>
      <c r="S1028" s="130"/>
      <c r="T1028" s="107">
        <v>14400</v>
      </c>
      <c r="U1028" s="93"/>
      <c r="V1028" s="107"/>
      <c r="W1028" s="45"/>
    </row>
    <row r="1029" s="40" customFormat="1" ht="22" customHeight="1" spans="1:23">
      <c r="A1029" s="260" t="s">
        <v>4014</v>
      </c>
      <c r="B1029" s="174" t="s">
        <v>3596</v>
      </c>
      <c r="C1029" s="175"/>
      <c r="D1029" s="45" t="s">
        <v>31</v>
      </c>
      <c r="E1029" s="83" t="s">
        <v>3859</v>
      </c>
      <c r="F1029" s="82">
        <f>IFERROR(VLOOKUP(E1029,客户!B:C,2,FALSE),"/")</f>
        <v>0</v>
      </c>
      <c r="G1029" s="307" t="s">
        <v>4015</v>
      </c>
      <c r="H1029" s="144" t="s">
        <v>123</v>
      </c>
      <c r="I1029" s="45" t="s">
        <v>3849</v>
      </c>
      <c r="J1029" s="110">
        <v>44154</v>
      </c>
      <c r="K1029" s="93">
        <v>44212</v>
      </c>
      <c r="L1029" s="93">
        <v>44242</v>
      </c>
      <c r="M1029" s="315" t="s">
        <v>4016</v>
      </c>
      <c r="N1029" s="339" t="s">
        <v>4017</v>
      </c>
      <c r="O1029" s="264" t="s">
        <v>523</v>
      </c>
      <c r="P1029" s="107">
        <v>69650</v>
      </c>
      <c r="Q1029" s="107">
        <v>23595</v>
      </c>
      <c r="R1029" s="129"/>
      <c r="S1029" s="130"/>
      <c r="T1029" s="107">
        <v>40000</v>
      </c>
      <c r="U1029" s="107">
        <v>6085</v>
      </c>
      <c r="V1029" s="247" t="s">
        <v>4018</v>
      </c>
      <c r="W1029" s="45"/>
    </row>
    <row r="1030" s="40" customFormat="1" ht="22" customHeight="1" spans="1:23">
      <c r="A1030" s="260" t="s">
        <v>4019</v>
      </c>
      <c r="B1030" s="174" t="s">
        <v>3596</v>
      </c>
      <c r="C1030" s="175"/>
      <c r="D1030" s="45" t="s">
        <v>31</v>
      </c>
      <c r="E1030" s="83" t="s">
        <v>4010</v>
      </c>
      <c r="F1030" s="82">
        <f>IFERROR(VLOOKUP(E1030,客户!B:C,2,FALSE),"/")</f>
        <v>0</v>
      </c>
      <c r="G1030" s="307" t="s">
        <v>4011</v>
      </c>
      <c r="H1030" s="144" t="s">
        <v>123</v>
      </c>
      <c r="I1030" s="110" t="s">
        <v>3840</v>
      </c>
      <c r="J1030" s="110">
        <v>44165</v>
      </c>
      <c r="K1030" s="93">
        <v>44232</v>
      </c>
      <c r="L1030" s="93">
        <v>44263</v>
      </c>
      <c r="M1030" s="315" t="s">
        <v>4020</v>
      </c>
      <c r="N1030" s="339" t="s">
        <v>4021</v>
      </c>
      <c r="O1030" s="264" t="s">
        <v>523</v>
      </c>
      <c r="P1030" s="107">
        <v>18657.5</v>
      </c>
      <c r="Q1030" s="107">
        <v>3700</v>
      </c>
      <c r="R1030" s="129"/>
      <c r="S1030" s="130"/>
      <c r="T1030" s="107">
        <v>14957.5</v>
      </c>
      <c r="U1030" s="93"/>
      <c r="V1030" s="107"/>
      <c r="W1030" s="45"/>
    </row>
    <row r="1031" s="40" customFormat="1" ht="22" customHeight="1" spans="1:23">
      <c r="A1031" s="260" t="s">
        <v>4022</v>
      </c>
      <c r="B1031" s="174" t="s">
        <v>3596</v>
      </c>
      <c r="C1031" s="175"/>
      <c r="D1031" s="45" t="s">
        <v>31</v>
      </c>
      <c r="E1031" s="83" t="s">
        <v>3883</v>
      </c>
      <c r="F1031" s="82">
        <f>IFERROR(VLOOKUP(E1031,客户!B:C,2,FALSE),"/")</f>
        <v>0</v>
      </c>
      <c r="G1031" s="307" t="s">
        <v>4023</v>
      </c>
      <c r="H1031" s="144" t="s">
        <v>127</v>
      </c>
      <c r="I1031" s="110" t="s">
        <v>4024</v>
      </c>
      <c r="J1031" s="110">
        <v>44169</v>
      </c>
      <c r="K1031" s="93">
        <v>44235</v>
      </c>
      <c r="L1031" s="93">
        <v>44267</v>
      </c>
      <c r="M1031" s="315" t="s">
        <v>4025</v>
      </c>
      <c r="N1031" s="339" t="s">
        <v>4026</v>
      </c>
      <c r="O1031" s="264" t="s">
        <v>970</v>
      </c>
      <c r="P1031" s="107">
        <v>26447.7</v>
      </c>
      <c r="Q1031" s="107">
        <f>52000/6.53</f>
        <v>7963.24655436447</v>
      </c>
      <c r="R1031" s="129"/>
      <c r="S1031" s="130"/>
      <c r="T1031" s="107">
        <f>117424.95/6.46</f>
        <v>18177.2368421053</v>
      </c>
      <c r="U1031" s="93"/>
      <c r="V1031" s="107" t="s">
        <v>4027</v>
      </c>
      <c r="W1031" s="45"/>
    </row>
    <row r="1032" s="40" customFormat="1" ht="22" customHeight="1" spans="1:23">
      <c r="A1032" s="260" t="s">
        <v>4028</v>
      </c>
      <c r="B1032" s="174" t="s">
        <v>3596</v>
      </c>
      <c r="C1032" s="175"/>
      <c r="D1032" s="45" t="s">
        <v>31</v>
      </c>
      <c r="E1032" s="83" t="s">
        <v>4029</v>
      </c>
      <c r="F1032" s="82">
        <f>IFERROR(VLOOKUP(E1032,客户!B:C,2,FALSE),"/")</f>
        <v>0</v>
      </c>
      <c r="G1032" s="307" t="s">
        <v>4030</v>
      </c>
      <c r="H1032" s="144" t="s">
        <v>123</v>
      </c>
      <c r="I1032" s="110" t="s">
        <v>4031</v>
      </c>
      <c r="J1032" s="110">
        <v>44170</v>
      </c>
      <c r="K1032" s="93">
        <v>44198</v>
      </c>
      <c r="L1032" s="93">
        <v>44226</v>
      </c>
      <c r="M1032" s="315" t="s">
        <v>4032</v>
      </c>
      <c r="N1032" s="339" t="s">
        <v>4033</v>
      </c>
      <c r="O1032" s="264" t="s">
        <v>1283</v>
      </c>
      <c r="P1032" s="107">
        <v>44179.9</v>
      </c>
      <c r="Q1032" s="107"/>
      <c r="R1032" s="129"/>
      <c r="S1032" s="130"/>
      <c r="T1032" s="107">
        <v>44179.9</v>
      </c>
      <c r="U1032" s="93"/>
      <c r="V1032" s="107"/>
      <c r="W1032" s="45"/>
    </row>
    <row r="1033" s="40" customFormat="1" ht="22" customHeight="1" spans="1:23">
      <c r="A1033" s="260" t="s">
        <v>4034</v>
      </c>
      <c r="B1033" s="174" t="s">
        <v>3596</v>
      </c>
      <c r="C1033" s="175"/>
      <c r="D1033" s="45" t="s">
        <v>31</v>
      </c>
      <c r="E1033" s="83" t="s">
        <v>3900</v>
      </c>
      <c r="F1033" s="82">
        <f>IFERROR(VLOOKUP(E1033,客户!B:C,2,FALSE),"/")</f>
        <v>0</v>
      </c>
      <c r="G1033" s="307" t="s">
        <v>4035</v>
      </c>
      <c r="H1033" s="144" t="s">
        <v>123</v>
      </c>
      <c r="I1033" s="110" t="s">
        <v>3902</v>
      </c>
      <c r="J1033" s="110">
        <v>44175</v>
      </c>
      <c r="K1033" s="93">
        <v>44320</v>
      </c>
      <c r="L1033" s="93">
        <v>44369</v>
      </c>
      <c r="M1033" s="326" t="s">
        <v>4036</v>
      </c>
      <c r="N1033" s="339" t="s">
        <v>4037</v>
      </c>
      <c r="O1033" s="264" t="s">
        <v>523</v>
      </c>
      <c r="P1033" s="107">
        <v>67204.07</v>
      </c>
      <c r="Q1033" s="107">
        <v>13192.68</v>
      </c>
      <c r="R1033" s="129"/>
      <c r="S1033" s="130"/>
      <c r="T1033" s="322">
        <v>54011.39</v>
      </c>
      <c r="U1033" s="93"/>
      <c r="V1033" s="107"/>
      <c r="W1033" s="45"/>
    </row>
    <row r="1034" s="40" customFormat="1" ht="22" customHeight="1" spans="1:23">
      <c r="A1034" s="260" t="s">
        <v>4038</v>
      </c>
      <c r="B1034" s="174" t="s">
        <v>3596</v>
      </c>
      <c r="C1034" s="175"/>
      <c r="D1034" s="45" t="s">
        <v>31</v>
      </c>
      <c r="E1034" s="83" t="s">
        <v>4039</v>
      </c>
      <c r="F1034" s="82">
        <f>IFERROR(VLOOKUP(E1034,客户!B:C,2,FALSE),"/")</f>
        <v>0</v>
      </c>
      <c r="G1034" s="307" t="s">
        <v>4040</v>
      </c>
      <c r="H1034" s="144" t="s">
        <v>123</v>
      </c>
      <c r="I1034" s="110" t="s">
        <v>4041</v>
      </c>
      <c r="J1034" s="110">
        <v>44182</v>
      </c>
      <c r="K1034" s="93">
        <v>44224</v>
      </c>
      <c r="L1034" s="93">
        <v>44264</v>
      </c>
      <c r="M1034" s="315" t="s">
        <v>4042</v>
      </c>
      <c r="N1034" s="339" t="s">
        <v>4043</v>
      </c>
      <c r="O1034" s="264" t="s">
        <v>970</v>
      </c>
      <c r="P1034" s="107">
        <v>27888.3</v>
      </c>
      <c r="Q1034" s="107">
        <v>7488.3</v>
      </c>
      <c r="R1034" s="129"/>
      <c r="S1034" s="130"/>
      <c r="T1034" s="107">
        <v>20400</v>
      </c>
      <c r="U1034" s="93"/>
      <c r="V1034" s="107"/>
      <c r="W1034" s="45"/>
    </row>
    <row r="1035" s="40" customFormat="1" ht="22" customHeight="1" spans="1:23">
      <c r="A1035" s="260" t="s">
        <v>4044</v>
      </c>
      <c r="B1035" s="174" t="s">
        <v>3596</v>
      </c>
      <c r="C1035" s="175"/>
      <c r="D1035" s="45" t="s">
        <v>31</v>
      </c>
      <c r="E1035" s="83" t="s">
        <v>3883</v>
      </c>
      <c r="F1035" s="82">
        <f>IFERROR(VLOOKUP(E1035,客户!B:C,2,FALSE),"/")</f>
        <v>0</v>
      </c>
      <c r="G1035" s="307" t="s">
        <v>4045</v>
      </c>
      <c r="H1035" s="144" t="s">
        <v>127</v>
      </c>
      <c r="I1035" s="110" t="s">
        <v>4024</v>
      </c>
      <c r="J1035" s="110">
        <v>44211</v>
      </c>
      <c r="K1035" s="93">
        <v>44317</v>
      </c>
      <c r="L1035" s="93">
        <v>44333</v>
      </c>
      <c r="M1035" s="315" t="s">
        <v>4046</v>
      </c>
      <c r="N1035" s="339" t="s">
        <v>4047</v>
      </c>
      <c r="O1035" s="264" t="s">
        <v>970</v>
      </c>
      <c r="P1035" s="107">
        <v>28158.9</v>
      </c>
      <c r="Q1035" s="107">
        <f>50000/6.46</f>
        <v>7739.93808049536</v>
      </c>
      <c r="R1035" s="129"/>
      <c r="S1035" s="130"/>
      <c r="T1035" s="107">
        <f>130709.14/6.48</f>
        <v>20171.1635802469</v>
      </c>
      <c r="U1035" s="93"/>
      <c r="V1035" s="107"/>
      <c r="W1035" s="45"/>
    </row>
    <row r="1036" s="40" customFormat="1" ht="22" customHeight="1" spans="1:23">
      <c r="A1036" s="260" t="s">
        <v>4048</v>
      </c>
      <c r="B1036" s="174" t="s">
        <v>3596</v>
      </c>
      <c r="C1036" s="175"/>
      <c r="D1036" s="45" t="s">
        <v>31</v>
      </c>
      <c r="E1036" s="83" t="s">
        <v>3937</v>
      </c>
      <c r="F1036" s="82">
        <f>IFERROR(VLOOKUP(E1036,客户!B:C,2,FALSE),"/")</f>
        <v>0</v>
      </c>
      <c r="G1036" s="308" t="s">
        <v>4049</v>
      </c>
      <c r="H1036" s="324" t="s">
        <v>186</v>
      </c>
      <c r="I1036" s="110"/>
      <c r="J1036" s="110">
        <v>44255</v>
      </c>
      <c r="K1036" s="93">
        <v>44316</v>
      </c>
      <c r="L1036" s="93"/>
      <c r="M1036" s="315" t="s">
        <v>4050</v>
      </c>
      <c r="N1036" s="339" t="s">
        <v>4051</v>
      </c>
      <c r="O1036" s="264" t="s">
        <v>970</v>
      </c>
      <c r="P1036" s="240">
        <v>163685.6</v>
      </c>
      <c r="Q1036" s="240">
        <v>20000</v>
      </c>
      <c r="R1036" s="129"/>
      <c r="S1036" s="130"/>
      <c r="T1036" s="349">
        <v>143535</v>
      </c>
      <c r="U1036" s="240">
        <v>150</v>
      </c>
      <c r="V1036" s="107"/>
      <c r="W1036" s="45"/>
    </row>
    <row r="1037" s="40" customFormat="1" ht="22" customHeight="1" spans="1:23">
      <c r="A1037" s="260" t="s">
        <v>4052</v>
      </c>
      <c r="B1037" s="174" t="s">
        <v>3596</v>
      </c>
      <c r="C1037" s="175"/>
      <c r="D1037" s="45" t="s">
        <v>31</v>
      </c>
      <c r="E1037" s="83" t="s">
        <v>3937</v>
      </c>
      <c r="F1037" s="82">
        <f>IFERROR(VLOOKUP(E1037,客户!B:C,2,FALSE),"/")</f>
        <v>0</v>
      </c>
      <c r="G1037" s="308" t="s">
        <v>4049</v>
      </c>
      <c r="H1037" s="324" t="s">
        <v>186</v>
      </c>
      <c r="I1037" s="110"/>
      <c r="J1037" s="110">
        <v>44255</v>
      </c>
      <c r="K1037" s="93">
        <v>44372</v>
      </c>
      <c r="L1037" s="93"/>
      <c r="M1037" s="315" t="s">
        <v>4053</v>
      </c>
      <c r="N1037" s="339" t="s">
        <v>4000</v>
      </c>
      <c r="O1037" s="264" t="s">
        <v>970</v>
      </c>
      <c r="P1037" s="240">
        <v>75174</v>
      </c>
      <c r="Q1037" s="240"/>
      <c r="R1037" s="129"/>
      <c r="S1037" s="130"/>
      <c r="T1037" s="349"/>
      <c r="U1037" s="240">
        <f>19850+890</f>
        <v>20740</v>
      </c>
      <c r="V1037" s="107"/>
      <c r="W1037" s="45"/>
    </row>
    <row r="1038" s="40" customFormat="1" ht="22" customHeight="1" spans="1:23">
      <c r="A1038" s="260" t="s">
        <v>4054</v>
      </c>
      <c r="B1038" s="174" t="s">
        <v>3596</v>
      </c>
      <c r="C1038" s="175"/>
      <c r="D1038" s="45" t="s">
        <v>31</v>
      </c>
      <c r="E1038" s="83" t="s">
        <v>3937</v>
      </c>
      <c r="F1038" s="82">
        <f>IFERROR(VLOOKUP(E1038,客户!B:C,2,FALSE),"/")</f>
        <v>0</v>
      </c>
      <c r="G1038" s="308" t="s">
        <v>4049</v>
      </c>
      <c r="H1038" s="324" t="s">
        <v>186</v>
      </c>
      <c r="I1038" s="110"/>
      <c r="J1038" s="110">
        <v>44255</v>
      </c>
      <c r="K1038" s="93">
        <v>44347</v>
      </c>
      <c r="L1038" s="93"/>
      <c r="M1038" s="315" t="s">
        <v>4053</v>
      </c>
      <c r="N1038" s="339" t="s">
        <v>4000</v>
      </c>
      <c r="O1038" s="264" t="s">
        <v>970</v>
      </c>
      <c r="P1038" s="240">
        <v>15566</v>
      </c>
      <c r="Q1038" s="240">
        <v>20000</v>
      </c>
      <c r="R1038" s="129"/>
      <c r="S1038" s="130"/>
      <c r="T1038" s="240">
        <v>50000</v>
      </c>
      <c r="U1038" s="93"/>
      <c r="V1038" s="107" t="s">
        <v>4055</v>
      </c>
      <c r="W1038" s="45"/>
    </row>
    <row r="1039" s="40" customFormat="1" ht="22" customHeight="1" spans="1:23">
      <c r="A1039" s="260" t="s">
        <v>4056</v>
      </c>
      <c r="B1039" s="174" t="s">
        <v>3596</v>
      </c>
      <c r="C1039" s="175"/>
      <c r="D1039" s="45" t="s">
        <v>31</v>
      </c>
      <c r="E1039" s="83" t="s">
        <v>3922</v>
      </c>
      <c r="F1039" s="82">
        <f>IFERROR(VLOOKUP(E1039,客户!B:C,2,FALSE),"/")</f>
        <v>0</v>
      </c>
      <c r="G1039" s="308" t="s">
        <v>4057</v>
      </c>
      <c r="H1039" s="324" t="s">
        <v>123</v>
      </c>
      <c r="I1039" s="110" t="s">
        <v>3808</v>
      </c>
      <c r="J1039" s="110">
        <v>44257</v>
      </c>
      <c r="K1039" s="93">
        <v>44295</v>
      </c>
      <c r="L1039" s="93"/>
      <c r="M1039" s="315" t="s">
        <v>4058</v>
      </c>
      <c r="N1039" s="339" t="s">
        <v>4059</v>
      </c>
      <c r="O1039" s="264" t="s">
        <v>970</v>
      </c>
      <c r="P1039" s="107">
        <v>21805.88</v>
      </c>
      <c r="Q1039" s="107">
        <v>6541.76</v>
      </c>
      <c r="R1039" s="129"/>
      <c r="S1039" s="130"/>
      <c r="T1039" s="107">
        <v>15264.12</v>
      </c>
      <c r="U1039" s="93"/>
      <c r="V1039" s="107"/>
      <c r="W1039" s="45"/>
    </row>
    <row r="1040" s="40" customFormat="1" ht="22" customHeight="1" spans="1:23">
      <c r="A1040" s="260" t="s">
        <v>4060</v>
      </c>
      <c r="B1040" s="174" t="s">
        <v>3596</v>
      </c>
      <c r="C1040" s="175"/>
      <c r="D1040" s="45" t="s">
        <v>31</v>
      </c>
      <c r="E1040" s="83" t="s">
        <v>4061</v>
      </c>
      <c r="F1040" s="82">
        <f>IFERROR(VLOOKUP(E1040,客户!B:C,2,FALSE),"/")</f>
        <v>0</v>
      </c>
      <c r="G1040" s="308" t="s">
        <v>4062</v>
      </c>
      <c r="H1040" s="324" t="s">
        <v>186</v>
      </c>
      <c r="I1040" s="110"/>
      <c r="J1040" s="110">
        <v>44260</v>
      </c>
      <c r="K1040" s="93">
        <v>44261</v>
      </c>
      <c r="L1040" s="93"/>
      <c r="M1040" s="315" t="s">
        <v>4063</v>
      </c>
      <c r="N1040" s="339"/>
      <c r="O1040" s="264" t="s">
        <v>970</v>
      </c>
      <c r="P1040" s="240">
        <v>9250</v>
      </c>
      <c r="Q1040" s="240">
        <v>9250</v>
      </c>
      <c r="R1040" s="129"/>
      <c r="S1040" s="130"/>
      <c r="T1040" s="240"/>
      <c r="U1040" s="93"/>
      <c r="V1040" s="107"/>
      <c r="W1040" s="45"/>
    </row>
    <row r="1041" s="40" customFormat="1" ht="22" customHeight="1" spans="1:23">
      <c r="A1041" s="260" t="s">
        <v>4064</v>
      </c>
      <c r="B1041" s="174" t="s">
        <v>3596</v>
      </c>
      <c r="C1041" s="175"/>
      <c r="D1041" s="45" t="s">
        <v>31</v>
      </c>
      <c r="E1041" s="83" t="s">
        <v>4065</v>
      </c>
      <c r="F1041" s="82">
        <f>IFERROR(VLOOKUP(E1041,客户!B:C,2,FALSE),"/")</f>
        <v>0</v>
      </c>
      <c r="G1041" s="308" t="s">
        <v>4066</v>
      </c>
      <c r="H1041" s="324" t="s">
        <v>123</v>
      </c>
      <c r="I1041" s="110" t="s">
        <v>3849</v>
      </c>
      <c r="J1041" s="110">
        <v>44263</v>
      </c>
      <c r="K1041" s="93">
        <v>44327</v>
      </c>
      <c r="L1041" s="93">
        <v>44354</v>
      </c>
      <c r="M1041" s="315" t="s">
        <v>4067</v>
      </c>
      <c r="N1041" s="339" t="s">
        <v>4068</v>
      </c>
      <c r="O1041" s="264" t="s">
        <v>970</v>
      </c>
      <c r="P1041" s="107">
        <v>24671.6</v>
      </c>
      <c r="Q1041" s="235">
        <v>7202</v>
      </c>
      <c r="R1041" s="129"/>
      <c r="S1041" s="130"/>
      <c r="T1041" s="107">
        <v>17469.6</v>
      </c>
      <c r="U1041" s="93"/>
      <c r="V1041" s="107"/>
      <c r="W1041" s="45"/>
    </row>
    <row r="1042" s="40" customFormat="1" ht="22" customHeight="1" spans="1:23">
      <c r="A1042" s="260" t="s">
        <v>4069</v>
      </c>
      <c r="B1042" s="174" t="s">
        <v>3596</v>
      </c>
      <c r="C1042" s="175"/>
      <c r="D1042" s="229" t="s">
        <v>31</v>
      </c>
      <c r="E1042" s="83" t="s">
        <v>3972</v>
      </c>
      <c r="F1042" s="82">
        <f>IFERROR(VLOOKUP(E1042,客户!B:C,2,FALSE),"/")</f>
        <v>0</v>
      </c>
      <c r="G1042" s="308" t="s">
        <v>4070</v>
      </c>
      <c r="H1042" s="324" t="s">
        <v>123</v>
      </c>
      <c r="I1042" s="110" t="s">
        <v>770</v>
      </c>
      <c r="J1042" s="110">
        <v>44270</v>
      </c>
      <c r="K1042" s="93">
        <v>44337</v>
      </c>
      <c r="L1042" s="93">
        <v>44367</v>
      </c>
      <c r="M1042" s="315" t="s">
        <v>4071</v>
      </c>
      <c r="N1042" s="343" t="s">
        <v>4072</v>
      </c>
      <c r="O1042" s="264" t="s">
        <v>523</v>
      </c>
      <c r="P1042" s="107">
        <v>25959.23</v>
      </c>
      <c r="Q1042" s="235">
        <v>8000</v>
      </c>
      <c r="R1042" s="129"/>
      <c r="S1042" s="130"/>
      <c r="T1042" s="235">
        <v>17959.23</v>
      </c>
      <c r="U1042" s="93"/>
      <c r="V1042" s="107"/>
      <c r="W1042" s="45"/>
    </row>
    <row r="1043" s="40" customFormat="1" ht="22" customHeight="1" spans="1:23">
      <c r="A1043" s="260" t="s">
        <v>4073</v>
      </c>
      <c r="B1043" s="174" t="s">
        <v>3596</v>
      </c>
      <c r="C1043" s="175"/>
      <c r="D1043" s="45" t="s">
        <v>31</v>
      </c>
      <c r="E1043" s="83" t="s">
        <v>3910</v>
      </c>
      <c r="F1043" s="82">
        <f>IFERROR(VLOOKUP(E1043,客户!B:C,2,FALSE),"/")</f>
        <v>0</v>
      </c>
      <c r="G1043" s="308" t="s">
        <v>4074</v>
      </c>
      <c r="H1043" s="324" t="s">
        <v>123</v>
      </c>
      <c r="I1043" s="110" t="s">
        <v>3508</v>
      </c>
      <c r="J1043" s="110">
        <v>44272</v>
      </c>
      <c r="K1043" s="93">
        <v>44312</v>
      </c>
      <c r="L1043" s="93"/>
      <c r="M1043" s="315" t="s">
        <v>4075</v>
      </c>
      <c r="N1043" s="339" t="s">
        <v>4076</v>
      </c>
      <c r="O1043" s="264" t="s">
        <v>970</v>
      </c>
      <c r="P1043" s="107">
        <v>27068.8</v>
      </c>
      <c r="Q1043" s="317"/>
      <c r="R1043" s="129"/>
      <c r="S1043" s="130"/>
      <c r="T1043" s="107">
        <v>27068.8</v>
      </c>
      <c r="U1043" s="93"/>
      <c r="V1043" s="107"/>
      <c r="W1043" s="45"/>
    </row>
    <row r="1044" s="40" customFormat="1" ht="22" customHeight="1" spans="1:23">
      <c r="A1044" s="260" t="s">
        <v>4077</v>
      </c>
      <c r="B1044" s="174" t="s">
        <v>3596</v>
      </c>
      <c r="C1044" s="175"/>
      <c r="D1044" s="229" t="s">
        <v>31</v>
      </c>
      <c r="E1044" s="83" t="s">
        <v>3900</v>
      </c>
      <c r="F1044" s="82">
        <f>IFERROR(VLOOKUP(E1044,客户!B:C,2,FALSE),"/")</f>
        <v>0</v>
      </c>
      <c r="G1044" s="308" t="s">
        <v>4078</v>
      </c>
      <c r="H1044" s="324" t="s">
        <v>123</v>
      </c>
      <c r="I1044" s="110" t="s">
        <v>3902</v>
      </c>
      <c r="J1044" s="110">
        <v>44281</v>
      </c>
      <c r="K1044" s="93">
        <v>44402</v>
      </c>
      <c r="L1044" s="93">
        <v>44446</v>
      </c>
      <c r="M1044" s="315" t="s">
        <v>4079</v>
      </c>
      <c r="N1044" s="339" t="s">
        <v>4080</v>
      </c>
      <c r="O1044" s="264" t="s">
        <v>523</v>
      </c>
      <c r="P1044" s="107">
        <v>81186.21</v>
      </c>
      <c r="Q1044" s="235">
        <v>15596.34</v>
      </c>
      <c r="R1044" s="129"/>
      <c r="S1044" s="130"/>
      <c r="T1044" s="107">
        <v>33774.29</v>
      </c>
      <c r="U1044" s="235">
        <v>31815.58</v>
      </c>
      <c r="V1044" s="107"/>
      <c r="W1044" s="45"/>
    </row>
    <row r="1045" s="40" customFormat="1" ht="22" customHeight="1" spans="1:23">
      <c r="A1045" s="260" t="s">
        <v>4081</v>
      </c>
      <c r="B1045" s="174" t="s">
        <v>3596</v>
      </c>
      <c r="C1045" s="175"/>
      <c r="D1045" s="229" t="s">
        <v>31</v>
      </c>
      <c r="E1045" s="83" t="s">
        <v>4039</v>
      </c>
      <c r="F1045" s="82">
        <f>IFERROR(VLOOKUP(E1045,客户!B:C,2,FALSE),"/")</f>
        <v>0</v>
      </c>
      <c r="G1045" s="308" t="s">
        <v>4082</v>
      </c>
      <c r="H1045" s="324" t="s">
        <v>123</v>
      </c>
      <c r="I1045" s="110" t="s">
        <v>4041</v>
      </c>
      <c r="J1045" s="110">
        <v>44284</v>
      </c>
      <c r="K1045" s="93">
        <v>44406</v>
      </c>
      <c r="L1045" s="93">
        <v>44441</v>
      </c>
      <c r="M1045" s="315" t="s">
        <v>4083</v>
      </c>
      <c r="N1045" s="339" t="s">
        <v>4084</v>
      </c>
      <c r="O1045" s="264" t="s">
        <v>523</v>
      </c>
      <c r="P1045" s="107">
        <v>31725.6</v>
      </c>
      <c r="Q1045" s="235">
        <v>8613</v>
      </c>
      <c r="R1045" s="129"/>
      <c r="S1045" s="130"/>
      <c r="T1045" s="107">
        <v>23112.6</v>
      </c>
      <c r="U1045" s="93"/>
      <c r="V1045" s="107"/>
      <c r="W1045" s="45"/>
    </row>
    <row r="1046" s="40" customFormat="1" ht="22" customHeight="1" spans="1:23">
      <c r="A1046" s="290" t="s">
        <v>4085</v>
      </c>
      <c r="B1046" s="174" t="s">
        <v>3596</v>
      </c>
      <c r="C1046" s="175"/>
      <c r="D1046" s="229" t="s">
        <v>31</v>
      </c>
      <c r="E1046" s="83" t="s">
        <v>3883</v>
      </c>
      <c r="F1046" s="82">
        <f>IFERROR(VLOOKUP(E1046,客户!B:C,2,FALSE),"/")</f>
        <v>0</v>
      </c>
      <c r="G1046" s="308" t="s">
        <v>4074</v>
      </c>
      <c r="H1046" s="324" t="s">
        <v>147</v>
      </c>
      <c r="I1046" s="110" t="s">
        <v>4024</v>
      </c>
      <c r="J1046" s="110">
        <v>44288</v>
      </c>
      <c r="K1046" s="93">
        <v>44351</v>
      </c>
      <c r="L1046" s="196">
        <v>44376</v>
      </c>
      <c r="M1046" s="315" t="s">
        <v>4086</v>
      </c>
      <c r="N1046" s="339" t="s">
        <v>1570</v>
      </c>
      <c r="O1046" s="264" t="s">
        <v>970</v>
      </c>
      <c r="P1046" s="107">
        <v>33170.6</v>
      </c>
      <c r="Q1046" s="235"/>
      <c r="R1046" s="129"/>
      <c r="S1046" s="130"/>
      <c r="T1046" s="240">
        <v>150000</v>
      </c>
      <c r="U1046" s="93"/>
      <c r="V1046" s="107"/>
      <c r="W1046" s="45"/>
    </row>
    <row r="1047" s="40" customFormat="1" ht="22" customHeight="1" spans="1:23">
      <c r="A1047" s="260" t="s">
        <v>4087</v>
      </c>
      <c r="B1047" s="174" t="s">
        <v>3596</v>
      </c>
      <c r="C1047" s="175"/>
      <c r="D1047" s="229" t="s">
        <v>31</v>
      </c>
      <c r="E1047" s="83" t="s">
        <v>3883</v>
      </c>
      <c r="F1047" s="82">
        <f>IFERROR(VLOOKUP(E1047,客户!B:C,2,FALSE),"/")</f>
        <v>0</v>
      </c>
      <c r="G1047" s="308" t="s">
        <v>4074</v>
      </c>
      <c r="H1047" s="324" t="s">
        <v>147</v>
      </c>
      <c r="I1047" s="110" t="s">
        <v>4024</v>
      </c>
      <c r="J1047" s="110">
        <v>44288</v>
      </c>
      <c r="K1047" s="93">
        <v>44359</v>
      </c>
      <c r="L1047" s="93">
        <v>44375</v>
      </c>
      <c r="M1047" s="315" t="s">
        <v>4088</v>
      </c>
      <c r="N1047" s="339" t="s">
        <v>4089</v>
      </c>
      <c r="O1047" s="264" t="s">
        <v>970</v>
      </c>
      <c r="P1047" s="107">
        <v>33084.6</v>
      </c>
      <c r="Q1047" s="235">
        <f>100000/6.55</f>
        <v>15267.1755725191</v>
      </c>
      <c r="R1047" s="129"/>
      <c r="S1047" s="130"/>
      <c r="T1047" s="240">
        <v>150000</v>
      </c>
      <c r="U1047" s="107">
        <v>25000</v>
      </c>
      <c r="V1047" s="247" t="s">
        <v>4090</v>
      </c>
      <c r="W1047" s="45"/>
    </row>
    <row r="1048" s="40" customFormat="1" ht="22" customHeight="1" spans="1:23">
      <c r="A1048" s="290" t="s">
        <v>4091</v>
      </c>
      <c r="B1048" s="174" t="s">
        <v>3596</v>
      </c>
      <c r="C1048" s="175"/>
      <c r="D1048" s="229" t="s">
        <v>31</v>
      </c>
      <c r="E1048" s="83" t="s">
        <v>3922</v>
      </c>
      <c r="F1048" s="82">
        <f>IFERROR(VLOOKUP(E1048,客户!B:C,2,FALSE),"/")</f>
        <v>0</v>
      </c>
      <c r="G1048" s="308" t="s">
        <v>4070</v>
      </c>
      <c r="H1048" s="324" t="s">
        <v>123</v>
      </c>
      <c r="I1048" s="110" t="s">
        <v>3808</v>
      </c>
      <c r="J1048" s="110">
        <v>44296</v>
      </c>
      <c r="K1048" s="196">
        <v>44394</v>
      </c>
      <c r="L1048" s="93"/>
      <c r="M1048" s="315" t="s">
        <v>4092</v>
      </c>
      <c r="N1048" s="339" t="s">
        <v>4093</v>
      </c>
      <c r="O1048" s="264" t="s">
        <v>970</v>
      </c>
      <c r="P1048" s="107">
        <v>24651.13</v>
      </c>
      <c r="Q1048" s="235">
        <v>7398.8</v>
      </c>
      <c r="R1048" s="129"/>
      <c r="S1048" s="130"/>
      <c r="T1048" s="107">
        <v>17252.33</v>
      </c>
      <c r="U1048" s="93"/>
      <c r="V1048" s="107"/>
      <c r="W1048" s="45"/>
    </row>
    <row r="1049" s="40" customFormat="1" ht="22" customHeight="1" spans="1:23">
      <c r="A1049" s="260" t="s">
        <v>4094</v>
      </c>
      <c r="B1049" s="174" t="s">
        <v>3596</v>
      </c>
      <c r="C1049" s="175"/>
      <c r="D1049" s="45" t="s">
        <v>31</v>
      </c>
      <c r="E1049" s="83" t="s">
        <v>3910</v>
      </c>
      <c r="F1049" s="82"/>
      <c r="G1049" s="308" t="s">
        <v>4074</v>
      </c>
      <c r="H1049" s="324" t="s">
        <v>123</v>
      </c>
      <c r="I1049" s="110" t="s">
        <v>3508</v>
      </c>
      <c r="J1049" s="110">
        <v>44303</v>
      </c>
      <c r="K1049" s="93">
        <v>44340</v>
      </c>
      <c r="L1049" s="93"/>
      <c r="M1049" s="315" t="s">
        <v>4095</v>
      </c>
      <c r="N1049" s="339" t="s">
        <v>4096</v>
      </c>
      <c r="O1049" s="264" t="s">
        <v>970</v>
      </c>
      <c r="P1049" s="107">
        <v>29033</v>
      </c>
      <c r="Q1049" s="317"/>
      <c r="R1049" s="129"/>
      <c r="S1049" s="130"/>
      <c r="T1049" s="107">
        <v>29033</v>
      </c>
      <c r="U1049" s="93"/>
      <c r="V1049" s="107"/>
      <c r="W1049" s="45"/>
    </row>
    <row r="1050" s="40" customFormat="1" ht="22" customHeight="1" spans="1:23">
      <c r="A1050" s="260" t="s">
        <v>4097</v>
      </c>
      <c r="B1050" s="174" t="s">
        <v>3596</v>
      </c>
      <c r="C1050" s="175"/>
      <c r="D1050" s="45" t="s">
        <v>31</v>
      </c>
      <c r="E1050" s="83" t="s">
        <v>3910</v>
      </c>
      <c r="F1050" s="82">
        <f>IFERROR(VLOOKUP(E1050,客户!B:C,2,FALSE),"/")</f>
        <v>0</v>
      </c>
      <c r="G1050" s="308" t="s">
        <v>4074</v>
      </c>
      <c r="H1050" s="324" t="s">
        <v>123</v>
      </c>
      <c r="I1050" s="110" t="s">
        <v>3508</v>
      </c>
      <c r="J1050" s="110">
        <v>44303</v>
      </c>
      <c r="K1050" s="93">
        <v>44361</v>
      </c>
      <c r="L1050" s="93"/>
      <c r="M1050" s="315" t="s">
        <v>4098</v>
      </c>
      <c r="N1050" s="339" t="s">
        <v>4099</v>
      </c>
      <c r="O1050" s="264" t="s">
        <v>970</v>
      </c>
      <c r="P1050" s="168">
        <v>28793.25</v>
      </c>
      <c r="Q1050" s="235">
        <f>40000/6.39</f>
        <v>6259.78090766823</v>
      </c>
      <c r="R1050" s="129"/>
      <c r="S1050" s="130"/>
      <c r="T1050" s="168">
        <v>22533.47</v>
      </c>
      <c r="U1050" s="93"/>
      <c r="V1050" s="107"/>
      <c r="W1050" s="45"/>
    </row>
    <row r="1051" s="40" customFormat="1" ht="22" customHeight="1" spans="1:23">
      <c r="A1051" s="260" t="s">
        <v>4100</v>
      </c>
      <c r="B1051" s="174" t="s">
        <v>3596</v>
      </c>
      <c r="C1051" s="175"/>
      <c r="D1051" s="45" t="s">
        <v>31</v>
      </c>
      <c r="E1051" s="83" t="s">
        <v>3910</v>
      </c>
      <c r="F1051" s="82"/>
      <c r="G1051" s="308" t="s">
        <v>4074</v>
      </c>
      <c r="H1051" s="324" t="s">
        <v>123</v>
      </c>
      <c r="I1051" s="110" t="s">
        <v>3508</v>
      </c>
      <c r="J1051" s="110">
        <v>44319</v>
      </c>
      <c r="K1051" s="93">
        <v>44361</v>
      </c>
      <c r="L1051" s="93"/>
      <c r="M1051" s="315" t="s">
        <v>4101</v>
      </c>
      <c r="N1051" s="339" t="s">
        <v>4099</v>
      </c>
      <c r="O1051" s="264" t="s">
        <v>970</v>
      </c>
      <c r="P1051" s="107">
        <v>29123.75</v>
      </c>
      <c r="Q1051" s="317"/>
      <c r="R1051" s="129"/>
      <c r="S1051" s="130"/>
      <c r="T1051" s="168">
        <v>29123.75</v>
      </c>
      <c r="U1051" s="93"/>
      <c r="V1051" s="247" t="s">
        <v>4102</v>
      </c>
      <c r="W1051" s="45"/>
    </row>
    <row r="1052" s="40" customFormat="1" ht="22" customHeight="1" spans="1:23">
      <c r="A1052" s="260" t="s">
        <v>4103</v>
      </c>
      <c r="B1052" s="174" t="s">
        <v>3596</v>
      </c>
      <c r="C1052" s="175"/>
      <c r="D1052" s="45" t="s">
        <v>31</v>
      </c>
      <c r="E1052" s="83" t="s">
        <v>3910</v>
      </c>
      <c r="F1052" s="82">
        <f>IFERROR(VLOOKUP(E1052,客户!B:C,2,FALSE),"/")</f>
        <v>0</v>
      </c>
      <c r="G1052" s="308" t="s">
        <v>3976</v>
      </c>
      <c r="H1052" s="324" t="s">
        <v>123</v>
      </c>
      <c r="I1052" s="110" t="s">
        <v>3508</v>
      </c>
      <c r="J1052" s="110">
        <v>44319</v>
      </c>
      <c r="K1052" s="93">
        <v>44383</v>
      </c>
      <c r="L1052" s="93"/>
      <c r="M1052" s="315" t="s">
        <v>4104</v>
      </c>
      <c r="N1052" s="339" t="s">
        <v>4105</v>
      </c>
      <c r="O1052" s="264" t="s">
        <v>970</v>
      </c>
      <c r="P1052" s="107">
        <v>58830.65</v>
      </c>
      <c r="Q1052" s="107">
        <f>50000/6.46</f>
        <v>7739.93808049536</v>
      </c>
      <c r="R1052" s="129"/>
      <c r="S1052" s="130"/>
      <c r="T1052" s="107">
        <v>48062</v>
      </c>
      <c r="U1052" s="240">
        <v>19565</v>
      </c>
      <c r="V1052" s="107"/>
      <c r="W1052" s="45"/>
    </row>
    <row r="1053" s="40" customFormat="1" ht="22" customHeight="1" spans="1:23">
      <c r="A1053" s="260" t="s">
        <v>4106</v>
      </c>
      <c r="B1053" s="174" t="s">
        <v>3596</v>
      </c>
      <c r="C1053" s="175"/>
      <c r="D1053" s="45" t="s">
        <v>31</v>
      </c>
      <c r="E1053" s="83" t="s">
        <v>3962</v>
      </c>
      <c r="F1053" s="82">
        <f>IFERROR(VLOOKUP(E1053,客户!B:C,2,FALSE),"/")</f>
        <v>0</v>
      </c>
      <c r="G1053" s="308" t="s">
        <v>3963</v>
      </c>
      <c r="H1053" s="324" t="s">
        <v>186</v>
      </c>
      <c r="I1053" s="110"/>
      <c r="J1053" s="110">
        <v>44335</v>
      </c>
      <c r="K1053" s="93">
        <v>44335</v>
      </c>
      <c r="L1053" s="93"/>
      <c r="M1053" s="315" t="s">
        <v>4107</v>
      </c>
      <c r="N1053" s="339"/>
      <c r="O1053" s="264" t="s">
        <v>970</v>
      </c>
      <c r="P1053" s="240">
        <v>19362.75</v>
      </c>
      <c r="Q1053" s="317">
        <v>23779.91</v>
      </c>
      <c r="R1053" s="129"/>
      <c r="S1053" s="130"/>
      <c r="T1053" s="240"/>
      <c r="U1053" s="93"/>
      <c r="V1053" s="107"/>
      <c r="W1053" s="45"/>
    </row>
    <row r="1054" s="40" customFormat="1" ht="22" customHeight="1" spans="1:23">
      <c r="A1054" s="260" t="s">
        <v>4108</v>
      </c>
      <c r="B1054" s="174" t="s">
        <v>3596</v>
      </c>
      <c r="C1054" s="175"/>
      <c r="D1054" s="45" t="s">
        <v>31</v>
      </c>
      <c r="E1054" s="83" t="s">
        <v>4109</v>
      </c>
      <c r="F1054" s="82">
        <f>IFERROR(VLOOKUP(E1054,客户!B:C,2,FALSE),"/")</f>
        <v>0</v>
      </c>
      <c r="G1054" s="308" t="s">
        <v>4074</v>
      </c>
      <c r="H1054" s="324" t="s">
        <v>123</v>
      </c>
      <c r="I1054" s="110" t="s">
        <v>3698</v>
      </c>
      <c r="J1054" s="110">
        <v>44343</v>
      </c>
      <c r="K1054" s="93">
        <v>44411</v>
      </c>
      <c r="L1054" s="93">
        <v>44443</v>
      </c>
      <c r="M1054" s="315" t="s">
        <v>4110</v>
      </c>
      <c r="N1054" s="339" t="s">
        <v>4111</v>
      </c>
      <c r="O1054" s="264" t="s">
        <v>523</v>
      </c>
      <c r="P1054" s="107">
        <v>30350.61</v>
      </c>
      <c r="Q1054" s="107">
        <v>10130.2</v>
      </c>
      <c r="R1054" s="129"/>
      <c r="S1054" s="130"/>
      <c r="T1054" s="107">
        <v>20220.41</v>
      </c>
      <c r="U1054" s="93"/>
      <c r="V1054" s="107"/>
      <c r="W1054" s="45"/>
    </row>
    <row r="1055" s="40" customFormat="1" ht="22" customHeight="1" spans="1:23">
      <c r="A1055" s="290" t="s">
        <v>4112</v>
      </c>
      <c r="B1055" s="174" t="s">
        <v>3596</v>
      </c>
      <c r="C1055" s="175"/>
      <c r="D1055" s="45" t="s">
        <v>31</v>
      </c>
      <c r="E1055" s="83" t="s">
        <v>3922</v>
      </c>
      <c r="F1055" s="82">
        <f>IFERROR(VLOOKUP(E1055,客户!B:C,2,FALSE),"/")</f>
        <v>0</v>
      </c>
      <c r="G1055" s="308" t="s">
        <v>4070</v>
      </c>
      <c r="H1055" s="324" t="s">
        <v>186</v>
      </c>
      <c r="I1055" s="110" t="s">
        <v>3808</v>
      </c>
      <c r="J1055" s="110">
        <v>44343</v>
      </c>
      <c r="K1055" s="93">
        <v>44423</v>
      </c>
      <c r="L1055" s="93"/>
      <c r="M1055" s="315" t="s">
        <v>4113</v>
      </c>
      <c r="N1055" s="339" t="s">
        <v>1581</v>
      </c>
      <c r="O1055" s="264" t="s">
        <v>970</v>
      </c>
      <c r="P1055" s="240">
        <v>187511.25</v>
      </c>
      <c r="Q1055" s="317">
        <v>57280</v>
      </c>
      <c r="R1055" s="129"/>
      <c r="S1055" s="130"/>
      <c r="T1055" s="240">
        <v>133651.25</v>
      </c>
      <c r="U1055" s="93"/>
      <c r="V1055" s="107"/>
      <c r="W1055" s="45"/>
    </row>
    <row r="1056" s="40" customFormat="1" ht="22" customHeight="1" spans="1:23">
      <c r="A1056" s="260" t="s">
        <v>4114</v>
      </c>
      <c r="B1056" s="174" t="s">
        <v>3596</v>
      </c>
      <c r="C1056" s="175"/>
      <c r="D1056" s="45" t="s">
        <v>31</v>
      </c>
      <c r="E1056" s="83" t="s">
        <v>3883</v>
      </c>
      <c r="F1056" s="82">
        <f>IFERROR(VLOOKUP(E1056,客户!B:C,2,FALSE),"/")</f>
        <v>0</v>
      </c>
      <c r="G1056" s="308" t="s">
        <v>4074</v>
      </c>
      <c r="H1056" s="324" t="s">
        <v>147</v>
      </c>
      <c r="I1056" s="110" t="s">
        <v>4024</v>
      </c>
      <c r="J1056" s="110">
        <v>44356</v>
      </c>
      <c r="K1056" s="93">
        <v>44408</v>
      </c>
      <c r="L1056" s="93">
        <v>44425</v>
      </c>
      <c r="M1056" s="315" t="s">
        <v>4115</v>
      </c>
      <c r="N1056" s="339" t="s">
        <v>1570</v>
      </c>
      <c r="O1056" s="264" t="s">
        <v>970</v>
      </c>
      <c r="P1056" s="107">
        <v>33127.6</v>
      </c>
      <c r="Q1056" s="235">
        <f>60000/6.38</f>
        <v>9404.38871473354</v>
      </c>
      <c r="R1056" s="129"/>
      <c r="S1056" s="130"/>
      <c r="T1056" s="107">
        <v>23723.21</v>
      </c>
      <c r="U1056" s="93"/>
      <c r="V1056" s="329" t="s">
        <v>4116</v>
      </c>
      <c r="W1056" s="45"/>
    </row>
    <row r="1057" s="40" customFormat="1" ht="22" customHeight="1" spans="1:23">
      <c r="A1057" s="260" t="s">
        <v>4117</v>
      </c>
      <c r="B1057" s="174" t="s">
        <v>3596</v>
      </c>
      <c r="C1057" s="175"/>
      <c r="D1057" s="45" t="s">
        <v>31</v>
      </c>
      <c r="E1057" s="83" t="s">
        <v>3883</v>
      </c>
      <c r="F1057" s="82">
        <f>IFERROR(VLOOKUP(E1057,客户!B:C,2,FALSE),"/")</f>
        <v>0</v>
      </c>
      <c r="G1057" s="308" t="s">
        <v>4074</v>
      </c>
      <c r="H1057" s="324" t="s">
        <v>147</v>
      </c>
      <c r="I1057" s="110" t="s">
        <v>4024</v>
      </c>
      <c r="J1057" s="110">
        <v>44356</v>
      </c>
      <c r="K1057" s="196">
        <v>44415</v>
      </c>
      <c r="L1057" s="93">
        <v>44432</v>
      </c>
      <c r="M1057" s="315" t="s">
        <v>4118</v>
      </c>
      <c r="N1057" s="339" t="s">
        <v>4119</v>
      </c>
      <c r="O1057" s="264" t="s">
        <v>970</v>
      </c>
      <c r="P1057" s="107">
        <v>33127.6</v>
      </c>
      <c r="Q1057" s="107">
        <f>50000/6.38</f>
        <v>7836.99059561129</v>
      </c>
      <c r="R1057" s="129"/>
      <c r="S1057" s="130"/>
      <c r="T1057" s="107">
        <v>7295.79</v>
      </c>
      <c r="U1057" s="107">
        <f>20000-1981.2-23.8</f>
        <v>17995</v>
      </c>
      <c r="V1057" s="247" t="s">
        <v>4120</v>
      </c>
      <c r="W1057" s="45"/>
    </row>
    <row r="1058" s="40" customFormat="1" ht="22" customHeight="1" spans="1:23">
      <c r="A1058" s="260" t="s">
        <v>4121</v>
      </c>
      <c r="B1058" s="174" t="s">
        <v>3596</v>
      </c>
      <c r="C1058" s="175"/>
      <c r="D1058" s="45" t="s">
        <v>31</v>
      </c>
      <c r="E1058" s="83" t="s">
        <v>3910</v>
      </c>
      <c r="F1058" s="82">
        <f>IFERROR(VLOOKUP(E1058,客户!B:C,2,FALSE),"/")</f>
        <v>0</v>
      </c>
      <c r="G1058" s="308" t="s">
        <v>4074</v>
      </c>
      <c r="H1058" s="324" t="s">
        <v>123</v>
      </c>
      <c r="I1058" s="110" t="s">
        <v>3508</v>
      </c>
      <c r="J1058" s="110">
        <v>44370</v>
      </c>
      <c r="K1058" s="93">
        <v>44425</v>
      </c>
      <c r="L1058" s="93"/>
      <c r="M1058" s="315" t="s">
        <v>4122</v>
      </c>
      <c r="N1058" s="339" t="s">
        <v>4123</v>
      </c>
      <c r="O1058" s="264" t="s">
        <v>970</v>
      </c>
      <c r="P1058" s="107">
        <v>27967.5</v>
      </c>
      <c r="Q1058" s="317"/>
      <c r="R1058" s="129"/>
      <c r="S1058" s="130"/>
      <c r="T1058" s="107">
        <v>27967.5</v>
      </c>
      <c r="U1058" s="93"/>
      <c r="V1058" s="247" t="s">
        <v>4124</v>
      </c>
      <c r="W1058" s="45"/>
    </row>
    <row r="1059" s="40" customFormat="1" ht="22" customHeight="1" spans="1:23">
      <c r="A1059" s="260" t="s">
        <v>4125</v>
      </c>
      <c r="B1059" s="174" t="s">
        <v>3596</v>
      </c>
      <c r="C1059" s="175"/>
      <c r="D1059" s="45" t="s">
        <v>31</v>
      </c>
      <c r="E1059" s="83" t="s">
        <v>4061</v>
      </c>
      <c r="F1059" s="82">
        <f>IFERROR(VLOOKUP(E1059,客户!B:C,2,FALSE),"/")</f>
        <v>0</v>
      </c>
      <c r="G1059" s="308" t="s">
        <v>4062</v>
      </c>
      <c r="H1059" s="324" t="s">
        <v>186</v>
      </c>
      <c r="I1059" s="110"/>
      <c r="J1059" s="110">
        <v>44376</v>
      </c>
      <c r="K1059" s="93">
        <v>44379</v>
      </c>
      <c r="L1059" s="93"/>
      <c r="M1059" s="315" t="s">
        <v>4126</v>
      </c>
      <c r="N1059" s="339"/>
      <c r="O1059" s="264" t="s">
        <v>970</v>
      </c>
      <c r="P1059" s="240">
        <v>9400</v>
      </c>
      <c r="Q1059" s="317"/>
      <c r="R1059" s="129"/>
      <c r="S1059" s="130"/>
      <c r="T1059" s="240">
        <v>9400</v>
      </c>
      <c r="U1059" s="93"/>
      <c r="V1059" s="107"/>
      <c r="W1059" s="45"/>
    </row>
    <row r="1060" s="40" customFormat="1" ht="22" customHeight="1" spans="1:23">
      <c r="A1060" s="260" t="s">
        <v>4127</v>
      </c>
      <c r="B1060" s="174" t="s">
        <v>3596</v>
      </c>
      <c r="C1060" s="175"/>
      <c r="D1060" s="45" t="s">
        <v>31</v>
      </c>
      <c r="E1060" s="83" t="s">
        <v>4029</v>
      </c>
      <c r="F1060" s="82">
        <f>IFERROR(VLOOKUP(E1060,客户!B:C,2,FALSE),"/")</f>
        <v>0</v>
      </c>
      <c r="G1060" s="308" t="s">
        <v>4128</v>
      </c>
      <c r="H1060" s="324" t="s">
        <v>123</v>
      </c>
      <c r="I1060" s="110" t="s">
        <v>4031</v>
      </c>
      <c r="J1060" s="110">
        <v>44377</v>
      </c>
      <c r="K1060" s="93">
        <v>44427</v>
      </c>
      <c r="L1060" s="93">
        <v>44462</v>
      </c>
      <c r="M1060" s="315" t="s">
        <v>4129</v>
      </c>
      <c r="N1060" s="339" t="s">
        <v>4130</v>
      </c>
      <c r="O1060" s="264" t="s">
        <v>1283</v>
      </c>
      <c r="P1060" s="107">
        <v>20287.14</v>
      </c>
      <c r="Q1060" s="317"/>
      <c r="R1060" s="129"/>
      <c r="S1060" s="130"/>
      <c r="T1060" s="107">
        <v>20287.14</v>
      </c>
      <c r="U1060" s="93"/>
      <c r="V1060" s="107"/>
      <c r="W1060" s="45"/>
    </row>
    <row r="1061" s="40" customFormat="1" ht="22" customHeight="1" spans="1:23">
      <c r="A1061" s="260" t="s">
        <v>4131</v>
      </c>
      <c r="B1061" s="174" t="s">
        <v>3596</v>
      </c>
      <c r="C1061" s="175"/>
      <c r="D1061" s="45" t="s">
        <v>31</v>
      </c>
      <c r="E1061" s="83" t="s">
        <v>3859</v>
      </c>
      <c r="F1061" s="82">
        <f>IFERROR(VLOOKUP(E1061,客户!B:C,2,FALSE),"/")</f>
        <v>0</v>
      </c>
      <c r="G1061" s="308" t="s">
        <v>4074</v>
      </c>
      <c r="H1061" s="324" t="s">
        <v>123</v>
      </c>
      <c r="I1061" s="110" t="s">
        <v>3849</v>
      </c>
      <c r="J1061" s="110">
        <v>44379</v>
      </c>
      <c r="K1061" s="93">
        <v>44416</v>
      </c>
      <c r="L1061" s="93">
        <v>44447</v>
      </c>
      <c r="M1061" s="315" t="s">
        <v>4132</v>
      </c>
      <c r="N1061" s="339" t="s">
        <v>4133</v>
      </c>
      <c r="O1061" s="264" t="s">
        <v>523</v>
      </c>
      <c r="P1061" s="107">
        <v>31941</v>
      </c>
      <c r="Q1061" s="107">
        <f>55573/6.45</f>
        <v>8615.96899224806</v>
      </c>
      <c r="R1061" s="129"/>
      <c r="S1061" s="130"/>
      <c r="T1061" s="240">
        <v>150912.95</v>
      </c>
      <c r="U1061" s="93"/>
      <c r="V1061" s="107"/>
      <c r="W1061" s="45"/>
    </row>
    <row r="1062" s="40" customFormat="1" ht="22" customHeight="1" spans="1:23">
      <c r="A1062" s="260" t="s">
        <v>4134</v>
      </c>
      <c r="B1062" s="174" t="s">
        <v>3596</v>
      </c>
      <c r="C1062" s="175"/>
      <c r="D1062" s="45" t="s">
        <v>31</v>
      </c>
      <c r="E1062" s="83" t="s">
        <v>3922</v>
      </c>
      <c r="F1062" s="82">
        <f>IFERROR(VLOOKUP(E1062,客户!B:C,2,FALSE),"/")</f>
        <v>0</v>
      </c>
      <c r="G1062" s="308" t="s">
        <v>4070</v>
      </c>
      <c r="H1062" s="324" t="s">
        <v>186</v>
      </c>
      <c r="I1062" s="110" t="s">
        <v>3808</v>
      </c>
      <c r="J1062" s="110">
        <v>44379</v>
      </c>
      <c r="K1062" s="93">
        <v>44423</v>
      </c>
      <c r="L1062" s="93"/>
      <c r="M1062" s="315" t="s">
        <v>4135</v>
      </c>
      <c r="N1062" s="339" t="s">
        <v>1581</v>
      </c>
      <c r="O1062" s="264" t="s">
        <v>970</v>
      </c>
      <c r="P1062" s="240">
        <v>190824.75</v>
      </c>
      <c r="Q1062" s="317">
        <v>40000</v>
      </c>
      <c r="R1062" s="240"/>
      <c r="S1062" s="130"/>
      <c r="T1062" s="240">
        <v>147404.75</v>
      </c>
      <c r="U1062" s="93"/>
      <c r="V1062" s="107"/>
      <c r="W1062" s="45"/>
    </row>
    <row r="1063" s="40" customFormat="1" ht="22" customHeight="1" spans="1:23">
      <c r="A1063" s="260" t="s">
        <v>4136</v>
      </c>
      <c r="B1063" s="174" t="s">
        <v>3596</v>
      </c>
      <c r="C1063" s="175"/>
      <c r="D1063" s="45" t="s">
        <v>31</v>
      </c>
      <c r="E1063" s="83" t="s">
        <v>3900</v>
      </c>
      <c r="F1063" s="82">
        <f>IFERROR(VLOOKUP(E1063,客户!B:C,2,FALSE),"/")</f>
        <v>0</v>
      </c>
      <c r="G1063" s="308" t="s">
        <v>4137</v>
      </c>
      <c r="H1063" s="324" t="s">
        <v>123</v>
      </c>
      <c r="I1063" s="110" t="s">
        <v>3902</v>
      </c>
      <c r="J1063" s="110">
        <v>44382</v>
      </c>
      <c r="K1063" s="93">
        <v>44461</v>
      </c>
      <c r="L1063" s="93">
        <v>44513</v>
      </c>
      <c r="M1063" s="315" t="s">
        <v>4138</v>
      </c>
      <c r="N1063" s="339" t="s">
        <v>4139</v>
      </c>
      <c r="O1063" s="264" t="s">
        <v>523</v>
      </c>
      <c r="P1063" s="107">
        <v>55943.98</v>
      </c>
      <c r="Q1063" s="107">
        <v>16854.79</v>
      </c>
      <c r="R1063" s="129"/>
      <c r="S1063" s="130"/>
      <c r="T1063" s="107">
        <v>39089.19</v>
      </c>
      <c r="U1063" s="93"/>
      <c r="V1063" s="107"/>
      <c r="W1063" s="45"/>
    </row>
    <row r="1064" s="40" customFormat="1" ht="22" customHeight="1" spans="1:23">
      <c r="A1064" s="260" t="s">
        <v>4140</v>
      </c>
      <c r="B1064" s="174" t="s">
        <v>3596</v>
      </c>
      <c r="C1064" s="175"/>
      <c r="D1064" s="45" t="s">
        <v>31</v>
      </c>
      <c r="E1064" s="83" t="s">
        <v>3980</v>
      </c>
      <c r="F1064" s="82">
        <f>IFERROR(VLOOKUP(E1064,客户!B:C,2,FALSE),"/")</f>
        <v>0</v>
      </c>
      <c r="G1064" s="308" t="s">
        <v>3981</v>
      </c>
      <c r="H1064" s="324" t="s">
        <v>123</v>
      </c>
      <c r="I1064" s="110" t="s">
        <v>4141</v>
      </c>
      <c r="J1064" s="110">
        <v>44399</v>
      </c>
      <c r="K1064" s="93">
        <v>44446</v>
      </c>
      <c r="L1064" s="93">
        <v>44477</v>
      </c>
      <c r="M1064" s="315" t="s">
        <v>4142</v>
      </c>
      <c r="N1064" s="202" t="s">
        <v>4143</v>
      </c>
      <c r="O1064" s="264" t="s">
        <v>523</v>
      </c>
      <c r="P1064" s="107">
        <v>28264.25</v>
      </c>
      <c r="Q1064" s="107">
        <v>8451.38</v>
      </c>
      <c r="R1064" s="129"/>
      <c r="S1064" s="130"/>
      <c r="T1064" s="107">
        <v>19812.87</v>
      </c>
      <c r="U1064" s="93"/>
      <c r="V1064" s="107"/>
      <c r="W1064" s="45"/>
    </row>
    <row r="1065" s="40" customFormat="1" ht="22" customHeight="1" spans="1:23">
      <c r="A1065" s="260" t="s">
        <v>4144</v>
      </c>
      <c r="B1065" s="174" t="s">
        <v>3596</v>
      </c>
      <c r="C1065" s="175"/>
      <c r="D1065" s="45" t="s">
        <v>31</v>
      </c>
      <c r="E1065" s="83" t="s">
        <v>3910</v>
      </c>
      <c r="F1065" s="82">
        <f>IFERROR(VLOOKUP(E1065,客户!B:C,2,FALSE),"/")</f>
        <v>0</v>
      </c>
      <c r="G1065" s="308" t="s">
        <v>4074</v>
      </c>
      <c r="H1065" s="324" t="s">
        <v>123</v>
      </c>
      <c r="I1065" s="110" t="s">
        <v>3508</v>
      </c>
      <c r="J1065" s="110">
        <v>44399</v>
      </c>
      <c r="K1065" s="93">
        <v>44437</v>
      </c>
      <c r="L1065" s="93"/>
      <c r="M1065" s="315" t="s">
        <v>4145</v>
      </c>
      <c r="N1065" s="339" t="s">
        <v>3945</v>
      </c>
      <c r="O1065" s="264" t="s">
        <v>523</v>
      </c>
      <c r="P1065" s="107">
        <v>29897.3</v>
      </c>
      <c r="Q1065" s="317"/>
      <c r="R1065" s="129"/>
      <c r="S1065" s="130"/>
      <c r="T1065" s="107">
        <v>29897.3</v>
      </c>
      <c r="U1065" s="93"/>
      <c r="V1065" s="107"/>
      <c r="W1065" s="45"/>
    </row>
    <row r="1066" s="40" customFormat="1" ht="22" customHeight="1" spans="1:23">
      <c r="A1066" s="260" t="s">
        <v>4146</v>
      </c>
      <c r="B1066" s="174" t="s">
        <v>3596</v>
      </c>
      <c r="C1066" s="175"/>
      <c r="D1066" s="45" t="s">
        <v>31</v>
      </c>
      <c r="E1066" s="83" t="s">
        <v>3883</v>
      </c>
      <c r="F1066" s="82">
        <f>IFERROR(VLOOKUP(E1066,客户!B:C,2,FALSE),"/")</f>
        <v>0</v>
      </c>
      <c r="G1066" s="308" t="s">
        <v>4074</v>
      </c>
      <c r="H1066" s="324" t="s">
        <v>147</v>
      </c>
      <c r="I1066" s="110" t="s">
        <v>4024</v>
      </c>
      <c r="J1066" s="110">
        <v>44413</v>
      </c>
      <c r="K1066" s="93">
        <v>44444</v>
      </c>
      <c r="L1066" s="93">
        <v>44459</v>
      </c>
      <c r="M1066" s="315" t="s">
        <v>4147</v>
      </c>
      <c r="N1066" s="339" t="s">
        <v>4148</v>
      </c>
      <c r="O1066" s="264" t="s">
        <v>970</v>
      </c>
      <c r="P1066" s="107">
        <v>33557.2</v>
      </c>
      <c r="Q1066" s="107">
        <f>50000/6.45</f>
        <v>7751.93798449612</v>
      </c>
      <c r="R1066" s="129"/>
      <c r="S1066" s="130"/>
      <c r="T1066" s="107">
        <v>15108</v>
      </c>
      <c r="U1066" s="107">
        <f>P1066-Q1066-T1066</f>
        <v>10697.2620155039</v>
      </c>
      <c r="V1066" s="247" t="s">
        <v>4149</v>
      </c>
      <c r="W1066" s="45"/>
    </row>
    <row r="1067" s="40" customFormat="1" ht="22" customHeight="1" spans="1:23">
      <c r="A1067" s="260" t="s">
        <v>4150</v>
      </c>
      <c r="B1067" s="174" t="s">
        <v>3596</v>
      </c>
      <c r="C1067" s="175"/>
      <c r="D1067" s="45" t="s">
        <v>31</v>
      </c>
      <c r="E1067" s="83" t="s">
        <v>4151</v>
      </c>
      <c r="F1067" s="82">
        <f>IFERROR(VLOOKUP(E1067,客户!B:C,2,FALSE),"/")</f>
        <v>0</v>
      </c>
      <c r="G1067" s="308" t="s">
        <v>4074</v>
      </c>
      <c r="H1067" s="324" t="s">
        <v>123</v>
      </c>
      <c r="I1067" s="110" t="s">
        <v>3834</v>
      </c>
      <c r="J1067" s="110">
        <v>44424</v>
      </c>
      <c r="K1067" s="93">
        <v>44472</v>
      </c>
      <c r="L1067" s="93">
        <v>44523</v>
      </c>
      <c r="M1067" s="315" t="s">
        <v>4152</v>
      </c>
      <c r="N1067" s="329" t="s">
        <v>4153</v>
      </c>
      <c r="O1067" s="264" t="s">
        <v>523</v>
      </c>
      <c r="P1067" s="168">
        <v>46309.9</v>
      </c>
      <c r="Q1067" s="107">
        <v>7000</v>
      </c>
      <c r="R1067" s="129"/>
      <c r="S1067" s="130"/>
      <c r="T1067" s="107">
        <v>27500</v>
      </c>
      <c r="U1067" s="107">
        <v>11809.9</v>
      </c>
      <c r="V1067" s="107"/>
      <c r="W1067" s="45"/>
    </row>
    <row r="1068" s="40" customFormat="1" ht="22" customHeight="1" spans="1:23">
      <c r="A1068" s="260" t="s">
        <v>4154</v>
      </c>
      <c r="B1068" s="174" t="s">
        <v>3596</v>
      </c>
      <c r="C1068" s="175"/>
      <c r="D1068" s="45" t="s">
        <v>31</v>
      </c>
      <c r="E1068" s="83"/>
      <c r="F1068" s="82" t="str">
        <f>IFERROR(VLOOKUP(E1068,客户!B:C,2,FALSE),"/")</f>
        <v>/</v>
      </c>
      <c r="G1068" s="308"/>
      <c r="H1068" s="324" t="s">
        <v>186</v>
      </c>
      <c r="I1068" s="110"/>
      <c r="J1068" s="110">
        <v>44426</v>
      </c>
      <c r="K1068" s="93" t="s">
        <v>4155</v>
      </c>
      <c r="L1068" s="93"/>
      <c r="M1068" s="315" t="s">
        <v>4156</v>
      </c>
      <c r="N1068" s="339"/>
      <c r="O1068" s="264" t="s">
        <v>970</v>
      </c>
      <c r="P1068" s="240">
        <v>9611.25</v>
      </c>
      <c r="Q1068" s="107"/>
      <c r="R1068" s="129"/>
      <c r="S1068" s="130"/>
      <c r="T1068" s="240">
        <v>9611.25</v>
      </c>
      <c r="U1068" s="93"/>
      <c r="V1068" s="107"/>
      <c r="W1068" s="45"/>
    </row>
    <row r="1069" s="40" customFormat="1" ht="22" customHeight="1" spans="1:23">
      <c r="A1069" s="260" t="s">
        <v>4157</v>
      </c>
      <c r="B1069" s="174" t="s">
        <v>3596</v>
      </c>
      <c r="C1069" s="175"/>
      <c r="D1069" s="45" t="s">
        <v>31</v>
      </c>
      <c r="E1069" s="83" t="s">
        <v>3910</v>
      </c>
      <c r="F1069" s="82">
        <f>IFERROR(VLOOKUP(E1069,客户!B:C,2,FALSE),"/")</f>
        <v>0</v>
      </c>
      <c r="G1069" s="308" t="s">
        <v>4074</v>
      </c>
      <c r="H1069" s="324" t="s">
        <v>123</v>
      </c>
      <c r="I1069" s="110" t="s">
        <v>3508</v>
      </c>
      <c r="J1069" s="110">
        <v>44428</v>
      </c>
      <c r="K1069" s="93">
        <v>44459</v>
      </c>
      <c r="L1069" s="93"/>
      <c r="M1069" s="315" t="s">
        <v>4158</v>
      </c>
      <c r="N1069" s="339" t="s">
        <v>4159</v>
      </c>
      <c r="O1069" s="264" t="s">
        <v>970</v>
      </c>
      <c r="P1069" s="107">
        <v>29157</v>
      </c>
      <c r="Q1069" s="317"/>
      <c r="R1069" s="129"/>
      <c r="S1069" s="130"/>
      <c r="T1069" s="107">
        <v>29157</v>
      </c>
      <c r="U1069" s="93"/>
      <c r="V1069" s="107"/>
      <c r="W1069" s="45"/>
    </row>
    <row r="1070" s="40" customFormat="1" ht="22" customHeight="1" spans="1:23">
      <c r="A1070" s="260" t="s">
        <v>4160</v>
      </c>
      <c r="B1070" s="174" t="s">
        <v>3596</v>
      </c>
      <c r="C1070" s="175"/>
      <c r="D1070" s="45" t="s">
        <v>31</v>
      </c>
      <c r="E1070" s="83" t="s">
        <v>3910</v>
      </c>
      <c r="F1070" s="82">
        <f>IFERROR(VLOOKUP(E1070,客户!B:C,2,FALSE),"/")</f>
        <v>0</v>
      </c>
      <c r="G1070" s="308" t="s">
        <v>4161</v>
      </c>
      <c r="H1070" s="324" t="s">
        <v>123</v>
      </c>
      <c r="I1070" s="110" t="s">
        <v>3508</v>
      </c>
      <c r="J1070" s="110">
        <v>44433</v>
      </c>
      <c r="K1070" s="93">
        <v>44480</v>
      </c>
      <c r="L1070" s="93"/>
      <c r="M1070" s="315" t="s">
        <v>4162</v>
      </c>
      <c r="N1070" s="339" t="s">
        <v>3945</v>
      </c>
      <c r="O1070" s="264" t="s">
        <v>970</v>
      </c>
      <c r="P1070" s="107">
        <f>53547-930</f>
        <v>52617</v>
      </c>
      <c r="Q1070" s="317"/>
      <c r="R1070" s="129"/>
      <c r="S1070" s="130"/>
      <c r="T1070" s="107">
        <v>57996.5</v>
      </c>
      <c r="U1070" s="93"/>
      <c r="V1070" s="247" t="s">
        <v>4163</v>
      </c>
      <c r="W1070" s="45"/>
    </row>
    <row r="1071" s="40" customFormat="1" ht="22" customHeight="1" spans="1:23">
      <c r="A1071" s="260" t="s">
        <v>4164</v>
      </c>
      <c r="B1071" s="174" t="s">
        <v>3596</v>
      </c>
      <c r="C1071" s="175"/>
      <c r="D1071" s="45" t="s">
        <v>31</v>
      </c>
      <c r="E1071" s="83" t="s">
        <v>3910</v>
      </c>
      <c r="F1071" s="82"/>
      <c r="G1071" s="308" t="s">
        <v>4165</v>
      </c>
      <c r="H1071" s="324" t="s">
        <v>123</v>
      </c>
      <c r="I1071" s="110" t="s">
        <v>3508</v>
      </c>
      <c r="J1071" s="110">
        <v>44446</v>
      </c>
      <c r="K1071" s="93">
        <v>44480</v>
      </c>
      <c r="L1071" s="93"/>
      <c r="M1071" s="315" t="s">
        <v>4166</v>
      </c>
      <c r="N1071" s="339"/>
      <c r="O1071" s="264" t="s">
        <v>970</v>
      </c>
      <c r="P1071" s="107">
        <v>5379.5</v>
      </c>
      <c r="Q1071" s="317"/>
      <c r="R1071" s="129"/>
      <c r="S1071" s="130"/>
      <c r="T1071" s="240"/>
      <c r="U1071" s="93"/>
      <c r="V1071" s="247" t="s">
        <v>4167</v>
      </c>
      <c r="W1071" s="45"/>
    </row>
    <row r="1072" s="40" customFormat="1" ht="22" customHeight="1" spans="1:23">
      <c r="A1072" s="260" t="s">
        <v>4168</v>
      </c>
      <c r="B1072" s="174" t="s">
        <v>3596</v>
      </c>
      <c r="C1072" s="175"/>
      <c r="D1072" s="45" t="s">
        <v>31</v>
      </c>
      <c r="E1072" s="83" t="s">
        <v>4169</v>
      </c>
      <c r="F1072" s="82">
        <f>IFERROR(VLOOKUP(E1072,客户!B:C,2,FALSE),"/")</f>
        <v>0</v>
      </c>
      <c r="G1072" s="308" t="s">
        <v>4170</v>
      </c>
      <c r="H1072" s="324" t="s">
        <v>186</v>
      </c>
      <c r="I1072" s="110"/>
      <c r="J1072" s="110">
        <v>44438</v>
      </c>
      <c r="K1072" s="93">
        <v>44473</v>
      </c>
      <c r="L1072" s="93"/>
      <c r="M1072" s="315" t="s">
        <v>4171</v>
      </c>
      <c r="N1072" s="339" t="s">
        <v>4172</v>
      </c>
      <c r="O1072" s="264" t="s">
        <v>970</v>
      </c>
      <c r="P1072" s="240">
        <v>396764</v>
      </c>
      <c r="Q1072" s="317">
        <v>119000</v>
      </c>
      <c r="R1072" s="129"/>
      <c r="S1072" s="130"/>
      <c r="T1072" s="240"/>
      <c r="U1072" s="240">
        <v>277764</v>
      </c>
      <c r="V1072" s="107"/>
      <c r="W1072" s="45"/>
    </row>
    <row r="1073" s="40" customFormat="1" ht="22" customHeight="1" spans="1:23">
      <c r="A1073" s="260" t="s">
        <v>4173</v>
      </c>
      <c r="B1073" s="174" t="s">
        <v>3596</v>
      </c>
      <c r="C1073" s="175"/>
      <c r="D1073" s="45" t="s">
        <v>31</v>
      </c>
      <c r="E1073" s="83" t="s">
        <v>3922</v>
      </c>
      <c r="F1073" s="82">
        <f>IFERROR(VLOOKUP(E1073,客户!B:C,2,FALSE),"/")</f>
        <v>0</v>
      </c>
      <c r="G1073" s="308" t="s">
        <v>3987</v>
      </c>
      <c r="H1073" s="324" t="s">
        <v>186</v>
      </c>
      <c r="I1073" s="110" t="s">
        <v>3808</v>
      </c>
      <c r="J1073" s="110">
        <v>44440</v>
      </c>
      <c r="K1073" s="93">
        <v>44462</v>
      </c>
      <c r="L1073" s="93"/>
      <c r="M1073" s="315" t="s">
        <v>4174</v>
      </c>
      <c r="N1073" s="339"/>
      <c r="O1073" s="264" t="s">
        <v>970</v>
      </c>
      <c r="P1073" s="240">
        <v>8988</v>
      </c>
      <c r="Q1073" s="317">
        <v>2700</v>
      </c>
      <c r="R1073" s="129"/>
      <c r="S1073" s="130"/>
      <c r="T1073" s="240">
        <v>6288</v>
      </c>
      <c r="U1073" s="93"/>
      <c r="V1073" s="107"/>
      <c r="W1073" s="45"/>
    </row>
    <row r="1074" s="40" customFormat="1" ht="22" customHeight="1" spans="1:23">
      <c r="A1074" s="260" t="s">
        <v>4175</v>
      </c>
      <c r="B1074" s="174" t="s">
        <v>3596</v>
      </c>
      <c r="C1074" s="175"/>
      <c r="D1074" s="45" t="s">
        <v>31</v>
      </c>
      <c r="E1074" s="83" t="s">
        <v>3883</v>
      </c>
      <c r="F1074" s="82">
        <f>IFERROR(VLOOKUP(E1074,客户!B:C,2,FALSE),"/")</f>
        <v>0</v>
      </c>
      <c r="G1074" s="308" t="s">
        <v>4074</v>
      </c>
      <c r="H1074" s="324" t="s">
        <v>147</v>
      </c>
      <c r="I1074" s="110" t="s">
        <v>4024</v>
      </c>
      <c r="J1074" s="110">
        <v>44441</v>
      </c>
      <c r="K1074" s="93">
        <v>44500</v>
      </c>
      <c r="L1074" s="93">
        <v>44515</v>
      </c>
      <c r="M1074" s="315" t="s">
        <v>4176</v>
      </c>
      <c r="N1074" s="339" t="s">
        <v>4177</v>
      </c>
      <c r="O1074" s="264" t="s">
        <v>970</v>
      </c>
      <c r="P1074" s="107">
        <v>33066.5</v>
      </c>
      <c r="Q1074" s="107">
        <v>10000</v>
      </c>
      <c r="R1074" s="129"/>
      <c r="S1074" s="130"/>
      <c r="T1074" s="107">
        <f>P1074-Q1074</f>
        <v>23066.5</v>
      </c>
      <c r="U1074" s="93"/>
      <c r="V1074" s="107" t="s">
        <v>4178</v>
      </c>
      <c r="W1074" s="45"/>
    </row>
    <row r="1075" s="40" customFormat="1" ht="22" customHeight="1" spans="1:23">
      <c r="A1075" s="260" t="s">
        <v>4179</v>
      </c>
      <c r="B1075" s="174" t="s">
        <v>3596</v>
      </c>
      <c r="C1075" s="175"/>
      <c r="D1075" s="45" t="s">
        <v>31</v>
      </c>
      <c r="E1075" s="83" t="s">
        <v>3883</v>
      </c>
      <c r="F1075" s="82">
        <f>IFERROR(VLOOKUP(E1075,客户!B:C,2,FALSE),"/")</f>
        <v>0</v>
      </c>
      <c r="G1075" s="308" t="s">
        <v>4074</v>
      </c>
      <c r="H1075" s="324" t="s">
        <v>147</v>
      </c>
      <c r="I1075" s="110" t="s">
        <v>4024</v>
      </c>
      <c r="J1075" s="110">
        <v>44445</v>
      </c>
      <c r="K1075" s="93">
        <v>44528</v>
      </c>
      <c r="L1075" s="93">
        <v>44544</v>
      </c>
      <c r="M1075" s="315" t="s">
        <v>4180</v>
      </c>
      <c r="N1075" s="339" t="s">
        <v>4181</v>
      </c>
      <c r="O1075" s="264" t="s">
        <v>970</v>
      </c>
      <c r="P1075" s="107">
        <v>34358.44</v>
      </c>
      <c r="Q1075" s="107">
        <v>10000</v>
      </c>
      <c r="R1075" s="129"/>
      <c r="S1075" s="130"/>
      <c r="T1075" s="107">
        <v>35055</v>
      </c>
      <c r="U1075" s="93"/>
      <c r="V1075" s="247" t="s">
        <v>4182</v>
      </c>
      <c r="W1075" s="45"/>
    </row>
    <row r="1076" s="40" customFormat="1" ht="22" customHeight="1" spans="1:23">
      <c r="A1076" s="260" t="s">
        <v>4183</v>
      </c>
      <c r="B1076" s="174" t="s">
        <v>3596</v>
      </c>
      <c r="C1076" s="175"/>
      <c r="D1076" s="45" t="s">
        <v>31</v>
      </c>
      <c r="E1076" s="83" t="s">
        <v>4184</v>
      </c>
      <c r="F1076" s="82">
        <f>IFERROR(VLOOKUP(E1076,客户!B:C,2,FALSE),"/")</f>
        <v>0</v>
      </c>
      <c r="G1076" s="308" t="s">
        <v>4185</v>
      </c>
      <c r="H1076" s="324" t="s">
        <v>186</v>
      </c>
      <c r="I1076" s="110"/>
      <c r="J1076" s="110">
        <v>44446</v>
      </c>
      <c r="K1076" s="93">
        <v>44483</v>
      </c>
      <c r="L1076" s="93"/>
      <c r="M1076" s="315" t="s">
        <v>4186</v>
      </c>
      <c r="N1076" s="339"/>
      <c r="O1076" s="264" t="s">
        <v>970</v>
      </c>
      <c r="P1076" s="240">
        <v>92173.2</v>
      </c>
      <c r="Q1076" s="317">
        <v>26000</v>
      </c>
      <c r="R1076" s="129"/>
      <c r="S1076" s="130"/>
      <c r="T1076" s="240">
        <v>66173</v>
      </c>
      <c r="U1076" s="93"/>
      <c r="V1076" s="107"/>
      <c r="W1076" s="45"/>
    </row>
    <row r="1077" s="40" customFormat="1" ht="22" customHeight="1" spans="1:23">
      <c r="A1077" s="260" t="s">
        <v>4187</v>
      </c>
      <c r="B1077" s="174" t="s">
        <v>3596</v>
      </c>
      <c r="C1077" s="175"/>
      <c r="D1077" s="45" t="s">
        <v>31</v>
      </c>
      <c r="E1077" s="83" t="s">
        <v>3910</v>
      </c>
      <c r="F1077" s="82">
        <f>IFERROR(VLOOKUP(E1077,客户!B:C,2,FALSE),"/")</f>
        <v>0</v>
      </c>
      <c r="G1077" s="308" t="s">
        <v>4188</v>
      </c>
      <c r="H1077" s="324" t="s">
        <v>123</v>
      </c>
      <c r="I1077" s="110" t="s">
        <v>3508</v>
      </c>
      <c r="J1077" s="110">
        <v>44448</v>
      </c>
      <c r="K1077" s="93">
        <v>44498</v>
      </c>
      <c r="L1077" s="93"/>
      <c r="M1077" s="315" t="s">
        <v>4189</v>
      </c>
      <c r="N1077" s="339" t="s">
        <v>4190</v>
      </c>
      <c r="O1077" s="264" t="s">
        <v>970</v>
      </c>
      <c r="P1077" s="107">
        <v>26865</v>
      </c>
      <c r="Q1077" s="107"/>
      <c r="R1077" s="129"/>
      <c r="S1077" s="130"/>
      <c r="T1077" s="107">
        <v>26865</v>
      </c>
      <c r="U1077" s="93"/>
      <c r="V1077" s="107"/>
      <c r="W1077" s="45"/>
    </row>
    <row r="1078" s="40" customFormat="1" ht="22" customHeight="1" spans="1:23">
      <c r="A1078" s="260" t="s">
        <v>4191</v>
      </c>
      <c r="B1078" s="174" t="s">
        <v>3596</v>
      </c>
      <c r="C1078" s="175"/>
      <c r="D1078" s="45" t="s">
        <v>31</v>
      </c>
      <c r="E1078" s="83" t="s">
        <v>3910</v>
      </c>
      <c r="F1078" s="82">
        <f>IFERROR(VLOOKUP(E1078,客户!B:C,2,FALSE),"/")</f>
        <v>0</v>
      </c>
      <c r="G1078" s="308" t="s">
        <v>4170</v>
      </c>
      <c r="H1078" s="324" t="s">
        <v>123</v>
      </c>
      <c r="I1078" s="110" t="s">
        <v>3508</v>
      </c>
      <c r="J1078" s="110">
        <v>44448</v>
      </c>
      <c r="K1078" s="93">
        <v>44519</v>
      </c>
      <c r="L1078" s="93"/>
      <c r="M1078" s="315" t="s">
        <v>4192</v>
      </c>
      <c r="N1078" s="339" t="s">
        <v>4193</v>
      </c>
      <c r="O1078" s="264" t="s">
        <v>970</v>
      </c>
      <c r="P1078" s="107">
        <v>55867</v>
      </c>
      <c r="Q1078" s="107"/>
      <c r="R1078" s="129"/>
      <c r="S1078" s="130"/>
      <c r="T1078" s="107">
        <v>55867</v>
      </c>
      <c r="U1078" s="93"/>
      <c r="V1078" s="247" t="s">
        <v>4194</v>
      </c>
      <c r="W1078" s="45"/>
    </row>
    <row r="1079" s="40" customFormat="1" ht="22" customHeight="1" spans="1:23">
      <c r="A1079" s="260" t="s">
        <v>4195</v>
      </c>
      <c r="B1079" s="174" t="s">
        <v>3596</v>
      </c>
      <c r="C1079" s="175"/>
      <c r="D1079" s="45" t="s">
        <v>31</v>
      </c>
      <c r="E1079" s="83" t="s">
        <v>3900</v>
      </c>
      <c r="F1079" s="82">
        <f>IFERROR(VLOOKUP(E1079,客户!B:C,2,FALSE),"/")</f>
        <v>0</v>
      </c>
      <c r="G1079" s="308" t="s">
        <v>4196</v>
      </c>
      <c r="H1079" s="324" t="s">
        <v>123</v>
      </c>
      <c r="I1079" s="110" t="s">
        <v>3902</v>
      </c>
      <c r="J1079" s="110">
        <v>44488</v>
      </c>
      <c r="K1079" s="93">
        <v>44570</v>
      </c>
      <c r="L1079" s="93">
        <v>44629</v>
      </c>
      <c r="M1079" s="315" t="s">
        <v>4197</v>
      </c>
      <c r="N1079" s="329" t="s">
        <v>4198</v>
      </c>
      <c r="O1079" s="264" t="s">
        <v>523</v>
      </c>
      <c r="P1079" s="107">
        <v>94086.97</v>
      </c>
      <c r="Q1079" s="107">
        <f>990.09+16475</f>
        <v>17465.09</v>
      </c>
      <c r="R1079" s="129"/>
      <c r="S1079" s="130"/>
      <c r="T1079" s="107">
        <f>25540.63+25540.63+25540.63</f>
        <v>76621.89</v>
      </c>
      <c r="U1079" s="93"/>
      <c r="V1079" s="107"/>
      <c r="W1079" s="45"/>
    </row>
    <row r="1080" s="40" customFormat="1" ht="22" customHeight="1" spans="1:23">
      <c r="A1080" s="260" t="s">
        <v>4199</v>
      </c>
      <c r="B1080" s="174" t="s">
        <v>3596</v>
      </c>
      <c r="C1080" s="175"/>
      <c r="D1080" s="45" t="s">
        <v>31</v>
      </c>
      <c r="E1080" s="83" t="s">
        <v>3883</v>
      </c>
      <c r="F1080" s="82">
        <f>IFERROR(VLOOKUP(E1080,客户!B:C,2,FALSE),"/")</f>
        <v>0</v>
      </c>
      <c r="G1080" s="308" t="s">
        <v>4074</v>
      </c>
      <c r="H1080" s="324" t="s">
        <v>147</v>
      </c>
      <c r="I1080" s="110" t="s">
        <v>4024</v>
      </c>
      <c r="J1080" s="110">
        <v>44488</v>
      </c>
      <c r="K1080" s="196">
        <v>44560</v>
      </c>
      <c r="L1080" s="93">
        <v>44578</v>
      </c>
      <c r="M1080" s="315" t="s">
        <v>4200</v>
      </c>
      <c r="N1080" s="329" t="s">
        <v>1746</v>
      </c>
      <c r="O1080" s="264" t="s">
        <v>970</v>
      </c>
      <c r="P1080" s="114">
        <v>36064.6</v>
      </c>
      <c r="Q1080" s="107">
        <v>10000</v>
      </c>
      <c r="R1080" s="129"/>
      <c r="S1080" s="130"/>
      <c r="T1080" s="107">
        <v>36423</v>
      </c>
      <c r="U1080" s="93"/>
      <c r="V1080" s="247" t="s">
        <v>4201</v>
      </c>
      <c r="W1080" s="45"/>
    </row>
    <row r="1081" s="40" customFormat="1" ht="22" customHeight="1" spans="1:23">
      <c r="A1081" s="260" t="s">
        <v>4202</v>
      </c>
      <c r="B1081" s="174" t="s">
        <v>3596</v>
      </c>
      <c r="C1081" s="175"/>
      <c r="D1081" s="45" t="s">
        <v>31</v>
      </c>
      <c r="E1081" s="83" t="s">
        <v>4203</v>
      </c>
      <c r="F1081" s="82">
        <f>IFERROR(VLOOKUP(E1081,客户!B:C,2,FALSE),"/")</f>
        <v>0</v>
      </c>
      <c r="G1081" s="308" t="s">
        <v>4204</v>
      </c>
      <c r="H1081" s="324" t="s">
        <v>123</v>
      </c>
      <c r="I1081" s="110" t="s">
        <v>4205</v>
      </c>
      <c r="J1081" s="110">
        <v>44491</v>
      </c>
      <c r="K1081" s="93">
        <v>44567</v>
      </c>
      <c r="L1081" s="93">
        <v>44624</v>
      </c>
      <c r="M1081" s="315" t="s">
        <v>4206</v>
      </c>
      <c r="N1081" s="329" t="s">
        <v>4207</v>
      </c>
      <c r="O1081" s="264" t="s">
        <v>970</v>
      </c>
      <c r="P1081" s="107">
        <v>38762.9</v>
      </c>
      <c r="Q1081" s="107">
        <v>9749.58</v>
      </c>
      <c r="R1081" s="129"/>
      <c r="S1081" s="130"/>
      <c r="T1081" s="107">
        <v>29013.32</v>
      </c>
      <c r="U1081" s="93"/>
      <c r="V1081" s="107" t="s">
        <v>4208</v>
      </c>
      <c r="W1081" s="45"/>
    </row>
    <row r="1082" s="40" customFormat="1" ht="22" customHeight="1" spans="1:23">
      <c r="A1082" s="260" t="s">
        <v>4209</v>
      </c>
      <c r="B1082" s="174" t="s">
        <v>3596</v>
      </c>
      <c r="C1082" s="175"/>
      <c r="D1082" s="45" t="s">
        <v>31</v>
      </c>
      <c r="E1082" s="83" t="s">
        <v>3883</v>
      </c>
      <c r="F1082" s="82">
        <f>IFERROR(VLOOKUP(E1082,客户!B:C,2,FALSE),"/")</f>
        <v>0</v>
      </c>
      <c r="G1082" s="308" t="s">
        <v>4074</v>
      </c>
      <c r="H1082" s="324" t="s">
        <v>147</v>
      </c>
      <c r="I1082" s="110" t="s">
        <v>4024</v>
      </c>
      <c r="J1082" s="110">
        <v>44491</v>
      </c>
      <c r="K1082" s="196">
        <v>44560</v>
      </c>
      <c r="L1082" s="93">
        <v>44578</v>
      </c>
      <c r="M1082" s="315" t="s">
        <v>4210</v>
      </c>
      <c r="N1082" s="329" t="s">
        <v>1746</v>
      </c>
      <c r="O1082" s="264" t="s">
        <v>970</v>
      </c>
      <c r="P1082" s="107">
        <v>35858.2</v>
      </c>
      <c r="Q1082" s="107"/>
      <c r="R1082" s="129"/>
      <c r="S1082" s="130"/>
      <c r="T1082" s="107">
        <v>35858.2</v>
      </c>
      <c r="U1082" s="93"/>
      <c r="V1082" s="107" t="s">
        <v>4211</v>
      </c>
      <c r="W1082" s="45"/>
    </row>
    <row r="1083" s="40" customFormat="1" ht="22" customHeight="1" spans="1:23">
      <c r="A1083" s="259" t="s">
        <v>4212</v>
      </c>
      <c r="B1083" s="174" t="s">
        <v>3596</v>
      </c>
      <c r="C1083" s="175"/>
      <c r="D1083" s="45" t="s">
        <v>31</v>
      </c>
      <c r="E1083" s="83" t="s">
        <v>4109</v>
      </c>
      <c r="F1083" s="82">
        <f>IFERROR(VLOOKUP(E1083,客户!B:C,2,FALSE),"/")</f>
        <v>0</v>
      </c>
      <c r="G1083" s="308" t="s">
        <v>4074</v>
      </c>
      <c r="H1083" s="324" t="s">
        <v>123</v>
      </c>
      <c r="I1083" s="110" t="s">
        <v>3698</v>
      </c>
      <c r="J1083" s="110">
        <v>44497</v>
      </c>
      <c r="K1083" s="93">
        <v>44597</v>
      </c>
      <c r="L1083" s="93">
        <v>44632</v>
      </c>
      <c r="M1083" s="315" t="s">
        <v>4213</v>
      </c>
      <c r="N1083" s="329" t="s">
        <v>4214</v>
      </c>
      <c r="O1083" s="264" t="s">
        <v>523</v>
      </c>
      <c r="P1083" s="107">
        <v>30059.7</v>
      </c>
      <c r="Q1083" s="107">
        <v>8646.48</v>
      </c>
      <c r="R1083" s="129"/>
      <c r="S1083" s="130"/>
      <c r="T1083" s="107">
        <v>20175.12</v>
      </c>
      <c r="U1083" s="107">
        <v>1238.1</v>
      </c>
      <c r="V1083" s="107"/>
      <c r="W1083" s="45"/>
    </row>
    <row r="1084" s="40" customFormat="1" ht="22" customHeight="1" spans="1:23">
      <c r="A1084" s="260" t="s">
        <v>4215</v>
      </c>
      <c r="B1084" s="174" t="s">
        <v>3596</v>
      </c>
      <c r="C1084" s="175"/>
      <c r="D1084" s="45" t="s">
        <v>31</v>
      </c>
      <c r="E1084" s="83" t="s">
        <v>3910</v>
      </c>
      <c r="F1084" s="82">
        <f>IFERROR(VLOOKUP(E1084,客户!B:C,2,FALSE),"/")</f>
        <v>0</v>
      </c>
      <c r="G1084" s="308" t="s">
        <v>3976</v>
      </c>
      <c r="H1084" s="324" t="s">
        <v>123</v>
      </c>
      <c r="I1084" s="110" t="s">
        <v>3508</v>
      </c>
      <c r="J1084" s="110">
        <v>44511</v>
      </c>
      <c r="K1084" s="93">
        <v>44551</v>
      </c>
      <c r="L1084" s="93"/>
      <c r="M1084" s="315" t="s">
        <v>4216</v>
      </c>
      <c r="N1084" s="339" t="s">
        <v>4217</v>
      </c>
      <c r="O1084" s="264" t="s">
        <v>970</v>
      </c>
      <c r="P1084" s="107">
        <v>56140</v>
      </c>
      <c r="R1084" s="129"/>
      <c r="S1084" s="130"/>
      <c r="T1084" s="107">
        <v>56140</v>
      </c>
      <c r="U1084" s="93"/>
      <c r="V1084" s="247" t="s">
        <v>4218</v>
      </c>
      <c r="W1084" s="45"/>
    </row>
    <row r="1085" s="40" customFormat="1" ht="22" customHeight="1" spans="1:23">
      <c r="A1085" s="260" t="s">
        <v>4219</v>
      </c>
      <c r="B1085" s="174" t="s">
        <v>3596</v>
      </c>
      <c r="C1085" s="175"/>
      <c r="D1085" s="45" t="s">
        <v>31</v>
      </c>
      <c r="E1085" s="83" t="s">
        <v>3910</v>
      </c>
      <c r="F1085" s="82"/>
      <c r="G1085" s="308" t="s">
        <v>4220</v>
      </c>
      <c r="H1085" s="324" t="s">
        <v>123</v>
      </c>
      <c r="I1085" s="110" t="s">
        <v>3508</v>
      </c>
      <c r="J1085" s="110">
        <v>44511</v>
      </c>
      <c r="K1085" s="93">
        <v>44575</v>
      </c>
      <c r="L1085" s="93">
        <v>44623</v>
      </c>
      <c r="M1085" s="315" t="s">
        <v>4221</v>
      </c>
      <c r="N1085" s="329" t="s">
        <v>4222</v>
      </c>
      <c r="O1085" s="264" t="s">
        <v>970</v>
      </c>
      <c r="P1085" s="107">
        <v>26867</v>
      </c>
      <c r="Q1085" s="107">
        <v>16678</v>
      </c>
      <c r="R1085" s="129"/>
      <c r="S1085" s="130"/>
      <c r="T1085" s="107">
        <f>7386+925+42</f>
        <v>8353</v>
      </c>
      <c r="U1085" s="107">
        <v>1836</v>
      </c>
      <c r="V1085" s="107"/>
      <c r="W1085" s="45"/>
    </row>
    <row r="1086" s="40" customFormat="1" ht="22" customHeight="1" spans="1:23">
      <c r="A1086" s="260" t="s">
        <v>4223</v>
      </c>
      <c r="B1086" s="174" t="s">
        <v>3596</v>
      </c>
      <c r="C1086" s="175"/>
      <c r="D1086" s="45" t="s">
        <v>31</v>
      </c>
      <c r="E1086" s="83" t="s">
        <v>4184</v>
      </c>
      <c r="F1086" s="82">
        <f>IFERROR(VLOOKUP(E1086,客户!B:C,2,FALSE),"/")</f>
        <v>0</v>
      </c>
      <c r="G1086" s="308" t="s">
        <v>4185</v>
      </c>
      <c r="H1086" s="324" t="s">
        <v>186</v>
      </c>
      <c r="I1086" s="110"/>
      <c r="J1086" s="110">
        <v>44525</v>
      </c>
      <c r="K1086" s="93">
        <v>44568</v>
      </c>
      <c r="L1086" s="93"/>
      <c r="M1086" s="315" t="s">
        <v>4224</v>
      </c>
      <c r="N1086" s="339"/>
      <c r="O1086" s="264" t="s">
        <v>970</v>
      </c>
      <c r="P1086" s="240">
        <v>64481</v>
      </c>
      <c r="Q1086" s="240">
        <v>19000</v>
      </c>
      <c r="R1086" s="129"/>
      <c r="S1086" s="130"/>
      <c r="T1086" s="240">
        <v>45481</v>
      </c>
      <c r="U1086" s="93"/>
      <c r="V1086" s="107"/>
      <c r="W1086" s="45"/>
    </row>
    <row r="1087" s="40" customFormat="1" ht="22" customHeight="1" spans="1:23">
      <c r="A1087" s="260" t="s">
        <v>4225</v>
      </c>
      <c r="B1087" s="174" t="s">
        <v>3596</v>
      </c>
      <c r="C1087" s="175"/>
      <c r="D1087" s="45" t="s">
        <v>31</v>
      </c>
      <c r="E1087" s="83" t="s">
        <v>3883</v>
      </c>
      <c r="F1087" s="82">
        <f>IFERROR(VLOOKUP(E1087,客户!B:C,2,FALSE),"/")</f>
        <v>0</v>
      </c>
      <c r="G1087" s="308" t="s">
        <v>4074</v>
      </c>
      <c r="H1087" s="324" t="s">
        <v>147</v>
      </c>
      <c r="I1087" s="110" t="s">
        <v>4024</v>
      </c>
      <c r="J1087" s="110">
        <v>44529</v>
      </c>
      <c r="K1087" s="93">
        <v>44567</v>
      </c>
      <c r="L1087" s="93">
        <v>44586</v>
      </c>
      <c r="M1087" s="315" t="s">
        <v>4226</v>
      </c>
      <c r="N1087" s="329" t="s">
        <v>4227</v>
      </c>
      <c r="O1087" s="264" t="s">
        <v>970</v>
      </c>
      <c r="P1087" s="107">
        <v>33442.2</v>
      </c>
      <c r="Q1087" s="240"/>
      <c r="R1087" s="129"/>
      <c r="S1087" s="130"/>
      <c r="T1087" s="107">
        <f>150000/6.32</f>
        <v>23734.1772151899</v>
      </c>
      <c r="U1087" s="107">
        <v>13164</v>
      </c>
      <c r="V1087" s="107"/>
      <c r="W1087" s="45"/>
    </row>
    <row r="1088" s="40" customFormat="1" ht="22" customHeight="1" spans="1:23">
      <c r="A1088" s="260" t="s">
        <v>4228</v>
      </c>
      <c r="B1088" s="174" t="s">
        <v>3596</v>
      </c>
      <c r="C1088" s="175"/>
      <c r="D1088" s="45" t="s">
        <v>31</v>
      </c>
      <c r="E1088" s="83" t="s">
        <v>3883</v>
      </c>
      <c r="F1088" s="82">
        <f>IFERROR(VLOOKUP(E1088,客户!B:C,2,FALSE),"/")</f>
        <v>0</v>
      </c>
      <c r="G1088" s="308" t="s">
        <v>4074</v>
      </c>
      <c r="H1088" s="324" t="s">
        <v>147</v>
      </c>
      <c r="I1088" s="110" t="s">
        <v>4024</v>
      </c>
      <c r="J1088" s="110">
        <v>44529</v>
      </c>
      <c r="K1088" s="93">
        <v>44596</v>
      </c>
      <c r="L1088" s="93">
        <v>44613</v>
      </c>
      <c r="M1088" s="315" t="s">
        <v>4229</v>
      </c>
      <c r="N1088" s="339" t="s">
        <v>4230</v>
      </c>
      <c r="O1088" s="264" t="s">
        <v>970</v>
      </c>
      <c r="P1088" s="107">
        <v>33270.24</v>
      </c>
      <c r="Q1088" s="240"/>
      <c r="R1088" s="129"/>
      <c r="S1088" s="130"/>
      <c r="T1088" s="107">
        <v>24240</v>
      </c>
      <c r="U1088" s="93"/>
      <c r="V1088" s="247" t="s">
        <v>4231</v>
      </c>
      <c r="W1088" s="45"/>
    </row>
    <row r="1089" s="40" customFormat="1" ht="22" customHeight="1" spans="1:23">
      <c r="A1089" s="260" t="s">
        <v>4232</v>
      </c>
      <c r="B1089" s="174" t="s">
        <v>3596</v>
      </c>
      <c r="C1089" s="175"/>
      <c r="D1089" s="45" t="s">
        <v>31</v>
      </c>
      <c r="E1089" s="83" t="s">
        <v>3922</v>
      </c>
      <c r="F1089" s="82">
        <f>IFERROR(VLOOKUP(E1089,客户!B:C,2,FALSE),"/")</f>
        <v>0</v>
      </c>
      <c r="G1089" s="308" t="s">
        <v>4233</v>
      </c>
      <c r="H1089" s="324" t="s">
        <v>186</v>
      </c>
      <c r="I1089" s="110" t="s">
        <v>3808</v>
      </c>
      <c r="J1089" s="110">
        <v>44531</v>
      </c>
      <c r="K1089" s="93">
        <v>44587</v>
      </c>
      <c r="L1089" s="93"/>
      <c r="M1089" s="315" t="s">
        <v>4234</v>
      </c>
      <c r="N1089" s="339" t="s">
        <v>4235</v>
      </c>
      <c r="O1089" s="264" t="s">
        <v>970</v>
      </c>
      <c r="P1089" s="240">
        <v>159225</v>
      </c>
      <c r="Q1089" s="240">
        <v>47520</v>
      </c>
      <c r="R1089" s="129"/>
      <c r="S1089" s="130"/>
      <c r="T1089" s="240">
        <v>100000</v>
      </c>
      <c r="U1089" s="240">
        <v>11705</v>
      </c>
      <c r="V1089" s="107"/>
      <c r="W1089" s="45"/>
    </row>
    <row r="1090" s="40" customFormat="1" ht="22" customHeight="1" spans="1:23">
      <c r="A1090" s="260" t="s">
        <v>4236</v>
      </c>
      <c r="B1090" s="174" t="s">
        <v>3596</v>
      </c>
      <c r="C1090" s="175"/>
      <c r="D1090" s="45" t="s">
        <v>31</v>
      </c>
      <c r="E1090" s="83" t="s">
        <v>3859</v>
      </c>
      <c r="F1090" s="82">
        <f>IFERROR(VLOOKUP(E1090,客户!B:C,2,FALSE),"/")</f>
        <v>0</v>
      </c>
      <c r="G1090" s="308" t="s">
        <v>4237</v>
      </c>
      <c r="H1090" s="324" t="s">
        <v>123</v>
      </c>
      <c r="I1090" s="110" t="s">
        <v>3849</v>
      </c>
      <c r="J1090" s="110">
        <v>44531</v>
      </c>
      <c r="K1090" s="93">
        <v>44585</v>
      </c>
      <c r="L1090" s="93">
        <v>44624</v>
      </c>
      <c r="M1090" s="315" t="s">
        <v>4238</v>
      </c>
      <c r="N1090" s="329" t="s">
        <v>4239</v>
      </c>
      <c r="O1090" s="264" t="s">
        <v>523</v>
      </c>
      <c r="P1090" s="107">
        <v>97559.74</v>
      </c>
      <c r="Q1090" s="107">
        <v>25219</v>
      </c>
      <c r="R1090" s="129"/>
      <c r="S1090" s="130"/>
      <c r="T1090" s="107">
        <v>72340.74</v>
      </c>
      <c r="U1090" s="93"/>
      <c r="V1090" s="107"/>
      <c r="W1090" s="45"/>
    </row>
    <row r="1091" s="40" customFormat="1" ht="22" customHeight="1" spans="1:23">
      <c r="A1091" s="260" t="s">
        <v>4240</v>
      </c>
      <c r="B1091" s="174" t="s">
        <v>3596</v>
      </c>
      <c r="C1091" s="175"/>
      <c r="D1091" s="45" t="s">
        <v>31</v>
      </c>
      <c r="E1091" s="83" t="s">
        <v>3980</v>
      </c>
      <c r="F1091" s="82">
        <f>IFERROR(VLOOKUP(E1091,客户!B:C,2,FALSE),"/")</f>
        <v>0</v>
      </c>
      <c r="G1091" s="229" t="s">
        <v>3981</v>
      </c>
      <c r="H1091" s="45" t="s">
        <v>123</v>
      </c>
      <c r="I1091" s="45" t="s">
        <v>3982</v>
      </c>
      <c r="J1091" s="157">
        <v>44532</v>
      </c>
      <c r="K1091" s="93">
        <v>44567</v>
      </c>
      <c r="L1091" s="93">
        <v>44607</v>
      </c>
      <c r="M1091" s="156" t="s">
        <v>4241</v>
      </c>
      <c r="N1091" s="343" t="s">
        <v>4242</v>
      </c>
      <c r="O1091" s="264" t="s">
        <v>523</v>
      </c>
      <c r="P1091" s="107">
        <v>24866.75</v>
      </c>
      <c r="Q1091" s="107">
        <v>7460.03</v>
      </c>
      <c r="R1091" s="129"/>
      <c r="S1091" s="130"/>
      <c r="T1091" s="107">
        <v>17406.72</v>
      </c>
      <c r="U1091" s="93"/>
      <c r="V1091" s="107"/>
      <c r="W1091" s="45"/>
    </row>
    <row r="1092" s="40" customFormat="1" ht="22" customHeight="1" spans="1:23">
      <c r="A1092" s="260" t="s">
        <v>4243</v>
      </c>
      <c r="B1092" s="174" t="s">
        <v>3596</v>
      </c>
      <c r="C1092" s="175"/>
      <c r="D1092" s="45" t="s">
        <v>31</v>
      </c>
      <c r="E1092" s="83" t="s">
        <v>4109</v>
      </c>
      <c r="F1092" s="82">
        <f>IFERROR(VLOOKUP(E1092,客户!B:C,2,FALSE),"/")</f>
        <v>0</v>
      </c>
      <c r="G1092" s="308" t="s">
        <v>4074</v>
      </c>
      <c r="H1092" s="324" t="s">
        <v>123</v>
      </c>
      <c r="I1092" s="110" t="s">
        <v>3698</v>
      </c>
      <c r="J1092" s="110">
        <v>44532</v>
      </c>
      <c r="K1092" s="93">
        <v>44570</v>
      </c>
      <c r="L1092" s="93">
        <v>44632</v>
      </c>
      <c r="M1092" s="315" t="s">
        <v>4244</v>
      </c>
      <c r="N1092" s="343" t="s">
        <v>4245</v>
      </c>
      <c r="O1092" s="264" t="s">
        <v>523</v>
      </c>
      <c r="P1092" s="107">
        <v>28585.25</v>
      </c>
      <c r="Q1092" s="107">
        <v>8575.58</v>
      </c>
      <c r="R1092" s="129"/>
      <c r="S1092" s="130"/>
      <c r="T1092" s="107">
        <v>20009.67</v>
      </c>
      <c r="U1092" s="93"/>
      <c r="V1092" s="107"/>
      <c r="W1092" s="45"/>
    </row>
    <row r="1093" s="40" customFormat="1" ht="22" customHeight="1" spans="1:23">
      <c r="A1093" s="260" t="s">
        <v>4246</v>
      </c>
      <c r="B1093" s="174" t="s">
        <v>3596</v>
      </c>
      <c r="C1093" s="175"/>
      <c r="D1093" s="45" t="s">
        <v>31</v>
      </c>
      <c r="E1093" s="83" t="s">
        <v>3859</v>
      </c>
      <c r="F1093" s="82">
        <f>IFERROR(VLOOKUP(E1093,客户!B:C,2,FALSE),"/")</f>
        <v>0</v>
      </c>
      <c r="G1093" s="308" t="s">
        <v>4247</v>
      </c>
      <c r="H1093" s="324" t="s">
        <v>123</v>
      </c>
      <c r="I1093" s="110" t="s">
        <v>3849</v>
      </c>
      <c r="J1093" s="110">
        <v>44533</v>
      </c>
      <c r="K1093" s="93">
        <v>44589</v>
      </c>
      <c r="L1093" s="93">
        <v>44628</v>
      </c>
      <c r="M1093" s="315" t="s">
        <v>4248</v>
      </c>
      <c r="N1093" s="343" t="s">
        <v>4249</v>
      </c>
      <c r="O1093" s="264" t="s">
        <v>523</v>
      </c>
      <c r="P1093" s="107">
        <v>109723.94</v>
      </c>
      <c r="Q1093" s="107">
        <v>25236</v>
      </c>
      <c r="R1093" s="129"/>
      <c r="S1093" s="130"/>
      <c r="T1093" s="107">
        <v>84487.94</v>
      </c>
      <c r="U1093" s="93"/>
      <c r="V1093" s="107"/>
      <c r="W1093" s="45"/>
    </row>
    <row r="1094" s="40" customFormat="1" ht="22" customHeight="1" spans="1:23">
      <c r="A1094" s="260" t="s">
        <v>4250</v>
      </c>
      <c r="B1094" s="174" t="s">
        <v>3596</v>
      </c>
      <c r="C1094" s="175"/>
      <c r="D1094" s="45" t="s">
        <v>31</v>
      </c>
      <c r="E1094" s="83" t="s">
        <v>4169</v>
      </c>
      <c r="F1094" s="82"/>
      <c r="G1094" s="308" t="s">
        <v>4251</v>
      </c>
      <c r="H1094" s="324" t="s">
        <v>186</v>
      </c>
      <c r="I1094" s="110"/>
      <c r="J1094" s="110">
        <v>44543</v>
      </c>
      <c r="K1094" s="93">
        <v>44561</v>
      </c>
      <c r="L1094" s="93"/>
      <c r="M1094" s="315" t="s">
        <v>4252</v>
      </c>
      <c r="N1094" s="339" t="s">
        <v>4253</v>
      </c>
      <c r="O1094" s="264" t="s">
        <v>970</v>
      </c>
      <c r="P1094" s="240">
        <v>20684.16</v>
      </c>
      <c r="Q1094" s="107"/>
      <c r="R1094" s="129"/>
      <c r="S1094" s="130"/>
      <c r="T1094" s="240">
        <v>20684.16</v>
      </c>
      <c r="U1094" s="93"/>
      <c r="V1094" s="247" t="s">
        <v>4254</v>
      </c>
      <c r="W1094" s="45"/>
    </row>
    <row r="1095" s="40" customFormat="1" ht="22" customHeight="1" spans="1:23">
      <c r="A1095" s="260" t="s">
        <v>4255</v>
      </c>
      <c r="B1095" s="174" t="s">
        <v>3596</v>
      </c>
      <c r="C1095" s="175"/>
      <c r="D1095" s="45" t="s">
        <v>31</v>
      </c>
      <c r="E1095" s="83" t="s">
        <v>3910</v>
      </c>
      <c r="F1095" s="82"/>
      <c r="G1095" s="308" t="s">
        <v>4256</v>
      </c>
      <c r="H1095" s="324" t="s">
        <v>123</v>
      </c>
      <c r="I1095" s="110" t="s">
        <v>3508</v>
      </c>
      <c r="J1095" s="110">
        <v>44544</v>
      </c>
      <c r="K1095" s="93">
        <v>44575</v>
      </c>
      <c r="L1095" s="93"/>
      <c r="M1095" s="315" t="s">
        <v>4257</v>
      </c>
      <c r="N1095" s="329" t="s">
        <v>4222</v>
      </c>
      <c r="O1095" s="264" t="s">
        <v>970</v>
      </c>
      <c r="P1095" s="107">
        <v>46318.8</v>
      </c>
      <c r="Q1095" s="107">
        <v>9913</v>
      </c>
      <c r="R1095" s="129"/>
      <c r="S1095" s="130"/>
      <c r="T1095" s="107">
        <v>36405.8</v>
      </c>
      <c r="U1095" s="93"/>
      <c r="V1095" s="107"/>
      <c r="W1095" s="45"/>
    </row>
    <row r="1096" s="40" customFormat="1" ht="22" customHeight="1" spans="1:23">
      <c r="A1096" s="260" t="s">
        <v>4258</v>
      </c>
      <c r="B1096" s="174" t="s">
        <v>3596</v>
      </c>
      <c r="C1096" s="175"/>
      <c r="D1096" s="45" t="s">
        <v>31</v>
      </c>
      <c r="E1096" s="83" t="s">
        <v>4259</v>
      </c>
      <c r="F1096" s="82">
        <f>IFERROR(VLOOKUP(E1096,客户!B:C,2,FALSE),"/")</f>
        <v>0</v>
      </c>
      <c r="G1096" s="308" t="s">
        <v>4260</v>
      </c>
      <c r="H1096" s="324" t="s">
        <v>186</v>
      </c>
      <c r="I1096" s="110"/>
      <c r="J1096" s="110">
        <v>44553</v>
      </c>
      <c r="K1096" s="93"/>
      <c r="L1096" s="93"/>
      <c r="M1096" s="315"/>
      <c r="N1096" s="339"/>
      <c r="O1096" s="264" t="s">
        <v>970</v>
      </c>
      <c r="P1096" s="240">
        <v>3320</v>
      </c>
      <c r="Q1096" s="240">
        <v>1660</v>
      </c>
      <c r="R1096" s="129"/>
      <c r="S1096" s="130"/>
      <c r="T1096" s="240">
        <v>1660</v>
      </c>
      <c r="U1096" s="93"/>
      <c r="V1096" s="107"/>
      <c r="W1096" s="45"/>
    </row>
    <row r="1097" s="40" customFormat="1" ht="22" customHeight="1" spans="1:23">
      <c r="A1097" s="260" t="s">
        <v>4261</v>
      </c>
      <c r="B1097" s="174" t="s">
        <v>3596</v>
      </c>
      <c r="C1097" s="175"/>
      <c r="D1097" s="45" t="s">
        <v>31</v>
      </c>
      <c r="E1097" s="83" t="s">
        <v>3883</v>
      </c>
      <c r="F1097" s="82">
        <f>IFERROR(VLOOKUP(E1097,客户!B:C,2,FALSE),"/")</f>
        <v>0</v>
      </c>
      <c r="G1097" s="308" t="s">
        <v>4074</v>
      </c>
      <c r="H1097" s="324" t="s">
        <v>147</v>
      </c>
      <c r="I1097" s="110" t="s">
        <v>4024</v>
      </c>
      <c r="J1097" s="110">
        <v>44554</v>
      </c>
      <c r="K1097" s="93">
        <v>44675</v>
      </c>
      <c r="L1097" s="93"/>
      <c r="M1097" s="315" t="s">
        <v>4262</v>
      </c>
      <c r="N1097" s="202" t="s">
        <v>4263</v>
      </c>
      <c r="O1097" s="264" t="s">
        <v>970</v>
      </c>
      <c r="P1097" s="107">
        <v>34157.76</v>
      </c>
      <c r="Q1097" s="107">
        <f>12214.34+34358-23622-2764.42-1028.16</f>
        <v>19157.76</v>
      </c>
      <c r="R1097" s="129"/>
      <c r="S1097" s="130"/>
      <c r="T1097" s="107">
        <v>15000</v>
      </c>
      <c r="U1097" s="93"/>
      <c r="V1097" s="247" t="s">
        <v>4264</v>
      </c>
      <c r="W1097" s="45"/>
    </row>
    <row r="1098" s="40" customFormat="1" ht="22" customHeight="1" spans="1:23">
      <c r="A1098" s="260" t="s">
        <v>4265</v>
      </c>
      <c r="B1098" s="174" t="s">
        <v>3596</v>
      </c>
      <c r="C1098" s="175"/>
      <c r="D1098" s="45" t="s">
        <v>31</v>
      </c>
      <c r="E1098" s="83" t="s">
        <v>3922</v>
      </c>
      <c r="F1098" s="82">
        <f>IFERROR(VLOOKUP(E1098,客户!B:C,2,FALSE),"/")</f>
        <v>0</v>
      </c>
      <c r="G1098" s="308" t="s">
        <v>4266</v>
      </c>
      <c r="H1098" s="324" t="s">
        <v>186</v>
      </c>
      <c r="I1098" s="110"/>
      <c r="J1098" s="110">
        <v>44559</v>
      </c>
      <c r="K1098" s="93">
        <v>44576</v>
      </c>
      <c r="L1098" s="93"/>
      <c r="M1098" s="315"/>
      <c r="N1098" s="339"/>
      <c r="O1098" s="264" t="s">
        <v>970</v>
      </c>
      <c r="P1098" s="240">
        <v>2960</v>
      </c>
      <c r="Q1098" s="240">
        <v>888</v>
      </c>
      <c r="R1098" s="129"/>
      <c r="S1098" s="130"/>
      <c r="T1098" s="240">
        <v>2722</v>
      </c>
      <c r="U1098" s="93"/>
      <c r="V1098" s="107"/>
      <c r="W1098" s="45"/>
    </row>
    <row r="1099" s="40" customFormat="1" ht="22" customHeight="1" spans="1:23">
      <c r="A1099" s="260" t="s">
        <v>4267</v>
      </c>
      <c r="B1099" s="174" t="s">
        <v>3596</v>
      </c>
      <c r="C1099" s="175"/>
      <c r="D1099" s="45" t="s">
        <v>31</v>
      </c>
      <c r="E1099" s="83" t="s">
        <v>3910</v>
      </c>
      <c r="F1099" s="82"/>
      <c r="G1099" s="308" t="s">
        <v>4268</v>
      </c>
      <c r="H1099" s="324" t="s">
        <v>123</v>
      </c>
      <c r="I1099" s="110" t="s">
        <v>3508</v>
      </c>
      <c r="J1099" s="110">
        <v>44587</v>
      </c>
      <c r="K1099" s="93">
        <v>44669</v>
      </c>
      <c r="L1099" s="93"/>
      <c r="M1099" s="315" t="s">
        <v>4269</v>
      </c>
      <c r="N1099" s="339" t="s">
        <v>4270</v>
      </c>
      <c r="O1099" s="264" t="s">
        <v>970</v>
      </c>
      <c r="P1099" s="107">
        <v>27129</v>
      </c>
      <c r="Q1099" s="107">
        <f>12135.2-1836</f>
        <v>10299.2</v>
      </c>
      <c r="R1099" s="129"/>
      <c r="S1099" s="130"/>
      <c r="T1099" s="107">
        <f>16695.8+134</f>
        <v>16829.8</v>
      </c>
      <c r="U1099" s="93"/>
      <c r="V1099" s="107"/>
      <c r="W1099" s="45"/>
    </row>
    <row r="1100" s="40" customFormat="1" ht="22" customHeight="1" spans="1:23">
      <c r="A1100" s="260" t="s">
        <v>4271</v>
      </c>
      <c r="B1100" s="174" t="s">
        <v>3596</v>
      </c>
      <c r="C1100" s="175"/>
      <c r="D1100" s="45" t="s">
        <v>31</v>
      </c>
      <c r="E1100" s="83" t="s">
        <v>3910</v>
      </c>
      <c r="F1100" s="82"/>
      <c r="G1100" s="308" t="s">
        <v>4220</v>
      </c>
      <c r="H1100" s="324" t="s">
        <v>123</v>
      </c>
      <c r="I1100" s="110" t="s">
        <v>3508</v>
      </c>
      <c r="J1100" s="110">
        <v>44587</v>
      </c>
      <c r="K1100" s="93">
        <v>44683</v>
      </c>
      <c r="L1100" s="93"/>
      <c r="M1100" s="315" t="s">
        <v>4272</v>
      </c>
      <c r="N1100" s="339" t="s">
        <v>4273</v>
      </c>
      <c r="O1100" s="264" t="s">
        <v>970</v>
      </c>
      <c r="P1100" s="107">
        <v>24233</v>
      </c>
      <c r="Q1100" s="107">
        <f>24367-134</f>
        <v>24233</v>
      </c>
      <c r="R1100" s="129"/>
      <c r="S1100" s="130"/>
      <c r="T1100" s="240"/>
      <c r="U1100" s="93"/>
      <c r="V1100" s="247" t="s">
        <v>4274</v>
      </c>
      <c r="W1100" s="45"/>
    </row>
    <row r="1101" s="40" customFormat="1" ht="22" customHeight="1" spans="1:23">
      <c r="A1101" s="259" t="s">
        <v>4275</v>
      </c>
      <c r="B1101" s="174" t="s">
        <v>3596</v>
      </c>
      <c r="C1101" s="175"/>
      <c r="D1101" s="45" t="s">
        <v>31</v>
      </c>
      <c r="E1101" s="83" t="s">
        <v>3922</v>
      </c>
      <c r="F1101" s="82">
        <f>IFERROR(VLOOKUP(E1101,客户!B:C,2,FALSE),"/")</f>
        <v>0</v>
      </c>
      <c r="G1101" s="308" t="s">
        <v>4233</v>
      </c>
      <c r="H1101" s="324" t="s">
        <v>186</v>
      </c>
      <c r="I1101" s="110" t="s">
        <v>3808</v>
      </c>
      <c r="J1101" s="110">
        <v>44587</v>
      </c>
      <c r="K1101" s="93">
        <v>44692</v>
      </c>
      <c r="L1101" s="93"/>
      <c r="M1101" s="315" t="s">
        <v>4276</v>
      </c>
      <c r="N1101" s="339" t="s">
        <v>4277</v>
      </c>
      <c r="O1101" s="264" t="s">
        <v>970</v>
      </c>
      <c r="P1101" s="240">
        <v>157671</v>
      </c>
      <c r="Q1101" s="240">
        <f>10000+38915.9</f>
        <v>48915.9</v>
      </c>
      <c r="R1101" s="129"/>
      <c r="S1101" s="130"/>
      <c r="T1101" s="240">
        <v>60000</v>
      </c>
      <c r="U1101" s="240">
        <v>54137.1</v>
      </c>
      <c r="V1101" s="107"/>
      <c r="W1101" s="45"/>
    </row>
    <row r="1102" s="40" customFormat="1" ht="22" customHeight="1" spans="1:23">
      <c r="A1102" s="260" t="s">
        <v>4278</v>
      </c>
      <c r="B1102" s="174" t="s">
        <v>3596</v>
      </c>
      <c r="C1102" s="175"/>
      <c r="D1102" s="45" t="s">
        <v>31</v>
      </c>
      <c r="E1102" s="83" t="s">
        <v>3922</v>
      </c>
      <c r="F1102" s="82">
        <f>IFERROR(VLOOKUP(E1102,客户!B:C,2,FALSE),"/")</f>
        <v>0</v>
      </c>
      <c r="G1102" s="308" t="s">
        <v>4279</v>
      </c>
      <c r="H1102" s="324" t="s">
        <v>186</v>
      </c>
      <c r="I1102" s="110"/>
      <c r="J1102" s="110">
        <v>44617</v>
      </c>
      <c r="K1102" s="93">
        <v>44653</v>
      </c>
      <c r="L1102" s="93"/>
      <c r="M1102" s="315" t="s">
        <v>4280</v>
      </c>
      <c r="N1102" s="339"/>
      <c r="O1102" s="264" t="s">
        <v>970</v>
      </c>
      <c r="P1102" s="240">
        <v>5091.5</v>
      </c>
      <c r="Q1102" s="240">
        <v>1600</v>
      </c>
      <c r="R1102" s="129"/>
      <c r="S1102" s="130"/>
      <c r="T1102" s="240">
        <v>3491.5</v>
      </c>
      <c r="U1102" s="93"/>
      <c r="V1102" s="107"/>
      <c r="W1102" s="45"/>
    </row>
    <row r="1103" s="40" customFormat="1" ht="22" customHeight="1" spans="1:23">
      <c r="A1103" s="260" t="s">
        <v>4281</v>
      </c>
      <c r="B1103" s="174" t="s">
        <v>3596</v>
      </c>
      <c r="C1103" s="175"/>
      <c r="D1103" s="45" t="s">
        <v>31</v>
      </c>
      <c r="E1103" s="83" t="s">
        <v>4282</v>
      </c>
      <c r="F1103" s="82"/>
      <c r="G1103" s="308" t="s">
        <v>4283</v>
      </c>
      <c r="H1103" s="324" t="s">
        <v>123</v>
      </c>
      <c r="I1103" s="110" t="s">
        <v>4031</v>
      </c>
      <c r="J1103" s="110">
        <v>44620</v>
      </c>
      <c r="K1103" s="93">
        <v>44697</v>
      </c>
      <c r="L1103" s="93">
        <v>44711</v>
      </c>
      <c r="M1103" s="315" t="s">
        <v>4284</v>
      </c>
      <c r="N1103" s="202" t="s">
        <v>4285</v>
      </c>
      <c r="O1103" s="264" t="s">
        <v>523</v>
      </c>
      <c r="P1103" s="107">
        <v>33513.8</v>
      </c>
      <c r="Q1103" s="107">
        <v>10039</v>
      </c>
      <c r="R1103" s="129"/>
      <c r="S1103" s="130"/>
      <c r="T1103" s="107">
        <v>23474.8</v>
      </c>
      <c r="U1103" s="93"/>
      <c r="V1103" s="107"/>
      <c r="W1103" s="45"/>
    </row>
    <row r="1104" s="40" customFormat="1" ht="22" customHeight="1" spans="1:23">
      <c r="A1104" s="291" t="s">
        <v>4286</v>
      </c>
      <c r="B1104" s="174" t="s">
        <v>3596</v>
      </c>
      <c r="C1104" s="175"/>
      <c r="D1104" s="45" t="s">
        <v>2</v>
      </c>
      <c r="E1104" s="83" t="s">
        <v>3910</v>
      </c>
      <c r="F1104" s="82">
        <f>IFERROR(VLOOKUP(E1104,客户!B:C,2,FALSE),"/")</f>
        <v>0</v>
      </c>
      <c r="G1104" s="308" t="s">
        <v>4256</v>
      </c>
      <c r="H1104" s="324" t="s">
        <v>123</v>
      </c>
      <c r="I1104" s="110" t="s">
        <v>3508</v>
      </c>
      <c r="J1104" s="110">
        <v>44620</v>
      </c>
      <c r="K1104" s="93">
        <v>44719</v>
      </c>
      <c r="L1104" s="93"/>
      <c r="M1104" s="315" t="s">
        <v>4287</v>
      </c>
      <c r="N1104" s="339" t="s">
        <v>4288</v>
      </c>
      <c r="O1104" s="264" t="s">
        <v>970</v>
      </c>
      <c r="P1104" s="107">
        <v>49987.9</v>
      </c>
      <c r="Q1104" s="107">
        <f>10000-Q1105</f>
        <v>6500</v>
      </c>
      <c r="R1104" s="129">
        <f>P1104-Q1104</f>
        <v>43487.9</v>
      </c>
      <c r="S1104" s="130"/>
      <c r="T1104" s="240"/>
      <c r="U1104" s="93"/>
      <c r="V1104" s="107"/>
      <c r="W1104" s="45"/>
    </row>
    <row r="1105" s="40" customFormat="1" ht="22" customHeight="1" spans="1:23">
      <c r="A1105" s="260" t="s">
        <v>4289</v>
      </c>
      <c r="B1105" s="174" t="s">
        <v>3596</v>
      </c>
      <c r="C1105" s="175"/>
      <c r="D1105" s="45" t="s">
        <v>31</v>
      </c>
      <c r="E1105" s="83" t="s">
        <v>3910</v>
      </c>
      <c r="F1105" s="82">
        <f>IFERROR(VLOOKUP(E1105,客户!B:C,2,FALSE),"/")</f>
        <v>0</v>
      </c>
      <c r="G1105" s="308" t="s">
        <v>4220</v>
      </c>
      <c r="H1105" s="324" t="s">
        <v>123</v>
      </c>
      <c r="I1105" s="110" t="s">
        <v>3508</v>
      </c>
      <c r="J1105" s="110">
        <v>44620</v>
      </c>
      <c r="K1105" s="93">
        <v>44701</v>
      </c>
      <c r="L1105" s="93"/>
      <c r="M1105" s="315" t="s">
        <v>4287</v>
      </c>
      <c r="N1105" s="339" t="s">
        <v>4290</v>
      </c>
      <c r="O1105" s="264" t="s">
        <v>970</v>
      </c>
      <c r="P1105" s="107">
        <v>23501</v>
      </c>
      <c r="Q1105" s="107">
        <v>3500</v>
      </c>
      <c r="R1105" s="129"/>
      <c r="S1105" s="130"/>
      <c r="T1105" s="107">
        <v>20001</v>
      </c>
      <c r="U1105" s="93"/>
      <c r="V1105" s="107"/>
      <c r="W1105" s="45"/>
    </row>
    <row r="1106" s="40" customFormat="1" ht="22" customHeight="1" spans="1:23">
      <c r="A1106" s="291" t="s">
        <v>4291</v>
      </c>
      <c r="B1106" s="174" t="s">
        <v>3596</v>
      </c>
      <c r="C1106" s="175"/>
      <c r="D1106" s="45" t="s">
        <v>3</v>
      </c>
      <c r="E1106" s="83" t="s">
        <v>3922</v>
      </c>
      <c r="F1106" s="82">
        <f>IFERROR(VLOOKUP(E1106,客户!B:C,2,FALSE),"/")</f>
        <v>0</v>
      </c>
      <c r="G1106" s="308" t="s">
        <v>4279</v>
      </c>
      <c r="H1106" s="324" t="s">
        <v>186</v>
      </c>
      <c r="I1106" s="110"/>
      <c r="J1106" s="110">
        <v>44622</v>
      </c>
      <c r="K1106" s="93"/>
      <c r="L1106" s="93"/>
      <c r="M1106" s="315" t="s">
        <v>4292</v>
      </c>
      <c r="N1106" s="339"/>
      <c r="O1106" s="264" t="s">
        <v>970</v>
      </c>
      <c r="P1106" s="240">
        <v>77590.32</v>
      </c>
      <c r="Q1106" s="240">
        <v>23277</v>
      </c>
      <c r="R1106" s="129"/>
      <c r="S1106" s="130"/>
      <c r="T1106" s="240"/>
      <c r="U1106" s="93"/>
      <c r="V1106" s="107"/>
      <c r="W1106" s="45"/>
    </row>
    <row r="1107" s="40" customFormat="1" ht="22" customHeight="1" spans="1:23">
      <c r="A1107" s="291" t="s">
        <v>4293</v>
      </c>
      <c r="B1107" s="174" t="s">
        <v>3596</v>
      </c>
      <c r="C1107" s="175"/>
      <c r="D1107" s="45" t="s">
        <v>0</v>
      </c>
      <c r="E1107" s="83" t="s">
        <v>4282</v>
      </c>
      <c r="F1107" s="82">
        <f>IFERROR(VLOOKUP(E1107,客户!B:C,2,FALSE),"/")</f>
        <v>0</v>
      </c>
      <c r="G1107" s="308" t="s">
        <v>4283</v>
      </c>
      <c r="H1107" s="324" t="s">
        <v>123</v>
      </c>
      <c r="I1107" s="110" t="s">
        <v>4031</v>
      </c>
      <c r="J1107" s="110">
        <v>44622</v>
      </c>
      <c r="K1107" s="93"/>
      <c r="L1107" s="93"/>
      <c r="M1107" s="315" t="s">
        <v>4294</v>
      </c>
      <c r="N1107" s="202" t="s">
        <v>4295</v>
      </c>
      <c r="O1107" s="264" t="s">
        <v>523</v>
      </c>
      <c r="P1107" s="135">
        <v>34713</v>
      </c>
      <c r="Q1107" s="107">
        <v>10414</v>
      </c>
      <c r="R1107" s="129"/>
      <c r="S1107" s="130"/>
      <c r="T1107" s="240"/>
      <c r="U1107" s="93"/>
      <c r="V1107" s="107"/>
      <c r="W1107" s="45"/>
    </row>
    <row r="1108" s="40" customFormat="1" ht="22" customHeight="1" spans="1:23">
      <c r="A1108" s="330" t="s">
        <v>4296</v>
      </c>
      <c r="B1108" s="174" t="s">
        <v>3596</v>
      </c>
      <c r="C1108" s="175"/>
      <c r="D1108" s="45" t="s">
        <v>0</v>
      </c>
      <c r="E1108" s="83" t="s">
        <v>3900</v>
      </c>
      <c r="F1108" s="82">
        <f>IFERROR(VLOOKUP(E1108,客户!B:C,2,FALSE),"/")</f>
        <v>0</v>
      </c>
      <c r="G1108" s="308" t="s">
        <v>4078</v>
      </c>
      <c r="H1108" s="324" t="s">
        <v>123</v>
      </c>
      <c r="I1108" s="110" t="s">
        <v>3902</v>
      </c>
      <c r="J1108" s="110">
        <v>44629</v>
      </c>
      <c r="K1108" s="93">
        <v>44736</v>
      </c>
      <c r="L1108" s="93"/>
      <c r="M1108" s="325" t="s">
        <v>4297</v>
      </c>
      <c r="N1108" s="339" t="s">
        <v>4298</v>
      </c>
      <c r="O1108" s="264" t="s">
        <v>523</v>
      </c>
      <c r="P1108" s="135">
        <v>58599.5</v>
      </c>
      <c r="Q1108" s="107">
        <f>11360+6219.85</f>
        <v>17579.85</v>
      </c>
      <c r="R1108" s="129"/>
      <c r="S1108" s="130"/>
      <c r="T1108" s="240"/>
      <c r="U1108" s="93"/>
      <c r="V1108" s="107"/>
      <c r="W1108" s="45"/>
    </row>
    <row r="1109" s="40" customFormat="1" ht="22" customHeight="1" spans="1:23">
      <c r="A1109" s="291" t="s">
        <v>4299</v>
      </c>
      <c r="B1109" s="174" t="s">
        <v>3596</v>
      </c>
      <c r="C1109" s="175"/>
      <c r="D1109" s="45" t="s">
        <v>3</v>
      </c>
      <c r="E1109" s="83" t="s">
        <v>3900</v>
      </c>
      <c r="F1109" s="82">
        <f>IFERROR(VLOOKUP(E1109,客户!B:C,2,FALSE),"/")</f>
        <v>0</v>
      </c>
      <c r="G1109" s="308" t="s">
        <v>4078</v>
      </c>
      <c r="H1109" s="324" t="s">
        <v>123</v>
      </c>
      <c r="I1109" s="110" t="s">
        <v>3902</v>
      </c>
      <c r="J1109" s="110">
        <v>44630</v>
      </c>
      <c r="K1109" s="93"/>
      <c r="L1109" s="93"/>
      <c r="M1109" s="315" t="s">
        <v>4300</v>
      </c>
      <c r="N1109" s="339"/>
      <c r="O1109" s="264" t="s">
        <v>523</v>
      </c>
      <c r="P1109" s="135">
        <v>54401.5</v>
      </c>
      <c r="Q1109" s="107">
        <v>16320.45</v>
      </c>
      <c r="R1109" s="129"/>
      <c r="S1109" s="130"/>
      <c r="T1109" s="240"/>
      <c r="U1109" s="93"/>
      <c r="V1109" s="107"/>
      <c r="W1109" s="45"/>
    </row>
    <row r="1110" s="40" customFormat="1" ht="22" customHeight="1" spans="1:23">
      <c r="A1110" s="291" t="s">
        <v>4301</v>
      </c>
      <c r="B1110" s="174" t="s">
        <v>3596</v>
      </c>
      <c r="C1110" s="175"/>
      <c r="D1110" s="45" t="s">
        <v>0</v>
      </c>
      <c r="E1110" s="83" t="s">
        <v>3883</v>
      </c>
      <c r="F1110" s="82">
        <f>IFERROR(VLOOKUP(E1110,客户!B:C,2,FALSE),"/")</f>
        <v>0</v>
      </c>
      <c r="G1110" s="308" t="s">
        <v>4302</v>
      </c>
      <c r="H1110" s="324" t="s">
        <v>147</v>
      </c>
      <c r="I1110" s="110" t="s">
        <v>4024</v>
      </c>
      <c r="J1110" s="110">
        <v>44631</v>
      </c>
      <c r="K1110" s="93"/>
      <c r="L1110" s="93"/>
      <c r="M1110" s="315" t="s">
        <v>4303</v>
      </c>
      <c r="N1110" s="339"/>
      <c r="O1110" s="264" t="s">
        <v>523</v>
      </c>
      <c r="P1110" s="135">
        <v>33900.72</v>
      </c>
      <c r="Q1110" s="265">
        <f>2764.42+21208</f>
        <v>23972.42</v>
      </c>
      <c r="R1110" s="129"/>
      <c r="S1110" s="130"/>
      <c r="T1110" s="107">
        <v>33125</v>
      </c>
      <c r="U1110" s="93"/>
      <c r="V1110" s="107"/>
      <c r="W1110" s="45"/>
    </row>
    <row r="1111" s="40" customFormat="1" ht="22" customHeight="1" spans="1:23">
      <c r="A1111" s="291" t="s">
        <v>4304</v>
      </c>
      <c r="B1111" s="174" t="s">
        <v>3596</v>
      </c>
      <c r="C1111" s="175"/>
      <c r="D1111" s="45" t="s">
        <v>3</v>
      </c>
      <c r="E1111" s="83" t="s">
        <v>3883</v>
      </c>
      <c r="F1111" s="82">
        <f>IFERROR(VLOOKUP(E1111,客户!B:C,2,FALSE),"/")</f>
        <v>0</v>
      </c>
      <c r="G1111" s="308" t="s">
        <v>4302</v>
      </c>
      <c r="H1111" s="324" t="s">
        <v>147</v>
      </c>
      <c r="I1111" s="110" t="s">
        <v>4024</v>
      </c>
      <c r="J1111" s="110">
        <v>44631</v>
      </c>
      <c r="K1111" s="93"/>
      <c r="L1111" s="93"/>
      <c r="M1111" s="315" t="s">
        <v>4305</v>
      </c>
      <c r="N1111" s="339"/>
      <c r="O1111" s="264" t="s">
        <v>523</v>
      </c>
      <c r="P1111" s="135">
        <v>33900.72</v>
      </c>
      <c r="Q1111" s="266"/>
      <c r="R1111" s="129"/>
      <c r="S1111" s="130"/>
      <c r="T1111" s="240"/>
      <c r="U1111" s="93"/>
      <c r="V1111" s="107"/>
      <c r="W1111" s="45"/>
    </row>
    <row r="1112" s="40" customFormat="1" ht="22" customHeight="1" spans="1:23">
      <c r="A1112" s="291" t="s">
        <v>4306</v>
      </c>
      <c r="B1112" s="174" t="s">
        <v>3596</v>
      </c>
      <c r="C1112" s="175"/>
      <c r="D1112" s="45" t="s">
        <v>0</v>
      </c>
      <c r="E1112" s="83" t="s">
        <v>4184</v>
      </c>
      <c r="F1112" s="82">
        <f>IFERROR(VLOOKUP(E1112,客户!B:C,2,FALSE),"/")</f>
        <v>0</v>
      </c>
      <c r="G1112" s="308" t="s">
        <v>4307</v>
      </c>
      <c r="H1112" s="324" t="s">
        <v>186</v>
      </c>
      <c r="I1112" s="110"/>
      <c r="J1112" s="110">
        <v>44631</v>
      </c>
      <c r="K1112" s="93"/>
      <c r="L1112" s="93"/>
      <c r="M1112" s="315" t="s">
        <v>4308</v>
      </c>
      <c r="N1112" s="339"/>
      <c r="O1112" s="264" t="s">
        <v>970</v>
      </c>
      <c r="P1112" s="240">
        <v>126489.8</v>
      </c>
      <c r="Q1112" s="107">
        <v>38000</v>
      </c>
      <c r="R1112" s="129"/>
      <c r="S1112" s="130"/>
      <c r="T1112" s="240"/>
      <c r="U1112" s="93"/>
      <c r="V1112" s="107"/>
      <c r="W1112" s="45"/>
    </row>
    <row r="1113" s="40" customFormat="1" ht="22" customHeight="1" spans="1:23">
      <c r="A1113" s="291" t="s">
        <v>4309</v>
      </c>
      <c r="B1113" s="174" t="s">
        <v>3596</v>
      </c>
      <c r="C1113" s="175"/>
      <c r="D1113" s="45" t="s">
        <v>3</v>
      </c>
      <c r="E1113" s="83" t="s">
        <v>3910</v>
      </c>
      <c r="F1113" s="82">
        <f>IFERROR(VLOOKUP(E1113,客户!B:C,2,FALSE),"/")</f>
        <v>0</v>
      </c>
      <c r="G1113" s="308" t="s">
        <v>1290</v>
      </c>
      <c r="H1113" s="324" t="s">
        <v>123</v>
      </c>
      <c r="I1113" s="110" t="s">
        <v>3508</v>
      </c>
      <c r="J1113" s="110">
        <v>44631</v>
      </c>
      <c r="K1113" s="93"/>
      <c r="L1113" s="93"/>
      <c r="M1113" s="315" t="s">
        <v>4310</v>
      </c>
      <c r="N1113" s="339"/>
      <c r="O1113" s="264" t="s">
        <v>970</v>
      </c>
      <c r="P1113" s="135">
        <v>79908.6</v>
      </c>
      <c r="Q1113" s="107">
        <f>15633-Q1114</f>
        <v>9910.03</v>
      </c>
      <c r="R1113" s="129"/>
      <c r="S1113" s="130"/>
      <c r="T1113" s="240"/>
      <c r="U1113" s="93"/>
      <c r="V1113" s="107"/>
      <c r="W1113" s="45"/>
    </row>
    <row r="1114" s="40" customFormat="1" ht="22" customHeight="1" spans="1:23">
      <c r="A1114" s="260" t="s">
        <v>4311</v>
      </c>
      <c r="B1114" s="174" t="s">
        <v>3596</v>
      </c>
      <c r="C1114" s="175"/>
      <c r="D1114" s="45" t="s">
        <v>31</v>
      </c>
      <c r="E1114" s="83" t="s">
        <v>3910</v>
      </c>
      <c r="F1114" s="82"/>
      <c r="G1114" s="308" t="s">
        <v>4312</v>
      </c>
      <c r="H1114" s="324" t="s">
        <v>123</v>
      </c>
      <c r="I1114" s="110" t="s">
        <v>3508</v>
      </c>
      <c r="J1114" s="110">
        <v>44620</v>
      </c>
      <c r="K1114" s="93">
        <v>44707</v>
      </c>
      <c r="L1114" s="93"/>
      <c r="M1114" s="334"/>
      <c r="N1114" s="339" t="s">
        <v>4288</v>
      </c>
      <c r="O1114" s="264" t="s">
        <v>970</v>
      </c>
      <c r="P1114" s="107">
        <v>28614.97</v>
      </c>
      <c r="Q1114" s="107">
        <v>5722.97</v>
      </c>
      <c r="R1114" s="129"/>
      <c r="S1114" s="130"/>
      <c r="T1114" s="107">
        <v>22892</v>
      </c>
      <c r="U1114" s="93"/>
      <c r="V1114" s="107"/>
      <c r="W1114" s="45"/>
    </row>
    <row r="1115" s="40" customFormat="1" ht="22" customHeight="1" spans="1:23">
      <c r="A1115" s="291" t="s">
        <v>4313</v>
      </c>
      <c r="B1115" s="174" t="s">
        <v>3596</v>
      </c>
      <c r="C1115" s="175"/>
      <c r="D1115" s="45" t="s">
        <v>0</v>
      </c>
      <c r="E1115" s="83" t="s">
        <v>3972</v>
      </c>
      <c r="F1115" s="82">
        <f>IFERROR(VLOOKUP(E1115,客户!B:C,2,FALSE),"/")</f>
        <v>0</v>
      </c>
      <c r="G1115" s="308"/>
      <c r="H1115" s="324" t="s">
        <v>186</v>
      </c>
      <c r="I1115" s="110"/>
      <c r="J1115" s="110">
        <v>44657</v>
      </c>
      <c r="K1115" s="93">
        <v>44731</v>
      </c>
      <c r="L1115" s="93"/>
      <c r="M1115" s="315" t="s">
        <v>4314</v>
      </c>
      <c r="N1115" s="339" t="s">
        <v>4315</v>
      </c>
      <c r="O1115" s="264" t="s">
        <v>970</v>
      </c>
      <c r="P1115" s="107">
        <v>8030</v>
      </c>
      <c r="Q1115" s="107">
        <v>8030</v>
      </c>
      <c r="R1115" s="129"/>
      <c r="S1115" s="130"/>
      <c r="T1115" s="240"/>
      <c r="U1115" s="93"/>
      <c r="V1115" s="107"/>
      <c r="W1115" s="45"/>
    </row>
    <row r="1116" s="40" customFormat="1" ht="22" customHeight="1" spans="1:23">
      <c r="A1116" s="260" t="s">
        <v>4316</v>
      </c>
      <c r="B1116" s="174" t="s">
        <v>3596</v>
      </c>
      <c r="C1116" s="175"/>
      <c r="D1116" s="45" t="s">
        <v>31</v>
      </c>
      <c r="E1116" s="83" t="s">
        <v>4317</v>
      </c>
      <c r="F1116" s="82">
        <f>IFERROR(VLOOKUP(E1116,客户!B:C,2,FALSE),"/")</f>
        <v>0</v>
      </c>
      <c r="G1116" s="308" t="s">
        <v>4318</v>
      </c>
      <c r="H1116" s="324" t="s">
        <v>123</v>
      </c>
      <c r="I1116" s="110"/>
      <c r="J1116" s="110">
        <v>44663</v>
      </c>
      <c r="K1116" s="93">
        <v>44717</v>
      </c>
      <c r="L1116" s="93"/>
      <c r="M1116" s="315" t="s">
        <v>4319</v>
      </c>
      <c r="N1116" s="339" t="s">
        <v>4320</v>
      </c>
      <c r="O1116" s="264" t="s">
        <v>970</v>
      </c>
      <c r="P1116" s="107">
        <v>37236.7</v>
      </c>
      <c r="Q1116" s="107">
        <v>11171.01</v>
      </c>
      <c r="R1116" s="129"/>
      <c r="S1116" s="130"/>
      <c r="T1116" s="107">
        <v>26065.69</v>
      </c>
      <c r="U1116" s="93"/>
      <c r="V1116" s="107"/>
      <c r="W1116" s="45"/>
    </row>
    <row r="1117" s="40" customFormat="1" ht="22" customHeight="1" spans="1:23">
      <c r="A1117" s="330" t="s">
        <v>4321</v>
      </c>
      <c r="B1117" s="174" t="s">
        <v>3596</v>
      </c>
      <c r="C1117" s="175"/>
      <c r="D1117" s="45" t="s">
        <v>0</v>
      </c>
      <c r="E1117" s="83" t="s">
        <v>4203</v>
      </c>
      <c r="F1117" s="82">
        <f>IFERROR(VLOOKUP(E1117,客户!B:C,2,FALSE),"/")</f>
        <v>0</v>
      </c>
      <c r="G1117" s="308" t="s">
        <v>4322</v>
      </c>
      <c r="H1117" s="324" t="s">
        <v>123</v>
      </c>
      <c r="I1117" s="110" t="s">
        <v>4205</v>
      </c>
      <c r="J1117" s="110">
        <v>44663</v>
      </c>
      <c r="K1117" s="93">
        <v>44729</v>
      </c>
      <c r="L1117" s="93"/>
      <c r="M1117" s="325" t="s">
        <v>4323</v>
      </c>
      <c r="N1117" s="339" t="s">
        <v>4324</v>
      </c>
      <c r="O1117" s="264" t="s">
        <v>970</v>
      </c>
      <c r="P1117" s="107">
        <v>68593.25</v>
      </c>
      <c r="Q1117" s="107">
        <v>17000</v>
      </c>
      <c r="R1117" s="129"/>
      <c r="S1117" s="130"/>
      <c r="T1117" s="107">
        <v>51593.25</v>
      </c>
      <c r="U1117" s="93"/>
      <c r="V1117" s="107"/>
      <c r="W1117" s="45"/>
    </row>
    <row r="1118" s="40" customFormat="1" ht="22" customHeight="1" spans="1:23">
      <c r="A1118" s="291" t="s">
        <v>4325</v>
      </c>
      <c r="B1118" s="174" t="s">
        <v>3596</v>
      </c>
      <c r="C1118" s="175"/>
      <c r="D1118" s="45" t="s">
        <v>3</v>
      </c>
      <c r="E1118" s="83" t="s">
        <v>3922</v>
      </c>
      <c r="F1118" s="82">
        <f>IFERROR(VLOOKUP(E1118,客户!B:C,2,FALSE),"/")</f>
        <v>0</v>
      </c>
      <c r="G1118" s="308" t="s">
        <v>4326</v>
      </c>
      <c r="H1118" s="324" t="s">
        <v>186</v>
      </c>
      <c r="I1118" s="110" t="s">
        <v>3808</v>
      </c>
      <c r="J1118" s="110">
        <v>44666</v>
      </c>
      <c r="K1118" s="93"/>
      <c r="L1118" s="93"/>
      <c r="M1118" s="315" t="s">
        <v>4327</v>
      </c>
      <c r="N1118" s="339"/>
      <c r="O1118" s="264" t="s">
        <v>970</v>
      </c>
      <c r="P1118" s="240">
        <v>179116.5</v>
      </c>
      <c r="Q1118" s="240">
        <v>53734</v>
      </c>
      <c r="R1118" s="129"/>
      <c r="S1118" s="130"/>
      <c r="T1118" s="240"/>
      <c r="U1118" s="93"/>
      <c r="V1118" s="107"/>
      <c r="W1118" s="45"/>
    </row>
    <row r="1119" s="40" customFormat="1" ht="22" customHeight="1" spans="1:23">
      <c r="A1119" s="291" t="s">
        <v>4328</v>
      </c>
      <c r="B1119" s="174" t="s">
        <v>3596</v>
      </c>
      <c r="C1119" s="175"/>
      <c r="D1119" s="45" t="s">
        <v>3</v>
      </c>
      <c r="E1119" s="83" t="s">
        <v>3922</v>
      </c>
      <c r="F1119" s="82"/>
      <c r="G1119" s="308" t="s">
        <v>4326</v>
      </c>
      <c r="H1119" s="324" t="s">
        <v>186</v>
      </c>
      <c r="I1119" s="110" t="s">
        <v>3808</v>
      </c>
      <c r="J1119" s="110">
        <v>44670</v>
      </c>
      <c r="K1119" s="93"/>
      <c r="L1119" s="93"/>
      <c r="M1119" s="315" t="s">
        <v>4329</v>
      </c>
      <c r="N1119" s="339"/>
      <c r="O1119" s="264" t="s">
        <v>970</v>
      </c>
      <c r="P1119" s="240">
        <v>179888</v>
      </c>
      <c r="Q1119" s="240">
        <v>10000</v>
      </c>
      <c r="R1119" s="129"/>
      <c r="S1119" s="130"/>
      <c r="T1119" s="240"/>
      <c r="U1119" s="93"/>
      <c r="V1119" s="107"/>
      <c r="W1119" s="45"/>
    </row>
    <row r="1120" s="40" customFormat="1" ht="22" customHeight="1" spans="1:23">
      <c r="A1120" s="330" t="s">
        <v>4330</v>
      </c>
      <c r="B1120" s="174" t="s">
        <v>3596</v>
      </c>
      <c r="C1120" s="175"/>
      <c r="D1120" s="45" t="s">
        <v>0</v>
      </c>
      <c r="E1120" s="83" t="s">
        <v>4203</v>
      </c>
      <c r="F1120" s="82">
        <f>IFERROR(VLOOKUP(E1120,客户!B:C,2,FALSE),"/")</f>
        <v>0</v>
      </c>
      <c r="G1120" s="308" t="s">
        <v>4331</v>
      </c>
      <c r="H1120" s="324" t="s">
        <v>186</v>
      </c>
      <c r="I1120" s="110" t="s">
        <v>4205</v>
      </c>
      <c r="J1120" s="110">
        <v>44671</v>
      </c>
      <c r="K1120" s="93">
        <v>44729</v>
      </c>
      <c r="L1120" s="93"/>
      <c r="M1120" s="315" t="s">
        <v>4332</v>
      </c>
      <c r="N1120" s="202" t="s">
        <v>4333</v>
      </c>
      <c r="O1120" s="264" t="s">
        <v>970</v>
      </c>
      <c r="P1120" s="107">
        <v>52904.55</v>
      </c>
      <c r="Q1120" s="107">
        <v>17375.68</v>
      </c>
      <c r="R1120" s="129"/>
      <c r="S1120" s="130"/>
      <c r="T1120" s="107">
        <v>35528.87</v>
      </c>
      <c r="U1120" s="93"/>
      <c r="V1120" s="107"/>
      <c r="W1120" s="45"/>
    </row>
    <row r="1121" s="40" customFormat="1" ht="22" customHeight="1" spans="1:23">
      <c r="A1121" s="260" t="s">
        <v>4334</v>
      </c>
      <c r="B1121" s="174" t="s">
        <v>3596</v>
      </c>
      <c r="C1121" s="175"/>
      <c r="D1121" s="45" t="s">
        <v>31</v>
      </c>
      <c r="E1121" s="83" t="s">
        <v>3910</v>
      </c>
      <c r="F1121" s="82">
        <f>IFERROR(VLOOKUP(E1121,客户!B:C,2,FALSE),"/")</f>
        <v>0</v>
      </c>
      <c r="G1121" s="308" t="s">
        <v>4074</v>
      </c>
      <c r="H1121" s="324" t="s">
        <v>123</v>
      </c>
      <c r="I1121" s="110" t="s">
        <v>3508</v>
      </c>
      <c r="J1121" s="110">
        <v>44679</v>
      </c>
      <c r="K1121" s="93">
        <v>44694</v>
      </c>
      <c r="L1121" s="93"/>
      <c r="M1121" s="315" t="s">
        <v>4335</v>
      </c>
      <c r="N1121" s="339" t="s">
        <v>4290</v>
      </c>
      <c r="O1121" s="264" t="s">
        <v>970</v>
      </c>
      <c r="P1121" s="107">
        <v>28379</v>
      </c>
      <c r="Q1121" s="107">
        <f>17000/2</f>
        <v>8500</v>
      </c>
      <c r="R1121" s="129"/>
      <c r="S1121" s="130"/>
      <c r="T1121" s="107">
        <v>19879</v>
      </c>
      <c r="U1121" s="93"/>
      <c r="V1121" s="107"/>
      <c r="W1121" s="45"/>
    </row>
    <row r="1122" s="40" customFormat="1" ht="22" customHeight="1" spans="1:23">
      <c r="A1122" s="260" t="s">
        <v>4336</v>
      </c>
      <c r="B1122" s="174" t="s">
        <v>3596</v>
      </c>
      <c r="C1122" s="175"/>
      <c r="D1122" s="45" t="s">
        <v>31</v>
      </c>
      <c r="E1122" s="83" t="s">
        <v>3910</v>
      </c>
      <c r="F1122" s="82">
        <f>IFERROR(VLOOKUP(E1122,客户!B:C,2,FALSE),"/")</f>
        <v>0</v>
      </c>
      <c r="G1122" s="308" t="s">
        <v>4074</v>
      </c>
      <c r="H1122" s="324" t="s">
        <v>123</v>
      </c>
      <c r="I1122" s="110" t="s">
        <v>3508</v>
      </c>
      <c r="J1122" s="110">
        <v>44679</v>
      </c>
      <c r="K1122" s="93">
        <v>44701</v>
      </c>
      <c r="L1122" s="93"/>
      <c r="M1122" s="315" t="s">
        <v>4337</v>
      </c>
      <c r="N1122" s="339" t="s">
        <v>4290</v>
      </c>
      <c r="O1122" s="264" t="s">
        <v>970</v>
      </c>
      <c r="P1122" s="107">
        <v>28057.5</v>
      </c>
      <c r="Q1122" s="107">
        <f>17000/2</f>
        <v>8500</v>
      </c>
      <c r="R1122" s="129"/>
      <c r="S1122" s="130"/>
      <c r="T1122" s="107">
        <v>19557.5</v>
      </c>
      <c r="U1122" s="93"/>
      <c r="V1122" s="107"/>
      <c r="W1122" s="45"/>
    </row>
    <row r="1123" s="40" customFormat="1" ht="22" customHeight="1" spans="1:23">
      <c r="A1123" s="291" t="s">
        <v>4338</v>
      </c>
      <c r="B1123" s="174" t="s">
        <v>3596</v>
      </c>
      <c r="C1123" s="175"/>
      <c r="D1123" s="45" t="s">
        <v>3</v>
      </c>
      <c r="E1123" s="83" t="s">
        <v>4109</v>
      </c>
      <c r="F1123" s="82">
        <f>IFERROR(VLOOKUP(E1123,客户!B:C,2,FALSE),"/")</f>
        <v>0</v>
      </c>
      <c r="G1123" s="308" t="s">
        <v>4074</v>
      </c>
      <c r="H1123" s="324" t="s">
        <v>123</v>
      </c>
      <c r="I1123" s="110" t="s">
        <v>3902</v>
      </c>
      <c r="J1123" s="110">
        <v>44692</v>
      </c>
      <c r="K1123" s="93"/>
      <c r="L1123" s="93"/>
      <c r="M1123" s="315" t="s">
        <v>4339</v>
      </c>
      <c r="N1123" s="339"/>
      <c r="O1123" s="264" t="s">
        <v>523</v>
      </c>
      <c r="P1123" s="135">
        <v>31543</v>
      </c>
      <c r="Q1123" s="107">
        <v>9462.96</v>
      </c>
      <c r="R1123" s="129"/>
      <c r="S1123" s="130"/>
      <c r="T1123" s="240"/>
      <c r="U1123" s="93"/>
      <c r="V1123" s="107"/>
      <c r="W1123" s="45"/>
    </row>
    <row r="1124" s="40" customFormat="1" ht="22" customHeight="1" spans="1:23">
      <c r="A1124" s="291" t="s">
        <v>4340</v>
      </c>
      <c r="B1124" s="174" t="s">
        <v>3596</v>
      </c>
      <c r="C1124" s="175"/>
      <c r="D1124" s="45" t="s">
        <v>3</v>
      </c>
      <c r="E1124" s="83" t="s">
        <v>3906</v>
      </c>
      <c r="F1124" s="82">
        <f>IFERROR(VLOOKUP(E1124,客户!B:C,2,FALSE),"/")</f>
        <v>0</v>
      </c>
      <c r="G1124" s="308" t="s">
        <v>4341</v>
      </c>
      <c r="H1124" s="324" t="s">
        <v>186</v>
      </c>
      <c r="I1124" s="110"/>
      <c r="J1124" s="110">
        <v>44698</v>
      </c>
      <c r="K1124" s="93"/>
      <c r="L1124" s="93"/>
      <c r="M1124" s="315" t="s">
        <v>4342</v>
      </c>
      <c r="N1124" s="339"/>
      <c r="O1124" s="264" t="s">
        <v>970</v>
      </c>
      <c r="P1124" s="240">
        <v>44649.5</v>
      </c>
      <c r="Q1124" s="240">
        <v>13000</v>
      </c>
      <c r="R1124" s="129"/>
      <c r="S1124" s="130"/>
      <c r="T1124" s="240"/>
      <c r="U1124" s="93"/>
      <c r="V1124" s="107"/>
      <c r="W1124" s="45"/>
    </row>
    <row r="1125" s="43" customFormat="1" ht="22" customHeight="1" spans="1:23">
      <c r="A1125" s="255"/>
      <c r="B1125" s="174"/>
      <c r="C1125" s="175"/>
      <c r="D1125" s="45"/>
      <c r="E1125" s="73"/>
      <c r="F1125" s="82" t="str">
        <f>IFERROR(VLOOKUP(E1125,客户!B:C,2,FALSE),"/")</f>
        <v>/</v>
      </c>
      <c r="G1125" s="45"/>
      <c r="H1125" s="145"/>
      <c r="I1125" s="110"/>
      <c r="J1125" s="110"/>
      <c r="K1125" s="93"/>
      <c r="L1125" s="201"/>
      <c r="M1125" s="181"/>
      <c r="N1125" s="107"/>
      <c r="O1125" s="108"/>
      <c r="P1125" s="235"/>
      <c r="Q1125" s="317"/>
      <c r="R1125" s="129"/>
      <c r="S1125" s="130"/>
      <c r="T1125" s="317"/>
      <c r="U1125" s="93"/>
      <c r="V1125" s="107"/>
      <c r="W1125" s="214"/>
    </row>
    <row r="1126" s="43" customFormat="1" ht="22" customHeight="1" spans="1:23">
      <c r="A1126" s="142" t="s">
        <v>4343</v>
      </c>
      <c r="B1126" s="174" t="s">
        <v>3596</v>
      </c>
      <c r="C1126" s="175"/>
      <c r="D1126" s="45" t="s">
        <v>31</v>
      </c>
      <c r="E1126" s="83" t="s">
        <v>4344</v>
      </c>
      <c r="F1126" s="82">
        <f>IFERROR(VLOOKUP(E1126,客户!B:C,2,FALSE),"/")</f>
        <v>0</v>
      </c>
      <c r="G1126" s="45" t="s">
        <v>4345</v>
      </c>
      <c r="H1126" s="145"/>
      <c r="I1126" s="110"/>
      <c r="J1126" s="110">
        <v>43816</v>
      </c>
      <c r="K1126" s="93">
        <v>43820</v>
      </c>
      <c r="L1126" s="201"/>
      <c r="M1126" s="181" t="s">
        <v>4346</v>
      </c>
      <c r="N1126" s="107"/>
      <c r="O1126" s="108" t="s">
        <v>970</v>
      </c>
      <c r="P1126" s="240">
        <v>16250</v>
      </c>
      <c r="Q1126" s="317"/>
      <c r="R1126" s="129"/>
      <c r="S1126" s="130"/>
      <c r="T1126" s="240">
        <v>16250</v>
      </c>
      <c r="U1126" s="93"/>
      <c r="V1126" s="107"/>
      <c r="W1126" s="214"/>
    </row>
    <row r="1127" s="43" customFormat="1" ht="22" customHeight="1" spans="1:23">
      <c r="A1127" s="142" t="s">
        <v>4347</v>
      </c>
      <c r="B1127" s="174" t="s">
        <v>3596</v>
      </c>
      <c r="C1127" s="175"/>
      <c r="D1127" s="45" t="s">
        <v>31</v>
      </c>
      <c r="E1127" s="83" t="s">
        <v>4348</v>
      </c>
      <c r="F1127" s="82">
        <f>IFERROR(VLOOKUP(E1127,客户!B:C,2,FALSE),"/")</f>
        <v>0</v>
      </c>
      <c r="G1127" s="45" t="s">
        <v>4349</v>
      </c>
      <c r="H1127" s="145" t="s">
        <v>147</v>
      </c>
      <c r="I1127" s="110" t="s">
        <v>4350</v>
      </c>
      <c r="J1127" s="110">
        <v>43882</v>
      </c>
      <c r="K1127" s="93">
        <v>44015</v>
      </c>
      <c r="L1127" s="93">
        <v>44054</v>
      </c>
      <c r="M1127" s="165" t="s">
        <v>4351</v>
      </c>
      <c r="N1127" s="247" t="s">
        <v>4352</v>
      </c>
      <c r="O1127" s="108" t="s">
        <v>523</v>
      </c>
      <c r="P1127" s="235">
        <v>25858.16</v>
      </c>
      <c r="Q1127" s="107">
        <v>5000</v>
      </c>
      <c r="R1127" s="129"/>
      <c r="S1127" s="130"/>
      <c r="T1127" s="107">
        <v>20858.16</v>
      </c>
      <c r="U1127" s="93"/>
      <c r="V1127" s="350" t="s">
        <v>4353</v>
      </c>
      <c r="W1127" s="214"/>
    </row>
    <row r="1128" s="43" customFormat="1" ht="22" customHeight="1" spans="1:23">
      <c r="A1128" s="142" t="s">
        <v>4354</v>
      </c>
      <c r="B1128" s="174" t="s">
        <v>3596</v>
      </c>
      <c r="C1128" s="175"/>
      <c r="D1128" s="45" t="s">
        <v>31</v>
      </c>
      <c r="E1128" s="83" t="s">
        <v>4348</v>
      </c>
      <c r="F1128" s="82">
        <f>IFERROR(VLOOKUP(E1128,客户!B:C,2,FALSE),"/")</f>
        <v>0</v>
      </c>
      <c r="G1128" s="45" t="s">
        <v>4349</v>
      </c>
      <c r="H1128" s="145" t="s">
        <v>147</v>
      </c>
      <c r="I1128" s="110" t="s">
        <v>4350</v>
      </c>
      <c r="J1128" s="110">
        <v>43882</v>
      </c>
      <c r="K1128" s="93">
        <v>43932</v>
      </c>
      <c r="L1128" s="93">
        <v>43956</v>
      </c>
      <c r="M1128" s="342" t="s">
        <v>4355</v>
      </c>
      <c r="N1128" s="247" t="s">
        <v>4356</v>
      </c>
      <c r="O1128" s="108" t="s">
        <v>523</v>
      </c>
      <c r="P1128" s="235">
        <v>25792.16</v>
      </c>
      <c r="Q1128" s="235">
        <v>5000</v>
      </c>
      <c r="R1128" s="129"/>
      <c r="S1128" s="130"/>
      <c r="T1128" s="107">
        <v>20725.69</v>
      </c>
      <c r="U1128" s="93"/>
      <c r="V1128" s="247" t="s">
        <v>4357</v>
      </c>
      <c r="W1128" s="214"/>
    </row>
    <row r="1129" s="40" customFormat="1" ht="22" customHeight="1" spans="1:23">
      <c r="A1129" s="142" t="s">
        <v>4358</v>
      </c>
      <c r="B1129" s="174" t="s">
        <v>3596</v>
      </c>
      <c r="C1129" s="175"/>
      <c r="D1129" s="45" t="s">
        <v>31</v>
      </c>
      <c r="E1129" s="83" t="s">
        <v>4344</v>
      </c>
      <c r="F1129" s="82">
        <f>IFERROR(VLOOKUP(E1129,客户!B:C,2,FALSE),"/")</f>
        <v>0</v>
      </c>
      <c r="G1129" s="229" t="s">
        <v>4359</v>
      </c>
      <c r="H1129" s="45" t="s">
        <v>186</v>
      </c>
      <c r="I1129" s="45"/>
      <c r="J1129" s="110">
        <v>43964</v>
      </c>
      <c r="K1129" s="93">
        <v>44019</v>
      </c>
      <c r="L1129" s="201"/>
      <c r="M1129" s="339" t="s">
        <v>4360</v>
      </c>
      <c r="N1129" s="145"/>
      <c r="O1129" s="145"/>
      <c r="P1129" s="240">
        <v>46250.78</v>
      </c>
      <c r="Q1129" s="107"/>
      <c r="R1129" s="129"/>
      <c r="S1129" s="130"/>
      <c r="T1129" s="240">
        <v>46250.78</v>
      </c>
      <c r="U1129" s="93"/>
      <c r="V1129" s="107"/>
      <c r="W1129" s="45"/>
    </row>
    <row r="1130" s="40" customFormat="1" ht="22" customHeight="1" spans="1:23">
      <c r="A1130" s="142" t="s">
        <v>4361</v>
      </c>
      <c r="B1130" s="174" t="s">
        <v>3596</v>
      </c>
      <c r="C1130" s="175"/>
      <c r="D1130" s="45" t="s">
        <v>31</v>
      </c>
      <c r="E1130" s="83" t="s">
        <v>4362</v>
      </c>
      <c r="F1130" s="82">
        <f>IFERROR(VLOOKUP(E1130,客户!B:C,2,FALSE),"/")</f>
        <v>0</v>
      </c>
      <c r="G1130" s="229" t="s">
        <v>4363</v>
      </c>
      <c r="H1130" s="45" t="s">
        <v>123</v>
      </c>
      <c r="I1130" s="45" t="s">
        <v>4364</v>
      </c>
      <c r="J1130" s="110">
        <v>44060</v>
      </c>
      <c r="K1130" s="93">
        <v>44095</v>
      </c>
      <c r="L1130" s="93">
        <v>44132</v>
      </c>
      <c r="M1130" s="229" t="s">
        <v>4365</v>
      </c>
      <c r="N1130" s="339" t="s">
        <v>4366</v>
      </c>
      <c r="O1130" s="108" t="s">
        <v>1283</v>
      </c>
      <c r="P1130" s="107">
        <v>12374.52</v>
      </c>
      <c r="Q1130" s="107"/>
      <c r="R1130" s="129"/>
      <c r="S1130" s="130"/>
      <c r="T1130" s="107">
        <v>12374.52</v>
      </c>
      <c r="U1130" s="93"/>
      <c r="V1130" s="107"/>
      <c r="W1130" s="45"/>
    </row>
    <row r="1131" s="43" customFormat="1" ht="22" customHeight="1" spans="1:23">
      <c r="A1131" s="142" t="s">
        <v>4367</v>
      </c>
      <c r="B1131" s="174" t="s">
        <v>3596</v>
      </c>
      <c r="C1131" s="175"/>
      <c r="D1131" s="45" t="s">
        <v>31</v>
      </c>
      <c r="E1131" s="83" t="s">
        <v>4368</v>
      </c>
      <c r="F1131" s="82">
        <f>IFERROR(VLOOKUP(E1131,客户!B:C,2,FALSE),"/")</f>
        <v>0</v>
      </c>
      <c r="G1131" s="45" t="s">
        <v>2094</v>
      </c>
      <c r="H1131" s="145" t="s">
        <v>147</v>
      </c>
      <c r="I1131" s="110" t="s">
        <v>4350</v>
      </c>
      <c r="J1131" s="110">
        <v>44061</v>
      </c>
      <c r="K1131" s="93">
        <v>44100</v>
      </c>
      <c r="L1131" s="93">
        <v>44145</v>
      </c>
      <c r="M1131" s="165" t="s">
        <v>4369</v>
      </c>
      <c r="N1131" s="247" t="s">
        <v>4370</v>
      </c>
      <c r="O1131" s="108" t="s">
        <v>523</v>
      </c>
      <c r="P1131" s="235">
        <v>25722.14</v>
      </c>
      <c r="Q1131" s="107">
        <v>4142</v>
      </c>
      <c r="R1131" s="129"/>
      <c r="S1131" s="130"/>
      <c r="T1131" s="322">
        <v>21580.14</v>
      </c>
      <c r="U1131" s="93"/>
      <c r="V1131" s="107"/>
      <c r="W1131" s="214"/>
    </row>
    <row r="1132" s="43" customFormat="1" ht="22" customHeight="1" spans="1:23">
      <c r="A1132" s="143" t="s">
        <v>4371</v>
      </c>
      <c r="B1132" s="174" t="s">
        <v>3596</v>
      </c>
      <c r="C1132" s="175"/>
      <c r="D1132" s="45" t="s">
        <v>31</v>
      </c>
      <c r="E1132" s="83" t="s">
        <v>4368</v>
      </c>
      <c r="F1132" s="82">
        <f>IFERROR(VLOOKUP(E1132,客户!B:C,2,FALSE),"/")</f>
        <v>0</v>
      </c>
      <c r="G1132" s="45" t="s">
        <v>2094</v>
      </c>
      <c r="H1132" s="145" t="s">
        <v>147</v>
      </c>
      <c r="I1132" s="110" t="s">
        <v>4350</v>
      </c>
      <c r="J1132" s="110">
        <v>44061</v>
      </c>
      <c r="K1132" s="93">
        <v>44440</v>
      </c>
      <c r="L1132" s="93">
        <v>44475</v>
      </c>
      <c r="M1132" s="165" t="s">
        <v>4372</v>
      </c>
      <c r="N1132" s="247" t="s">
        <v>4373</v>
      </c>
      <c r="O1132" s="108" t="s">
        <v>523</v>
      </c>
      <c r="P1132" s="235">
        <v>35514.44</v>
      </c>
      <c r="Q1132" s="235">
        <v>7716.64</v>
      </c>
      <c r="R1132" s="129"/>
      <c r="S1132" s="130"/>
      <c r="T1132" s="235">
        <v>27798</v>
      </c>
      <c r="U1132" s="93"/>
      <c r="V1132" s="107"/>
      <c r="W1132" s="214"/>
    </row>
    <row r="1133" s="43" customFormat="1" ht="22" customHeight="1" spans="1:23">
      <c r="A1133" s="142" t="s">
        <v>4374</v>
      </c>
      <c r="B1133" s="174" t="s">
        <v>3596</v>
      </c>
      <c r="C1133" s="175"/>
      <c r="D1133" s="45" t="s">
        <v>31</v>
      </c>
      <c r="E1133" s="83" t="s">
        <v>4362</v>
      </c>
      <c r="F1133" s="82">
        <f>IFERROR(VLOOKUP(E1133,客户!B:C,2,FALSE),"/")</f>
        <v>0</v>
      </c>
      <c r="G1133" s="357" t="s">
        <v>4375</v>
      </c>
      <c r="H1133" s="145" t="s">
        <v>123</v>
      </c>
      <c r="I1133" s="110" t="s">
        <v>4364</v>
      </c>
      <c r="J1133" s="110">
        <v>44229</v>
      </c>
      <c r="K1133" s="93">
        <v>44240</v>
      </c>
      <c r="L1133" s="93">
        <v>44310</v>
      </c>
      <c r="M1133" s="165" t="s">
        <v>4376</v>
      </c>
      <c r="N1133" s="247" t="s">
        <v>4377</v>
      </c>
      <c r="O1133" s="108" t="s">
        <v>523</v>
      </c>
      <c r="P1133" s="235">
        <v>18161.64</v>
      </c>
      <c r="Q1133" s="235">
        <v>6216.88</v>
      </c>
      <c r="R1133" s="129"/>
      <c r="S1133" s="130"/>
      <c r="T1133" s="235">
        <v>11944.76</v>
      </c>
      <c r="U1133" s="93"/>
      <c r="V1133" s="107"/>
      <c r="W1133" s="214"/>
    </row>
    <row r="1134" s="43" customFormat="1" ht="22" customHeight="1" spans="1:23">
      <c r="A1134" s="142" t="s">
        <v>4378</v>
      </c>
      <c r="B1134" s="174" t="s">
        <v>3596</v>
      </c>
      <c r="C1134" s="175"/>
      <c r="D1134" s="45" t="s">
        <v>31</v>
      </c>
      <c r="E1134" s="83" t="s">
        <v>4203</v>
      </c>
      <c r="F1134" s="82"/>
      <c r="G1134" s="357" t="s">
        <v>4379</v>
      </c>
      <c r="H1134" s="145" t="s">
        <v>123</v>
      </c>
      <c r="I1134" s="110" t="s">
        <v>4205</v>
      </c>
      <c r="J1134" s="110">
        <v>44536</v>
      </c>
      <c r="K1134" s="93">
        <v>44565</v>
      </c>
      <c r="L1134" s="93"/>
      <c r="M1134" s="165" t="s">
        <v>4380</v>
      </c>
      <c r="N1134" s="247"/>
      <c r="O1134" s="108" t="s">
        <v>970</v>
      </c>
      <c r="P1134" s="235">
        <v>28262.98</v>
      </c>
      <c r="Q1134" s="235">
        <v>6471.9</v>
      </c>
      <c r="R1134" s="129"/>
      <c r="S1134" s="130"/>
      <c r="T1134" s="235">
        <v>21791.08</v>
      </c>
      <c r="U1134" s="93"/>
      <c r="V1134" s="107"/>
      <c r="W1134" s="214"/>
    </row>
    <row r="1135" s="43" customFormat="1" ht="22" customHeight="1" spans="1:23">
      <c r="A1135" s="255"/>
      <c r="B1135" s="174"/>
      <c r="C1135" s="175"/>
      <c r="D1135" s="45"/>
      <c r="E1135" s="73"/>
      <c r="F1135" s="82" t="str">
        <f>IFERROR(VLOOKUP(E1135,客户!B:C,2,FALSE),"/")</f>
        <v>/</v>
      </c>
      <c r="G1135" s="45"/>
      <c r="H1135" s="145"/>
      <c r="I1135" s="110"/>
      <c r="J1135" s="110"/>
      <c r="K1135" s="93"/>
      <c r="L1135" s="201"/>
      <c r="M1135" s="181"/>
      <c r="N1135" s="107"/>
      <c r="O1135" s="108"/>
      <c r="P1135" s="235"/>
      <c r="Q1135" s="317"/>
      <c r="R1135" s="129"/>
      <c r="S1135" s="130"/>
      <c r="T1135" s="317"/>
      <c r="U1135" s="93"/>
      <c r="V1135" s="107"/>
      <c r="W1135" s="214"/>
    </row>
    <row r="1136" s="39" customFormat="1" ht="22" customHeight="1" spans="1:21">
      <c r="A1136" s="351" t="s">
        <v>4381</v>
      </c>
      <c r="B1136" s="270"/>
      <c r="C1136" s="271"/>
      <c r="D1136" s="45"/>
      <c r="E1136" s="73"/>
      <c r="F1136" s="82" t="str">
        <f>IFERROR(VLOOKUP(E1136,客户!B:C,2,FALSE),"/")</f>
        <v>/</v>
      </c>
      <c r="I1136" s="45"/>
      <c r="K1136" s="358"/>
      <c r="L1136" s="93"/>
      <c r="O1136" s="108"/>
      <c r="P1136" s="39" t="s">
        <v>192</v>
      </c>
      <c r="R1136" s="129"/>
      <c r="S1136" s="130"/>
      <c r="T1136" s="42"/>
      <c r="U1136" s="93"/>
    </row>
    <row r="1137" s="39" customFormat="1" ht="22" customHeight="1" spans="1:21">
      <c r="A1137" s="142" t="s">
        <v>4382</v>
      </c>
      <c r="B1137" s="270" t="s">
        <v>4383</v>
      </c>
      <c r="C1137" s="271"/>
      <c r="D1137" s="45" t="s">
        <v>31</v>
      </c>
      <c r="E1137" s="73" t="s">
        <v>4384</v>
      </c>
      <c r="F1137" s="82">
        <f>IFERROR(VLOOKUP(E1137,客户!B:C,2,FALSE),"/")</f>
        <v>0</v>
      </c>
      <c r="G1137" s="45" t="s">
        <v>4385</v>
      </c>
      <c r="H1137" s="45" t="s">
        <v>123</v>
      </c>
      <c r="I1137" s="45" t="s">
        <v>223</v>
      </c>
      <c r="J1137" s="110">
        <v>43788</v>
      </c>
      <c r="K1137" s="93">
        <v>43471</v>
      </c>
      <c r="L1137" s="93">
        <v>43867</v>
      </c>
      <c r="M1137" s="360" t="s">
        <v>4386</v>
      </c>
      <c r="N1137" s="359" t="s">
        <v>4387</v>
      </c>
      <c r="O1137" s="108" t="s">
        <v>523</v>
      </c>
      <c r="P1137" s="107">
        <v>21034.25</v>
      </c>
      <c r="Q1137" s="107">
        <v>6025</v>
      </c>
      <c r="R1137" s="129"/>
      <c r="S1137" s="130"/>
      <c r="T1137" s="107">
        <v>14999.25</v>
      </c>
      <c r="U1137" s="93">
        <v>43864</v>
      </c>
    </row>
    <row r="1138" s="39" customFormat="1" ht="22" customHeight="1" spans="1:22">
      <c r="A1138" s="142" t="s">
        <v>4388</v>
      </c>
      <c r="B1138" s="270" t="s">
        <v>4383</v>
      </c>
      <c r="C1138" s="271"/>
      <c r="D1138" s="45" t="s">
        <v>31</v>
      </c>
      <c r="E1138" s="73" t="s">
        <v>4389</v>
      </c>
      <c r="F1138" s="82">
        <f>IFERROR(VLOOKUP(E1138,客户!B:C,2,FALSE),"/")</f>
        <v>0</v>
      </c>
      <c r="G1138" s="45" t="s">
        <v>4390</v>
      </c>
      <c r="H1138" s="45" t="s">
        <v>123</v>
      </c>
      <c r="I1138" s="45" t="s">
        <v>4391</v>
      </c>
      <c r="J1138" s="110">
        <v>43809</v>
      </c>
      <c r="K1138" s="93">
        <v>43898</v>
      </c>
      <c r="L1138" s="93">
        <v>43947</v>
      </c>
      <c r="M1138" s="42" t="s">
        <v>4392</v>
      </c>
      <c r="N1138" s="45" t="s">
        <v>4393</v>
      </c>
      <c r="O1138" s="108" t="s">
        <v>523</v>
      </c>
      <c r="P1138" s="107">
        <v>19398.29</v>
      </c>
      <c r="Q1138" s="107">
        <v>6597</v>
      </c>
      <c r="R1138" s="282">
        <v>0</v>
      </c>
      <c r="S1138" s="130"/>
      <c r="T1138" s="107">
        <f>5000+5284+2517</f>
        <v>12801</v>
      </c>
      <c r="U1138" s="93">
        <v>43886</v>
      </c>
      <c r="V1138" s="273" t="s">
        <v>4394</v>
      </c>
    </row>
    <row r="1139" s="39" customFormat="1" ht="22" customHeight="1" spans="1:21">
      <c r="A1139" s="142" t="s">
        <v>4395</v>
      </c>
      <c r="B1139" s="270" t="s">
        <v>4383</v>
      </c>
      <c r="C1139" s="271"/>
      <c r="D1139" s="45" t="s">
        <v>31</v>
      </c>
      <c r="E1139" s="73" t="s">
        <v>4396</v>
      </c>
      <c r="F1139" s="82">
        <f>IFERROR(VLOOKUP(E1139,客户!B:C,2,FALSE),"/")</f>
        <v>0</v>
      </c>
      <c r="G1139" s="45" t="s">
        <v>4397</v>
      </c>
      <c r="H1139" s="45" t="s">
        <v>147</v>
      </c>
      <c r="I1139" s="45" t="s">
        <v>4398</v>
      </c>
      <c r="J1139" s="110">
        <v>43824</v>
      </c>
      <c r="K1139" s="93">
        <v>43902</v>
      </c>
      <c r="L1139" s="93">
        <v>43922</v>
      </c>
      <c r="M1139" s="42" t="s">
        <v>4399</v>
      </c>
      <c r="N1139" s="229" t="s">
        <v>4400</v>
      </c>
      <c r="O1139" s="108" t="s">
        <v>523</v>
      </c>
      <c r="P1139" s="107">
        <v>8934.34</v>
      </c>
      <c r="Q1139" s="107">
        <v>2750</v>
      </c>
      <c r="R1139" s="282"/>
      <c r="S1139" s="130"/>
      <c r="T1139" s="107">
        <v>6140.61</v>
      </c>
      <c r="U1139" s="93"/>
    </row>
    <row r="1140" s="39" customFormat="1" ht="22" customHeight="1" spans="1:22">
      <c r="A1140" s="142" t="s">
        <v>4401</v>
      </c>
      <c r="B1140" s="270" t="s">
        <v>4383</v>
      </c>
      <c r="C1140" s="271"/>
      <c r="D1140" s="45" t="s">
        <v>31</v>
      </c>
      <c r="E1140" s="73" t="s">
        <v>4402</v>
      </c>
      <c r="F1140" s="82">
        <f>IFERROR(VLOOKUP(E1140,客户!B:C,2,FALSE),"/")</f>
        <v>0</v>
      </c>
      <c r="G1140" s="45" t="s">
        <v>4397</v>
      </c>
      <c r="H1140" s="45" t="s">
        <v>123</v>
      </c>
      <c r="I1140" s="45" t="s">
        <v>4398</v>
      </c>
      <c r="J1140" s="110">
        <v>43823</v>
      </c>
      <c r="K1140" s="93">
        <v>43919</v>
      </c>
      <c r="L1140" s="93">
        <v>43941</v>
      </c>
      <c r="M1140" s="42" t="s">
        <v>4403</v>
      </c>
      <c r="N1140" s="273" t="s">
        <v>4404</v>
      </c>
      <c r="O1140" s="108" t="s">
        <v>523</v>
      </c>
      <c r="P1140" s="235">
        <f>10014.3+308</f>
        <v>10322.3</v>
      </c>
      <c r="Q1140" s="107">
        <v>2011</v>
      </c>
      <c r="R1140" s="282"/>
      <c r="S1140" s="130"/>
      <c r="T1140" s="107">
        <v>8266.81</v>
      </c>
      <c r="U1140" s="93"/>
      <c r="V1140" s="273" t="s">
        <v>4405</v>
      </c>
    </row>
    <row r="1141" s="39" customFormat="1" ht="22" customHeight="1" spans="1:22">
      <c r="A1141" s="142" t="s">
        <v>4406</v>
      </c>
      <c r="B1141" s="270" t="s">
        <v>4383</v>
      </c>
      <c r="C1141" s="271"/>
      <c r="D1141" s="45" t="s">
        <v>31</v>
      </c>
      <c r="E1141" s="73" t="s">
        <v>4407</v>
      </c>
      <c r="F1141" s="82">
        <f>IFERROR(VLOOKUP(E1141,客户!B:C,2,FALSE),"/")</f>
        <v>0</v>
      </c>
      <c r="G1141" s="45" t="s">
        <v>4408</v>
      </c>
      <c r="H1141" s="45" t="s">
        <v>147</v>
      </c>
      <c r="I1141" s="45" t="s">
        <v>4409</v>
      </c>
      <c r="J1141" s="359">
        <v>43843</v>
      </c>
      <c r="K1141" s="93">
        <v>43933</v>
      </c>
      <c r="L1141" s="93">
        <v>43981</v>
      </c>
      <c r="M1141" s="42" t="s">
        <v>4410</v>
      </c>
      <c r="N1141" s="42" t="s">
        <v>620</v>
      </c>
      <c r="O1141" s="108" t="s">
        <v>523</v>
      </c>
      <c r="P1141" s="107">
        <v>22780.9</v>
      </c>
      <c r="Q1141" s="107">
        <v>3501.89</v>
      </c>
      <c r="R1141" s="282"/>
      <c r="S1141" s="130"/>
      <c r="T1141" s="366">
        <v>18720.6</v>
      </c>
      <c r="U1141" s="93"/>
      <c r="V1141" s="229" t="s">
        <v>4411</v>
      </c>
    </row>
    <row r="1142" s="43" customFormat="1" ht="22" customHeight="1" spans="1:23">
      <c r="A1142" s="142" t="s">
        <v>4412</v>
      </c>
      <c r="B1142" s="270" t="s">
        <v>4383</v>
      </c>
      <c r="C1142" s="271"/>
      <c r="D1142" s="45" t="s">
        <v>31</v>
      </c>
      <c r="E1142" s="83" t="s">
        <v>4413</v>
      </c>
      <c r="F1142" s="82">
        <f>IFERROR(VLOOKUP(E1142,客户!B:C,2,FALSE),"/")</f>
        <v>0</v>
      </c>
      <c r="G1142" s="45" t="s">
        <v>4414</v>
      </c>
      <c r="H1142" s="145" t="s">
        <v>147</v>
      </c>
      <c r="I1142" s="110" t="s">
        <v>4415</v>
      </c>
      <c r="J1142" s="359">
        <v>43892</v>
      </c>
      <c r="K1142" s="93">
        <v>44008</v>
      </c>
      <c r="L1142" s="196">
        <v>44033</v>
      </c>
      <c r="M1142" s="342" t="s">
        <v>4416</v>
      </c>
      <c r="N1142" s="247" t="s">
        <v>4417</v>
      </c>
      <c r="O1142" s="108" t="s">
        <v>680</v>
      </c>
      <c r="P1142" s="235">
        <v>19001.4</v>
      </c>
      <c r="Q1142" s="107">
        <v>5700</v>
      </c>
      <c r="R1142" s="282"/>
      <c r="S1142" s="130"/>
      <c r="T1142" s="240">
        <v>55455</v>
      </c>
      <c r="U1142" s="107">
        <v>5469.4</v>
      </c>
      <c r="V1142" s="107"/>
      <c r="W1142" s="107"/>
    </row>
    <row r="1143" s="43" customFormat="1" ht="22" customHeight="1" spans="1:23">
      <c r="A1143" s="255"/>
      <c r="B1143" s="174"/>
      <c r="C1143" s="175"/>
      <c r="D1143" s="45"/>
      <c r="E1143" s="73"/>
      <c r="F1143" s="82"/>
      <c r="G1143" s="45"/>
      <c r="H1143" s="145"/>
      <c r="I1143" s="110"/>
      <c r="J1143" s="110"/>
      <c r="K1143" s="93"/>
      <c r="L1143" s="201"/>
      <c r="M1143" s="181"/>
      <c r="N1143" s="107"/>
      <c r="O1143" s="108"/>
      <c r="P1143" s="235"/>
      <c r="Q1143" s="317"/>
      <c r="R1143" s="282"/>
      <c r="S1143" s="130"/>
      <c r="T1143" s="317"/>
      <c r="U1143" s="93"/>
      <c r="V1143" s="107"/>
      <c r="W1143" s="214"/>
    </row>
    <row r="1144" s="43" customFormat="1" ht="22" customHeight="1" spans="1:23">
      <c r="A1144" s="255"/>
      <c r="B1144" s="174"/>
      <c r="C1144" s="175"/>
      <c r="D1144" s="45"/>
      <c r="E1144" s="73"/>
      <c r="F1144" s="82"/>
      <c r="G1144" s="45"/>
      <c r="H1144" s="145"/>
      <c r="I1144" s="110"/>
      <c r="J1144" s="110"/>
      <c r="K1144" s="93"/>
      <c r="L1144" s="201"/>
      <c r="M1144" s="181"/>
      <c r="N1144" s="107"/>
      <c r="O1144" s="108"/>
      <c r="P1144" s="235"/>
      <c r="Q1144" s="317"/>
      <c r="R1144" s="282"/>
      <c r="S1144" s="130"/>
      <c r="T1144" s="317"/>
      <c r="U1144" s="93"/>
      <c r="V1144" s="107"/>
      <c r="W1144" s="214"/>
    </row>
    <row r="1145" s="43" customFormat="1" ht="22" customHeight="1" spans="1:23">
      <c r="A1145" s="142" t="s">
        <v>4418</v>
      </c>
      <c r="B1145" s="174"/>
      <c r="C1145" s="175"/>
      <c r="D1145" s="45"/>
      <c r="E1145" s="73"/>
      <c r="F1145" s="82" t="str">
        <f>IFERROR(VLOOKUP(E1145,客户!B:C,2,FALSE),"/")</f>
        <v>/</v>
      </c>
      <c r="G1145" s="45"/>
      <c r="H1145" s="296"/>
      <c r="I1145" s="296"/>
      <c r="J1145" s="110"/>
      <c r="K1145" s="95"/>
      <c r="L1145" s="94"/>
      <c r="M1145" s="107"/>
      <c r="N1145" s="110"/>
      <c r="O1145" s="108"/>
      <c r="P1145" s="107"/>
      <c r="Q1145" s="235"/>
      <c r="R1145" s="282"/>
      <c r="S1145" s="130"/>
      <c r="T1145" s="107"/>
      <c r="U1145" s="93"/>
      <c r="V1145" s="128"/>
      <c r="W1145" s="284"/>
    </row>
    <row r="1146" s="43" customFormat="1" ht="22" customHeight="1" spans="1:23">
      <c r="A1146" s="142" t="s">
        <v>4419</v>
      </c>
      <c r="B1146" s="174"/>
      <c r="C1146" s="175"/>
      <c r="D1146" s="45" t="s">
        <v>31</v>
      </c>
      <c r="E1146" s="45" t="s">
        <v>4420</v>
      </c>
      <c r="F1146" s="82" t="str">
        <f>IFERROR(VLOOKUP(E1146,客户!B:C,2,FALSE),"/")</f>
        <v>/</v>
      </c>
      <c r="G1146" s="45" t="s">
        <v>4421</v>
      </c>
      <c r="H1146" s="45" t="s">
        <v>154</v>
      </c>
      <c r="I1146" s="45"/>
      <c r="J1146" s="110">
        <v>43256</v>
      </c>
      <c r="K1146" s="93"/>
      <c r="L1146" s="93"/>
      <c r="M1146" s="361" t="s">
        <v>4422</v>
      </c>
      <c r="N1146" s="162" t="s">
        <v>4423</v>
      </c>
      <c r="O1146" s="108"/>
      <c r="P1146" s="107">
        <v>23587.5</v>
      </c>
      <c r="Q1146" s="107">
        <v>5000</v>
      </c>
      <c r="R1146" s="282"/>
      <c r="S1146" s="130"/>
      <c r="T1146" s="107"/>
      <c r="U1146" s="93"/>
      <c r="V1146" s="107"/>
      <c r="W1146" s="214"/>
    </row>
    <row r="1147" s="43" customFormat="1" ht="22" customHeight="1" spans="1:23">
      <c r="A1147" s="45" t="s">
        <v>4424</v>
      </c>
      <c r="B1147" s="352"/>
      <c r="C1147" s="353"/>
      <c r="D1147" s="45" t="s">
        <v>31</v>
      </c>
      <c r="E1147" s="45" t="s">
        <v>4420</v>
      </c>
      <c r="F1147" s="82" t="str">
        <f>IFERROR(VLOOKUP(E1147,客户!B:C,2,FALSE),"/")</f>
        <v>/</v>
      </c>
      <c r="G1147" s="45" t="s">
        <v>4421</v>
      </c>
      <c r="H1147" s="45"/>
      <c r="I1147" s="45"/>
      <c r="J1147" s="110">
        <v>43256</v>
      </c>
      <c r="K1147" s="93"/>
      <c r="L1147" s="93"/>
      <c r="M1147" s="362" t="s">
        <v>4425</v>
      </c>
      <c r="N1147" s="110"/>
      <c r="O1147" s="108"/>
      <c r="P1147" s="107">
        <v>11917.5</v>
      </c>
      <c r="Q1147" s="107">
        <v>5000</v>
      </c>
      <c r="R1147" s="129"/>
      <c r="S1147" s="130"/>
      <c r="T1147" s="107">
        <v>18835</v>
      </c>
      <c r="U1147" s="93"/>
      <c r="V1147" s="107"/>
      <c r="W1147" s="284"/>
    </row>
    <row r="1148" s="43" customFormat="1" ht="22" customHeight="1" spans="1:23">
      <c r="A1148" s="143" t="s">
        <v>4426</v>
      </c>
      <c r="B1148" s="174"/>
      <c r="C1148" s="175"/>
      <c r="D1148" s="45" t="s">
        <v>31</v>
      </c>
      <c r="E1148" s="45" t="s">
        <v>4420</v>
      </c>
      <c r="F1148" s="82" t="str">
        <f>IFERROR(VLOOKUP(E1148,客户!B:C,2,FALSE),"/")</f>
        <v>/</v>
      </c>
      <c r="G1148" s="45" t="s">
        <v>4421</v>
      </c>
      <c r="H1148" s="45"/>
      <c r="I1148" s="45"/>
      <c r="J1148" s="110">
        <v>43256</v>
      </c>
      <c r="K1148" s="93"/>
      <c r="L1148" s="93"/>
      <c r="M1148" s="362" t="s">
        <v>4427</v>
      </c>
      <c r="N1148" s="362"/>
      <c r="O1148" s="108"/>
      <c r="P1148" s="107"/>
      <c r="Q1148" s="107"/>
      <c r="R1148" s="129"/>
      <c r="S1148" s="130"/>
      <c r="T1148" s="107"/>
      <c r="U1148" s="93"/>
      <c r="V1148" s="107"/>
      <c r="W1148" s="284"/>
    </row>
    <row r="1149" s="43" customFormat="1" ht="22" customHeight="1" spans="1:23">
      <c r="A1149" s="45" t="s">
        <v>4428</v>
      </c>
      <c r="B1149" s="352"/>
      <c r="C1149" s="353"/>
      <c r="D1149" s="45" t="s">
        <v>31</v>
      </c>
      <c r="E1149" s="229" t="s">
        <v>4429</v>
      </c>
      <c r="F1149" s="82" t="str">
        <f>IFERROR(VLOOKUP(E1149,客户!B:C,2,FALSE),"/")</f>
        <v>/</v>
      </c>
      <c r="G1149" s="45" t="s">
        <v>4430</v>
      </c>
      <c r="H1149" s="45" t="s">
        <v>154</v>
      </c>
      <c r="I1149" s="45"/>
      <c r="J1149" s="110">
        <v>43285</v>
      </c>
      <c r="K1149" s="93"/>
      <c r="L1149" s="93"/>
      <c r="M1149" s="363" t="s">
        <v>4431</v>
      </c>
      <c r="N1149" s="362" t="s">
        <v>4432</v>
      </c>
      <c r="O1149" s="108"/>
      <c r="P1149" s="107">
        <v>23050</v>
      </c>
      <c r="Q1149" s="107">
        <v>7347</v>
      </c>
      <c r="R1149" s="129"/>
      <c r="S1149" s="130"/>
      <c r="T1149" s="107">
        <v>15703</v>
      </c>
      <c r="U1149" s="93"/>
      <c r="V1149" s="107"/>
      <c r="W1149" s="284"/>
    </row>
    <row r="1150" s="43" customFormat="1" ht="22" customHeight="1" spans="1:23">
      <c r="A1150" s="45" t="s">
        <v>4433</v>
      </c>
      <c r="B1150" s="352"/>
      <c r="C1150" s="353"/>
      <c r="D1150" s="45" t="s">
        <v>31</v>
      </c>
      <c r="E1150" s="45" t="s">
        <v>4434</v>
      </c>
      <c r="F1150" s="82" t="str">
        <f>IFERROR(VLOOKUP(E1150,客户!B:C,2,FALSE),"/")</f>
        <v>/</v>
      </c>
      <c r="G1150" s="45" t="s">
        <v>4435</v>
      </c>
      <c r="H1150" s="45" t="s">
        <v>147</v>
      </c>
      <c r="I1150" s="45"/>
      <c r="J1150" s="110">
        <v>43291</v>
      </c>
      <c r="K1150" s="93"/>
      <c r="L1150" s="93"/>
      <c r="M1150" s="364" t="s">
        <v>4436</v>
      </c>
      <c r="N1150" s="365" t="s">
        <v>4437</v>
      </c>
      <c r="O1150" s="108"/>
      <c r="P1150" s="107">
        <v>23508</v>
      </c>
      <c r="Q1150" s="107">
        <v>7190</v>
      </c>
      <c r="R1150" s="282"/>
      <c r="S1150" s="130"/>
      <c r="T1150" s="107"/>
      <c r="U1150" s="93"/>
      <c r="V1150" s="107"/>
      <c r="W1150" s="284"/>
    </row>
    <row r="1151" s="43" customFormat="1" ht="22" customHeight="1" spans="1:23">
      <c r="A1151" s="354" t="s">
        <v>4438</v>
      </c>
      <c r="B1151" s="355"/>
      <c r="C1151" s="356"/>
      <c r="D1151" s="45" t="s">
        <v>31</v>
      </c>
      <c r="E1151" s="45" t="s">
        <v>4439</v>
      </c>
      <c r="F1151" s="82">
        <f>IFERROR(VLOOKUP(E1151,客户!B:C,2,FALSE),"/")</f>
        <v>0</v>
      </c>
      <c r="G1151" s="45" t="s">
        <v>4440</v>
      </c>
      <c r="H1151" s="45" t="s">
        <v>123</v>
      </c>
      <c r="I1151" s="45"/>
      <c r="J1151" s="110">
        <v>43363</v>
      </c>
      <c r="K1151" s="93"/>
      <c r="L1151" s="93"/>
      <c r="M1151" s="362" t="s">
        <v>4441</v>
      </c>
      <c r="N1151" s="362" t="s">
        <v>4442</v>
      </c>
      <c r="O1151" s="108"/>
      <c r="P1151" s="107">
        <v>43481.13</v>
      </c>
      <c r="Q1151" s="107">
        <f>P1151</f>
        <v>43481.13</v>
      </c>
      <c r="R1151" s="129">
        <v>0</v>
      </c>
      <c r="S1151" s="130"/>
      <c r="T1151" s="107"/>
      <c r="U1151" s="93"/>
      <c r="V1151" s="107"/>
      <c r="W1151" s="284"/>
    </row>
    <row r="1152" s="43" customFormat="1" ht="22" customHeight="1" spans="1:23">
      <c r="A1152" s="142" t="s">
        <v>4443</v>
      </c>
      <c r="B1152" s="174"/>
      <c r="C1152" s="175"/>
      <c r="D1152" s="45" t="s">
        <v>31</v>
      </c>
      <c r="E1152" s="45" t="s">
        <v>4444</v>
      </c>
      <c r="F1152" s="82" t="str">
        <f>IFERROR(VLOOKUP(E1152,客户!B:C,2,FALSE),"/")</f>
        <v>/</v>
      </c>
      <c r="G1152" s="45" t="s">
        <v>4445</v>
      </c>
      <c r="H1152" s="45" t="s">
        <v>123</v>
      </c>
      <c r="I1152" s="45"/>
      <c r="J1152" s="110">
        <v>43368</v>
      </c>
      <c r="K1152" s="93"/>
      <c r="L1152" s="93"/>
      <c r="M1152" s="365" t="s">
        <v>4446</v>
      </c>
      <c r="N1152" s="362" t="s">
        <v>4447</v>
      </c>
      <c r="O1152" s="108"/>
      <c r="P1152" s="107">
        <v>45658.55</v>
      </c>
      <c r="Q1152" s="107">
        <v>13500</v>
      </c>
      <c r="R1152" s="129"/>
      <c r="S1152" s="130"/>
      <c r="T1152" s="107">
        <v>32120</v>
      </c>
      <c r="U1152" s="93"/>
      <c r="V1152" s="107"/>
      <c r="W1152" s="214"/>
    </row>
    <row r="1153" s="43" customFormat="1" ht="22" customHeight="1" spans="1:23">
      <c r="A1153" s="142" t="s">
        <v>4448</v>
      </c>
      <c r="B1153" s="174"/>
      <c r="C1153" s="175"/>
      <c r="D1153" s="45" t="s">
        <v>31</v>
      </c>
      <c r="E1153" s="45" t="s">
        <v>4449</v>
      </c>
      <c r="F1153" s="82" t="str">
        <f>IFERROR(VLOOKUP(E1153,客户!B:C,2,FALSE),"/")</f>
        <v>/</v>
      </c>
      <c r="G1153" s="45" t="s">
        <v>4450</v>
      </c>
      <c r="H1153" s="45"/>
      <c r="I1153" s="45"/>
      <c r="J1153" s="110">
        <v>43392</v>
      </c>
      <c r="K1153" s="93"/>
      <c r="L1153" s="93"/>
      <c r="M1153" s="365" t="s">
        <v>4451</v>
      </c>
      <c r="N1153" s="362"/>
      <c r="O1153" s="108"/>
      <c r="P1153" s="107" t="s">
        <v>4452</v>
      </c>
      <c r="Q1153" s="107" t="s">
        <v>4453</v>
      </c>
      <c r="R1153" s="129"/>
      <c r="S1153" s="130"/>
      <c r="T1153" s="240">
        <v>113200</v>
      </c>
      <c r="U1153" s="93"/>
      <c r="V1153" s="107"/>
      <c r="W1153" s="214"/>
    </row>
    <row r="1154" s="39" customFormat="1" ht="22" customHeight="1" spans="1:23">
      <c r="A1154" s="143" t="s">
        <v>4454</v>
      </c>
      <c r="B1154" s="174"/>
      <c r="C1154" s="175"/>
      <c r="D1154" s="45" t="s">
        <v>31</v>
      </c>
      <c r="E1154" s="45" t="s">
        <v>4455</v>
      </c>
      <c r="F1154" s="82" t="str">
        <f>IFERROR(VLOOKUP(E1154,客户!B:C,2,FALSE),"/")</f>
        <v>/</v>
      </c>
      <c r="G1154" s="45"/>
      <c r="H1154" s="45" t="s">
        <v>186</v>
      </c>
      <c r="I1154" s="45"/>
      <c r="J1154" s="110"/>
      <c r="K1154" s="93"/>
      <c r="L1154" s="93"/>
      <c r="M1154" s="45"/>
      <c r="N1154" s="45"/>
      <c r="O1154" s="108"/>
      <c r="P1154" s="45"/>
      <c r="Q1154" s="45"/>
      <c r="R1154" s="129"/>
      <c r="S1154" s="130"/>
      <c r="T1154" s="45"/>
      <c r="U1154" s="93"/>
      <c r="V1154" s="45"/>
      <c r="W1154" s="45"/>
    </row>
    <row r="1155" s="39" customFormat="1" ht="22" customHeight="1" spans="1:23">
      <c r="A1155" s="142" t="s">
        <v>4456</v>
      </c>
      <c r="B1155" s="174"/>
      <c r="C1155" s="175"/>
      <c r="D1155" s="45" t="s">
        <v>31</v>
      </c>
      <c r="E1155" s="45" t="s">
        <v>4457</v>
      </c>
      <c r="F1155" s="82" t="str">
        <f>IFERROR(VLOOKUP(E1155,客户!B:C,2,FALSE),"/")</f>
        <v>/</v>
      </c>
      <c r="G1155" s="45" t="s">
        <v>4458</v>
      </c>
      <c r="H1155" s="45"/>
      <c r="I1155" s="45" t="s">
        <v>4459</v>
      </c>
      <c r="J1155" s="110">
        <v>43411</v>
      </c>
      <c r="K1155" s="93">
        <v>43107</v>
      </c>
      <c r="L1155" s="93">
        <v>43496</v>
      </c>
      <c r="M1155" s="45"/>
      <c r="N1155" s="45" t="s">
        <v>4460</v>
      </c>
      <c r="O1155" s="108"/>
      <c r="P1155" s="107">
        <v>43295.33</v>
      </c>
      <c r="Q1155" s="107">
        <v>13821.5</v>
      </c>
      <c r="R1155" s="129">
        <v>0</v>
      </c>
      <c r="S1155" s="130"/>
      <c r="T1155" s="45" t="s">
        <v>4461</v>
      </c>
      <c r="U1155" s="93">
        <v>43495</v>
      </c>
      <c r="V1155" s="45"/>
      <c r="W1155" s="186"/>
    </row>
    <row r="1156" s="42" customFormat="1" ht="22" customHeight="1" spans="1:23">
      <c r="A1156" s="142" t="s">
        <v>4462</v>
      </c>
      <c r="B1156" s="174"/>
      <c r="C1156" s="175"/>
      <c r="D1156" s="45" t="s">
        <v>31</v>
      </c>
      <c r="E1156" s="45" t="s">
        <v>4463</v>
      </c>
      <c r="F1156" s="82" t="str">
        <f>IFERROR(VLOOKUP(E1156,客户!B:C,2,FALSE),"/")</f>
        <v>/</v>
      </c>
      <c r="G1156" s="45" t="s">
        <v>4464</v>
      </c>
      <c r="H1156" s="45" t="s">
        <v>123</v>
      </c>
      <c r="I1156" s="45" t="s">
        <v>4465</v>
      </c>
      <c r="J1156" s="146">
        <v>43416</v>
      </c>
      <c r="K1156" s="93"/>
      <c r="L1156" s="93"/>
      <c r="M1156" s="45"/>
      <c r="N1156" s="154" t="s">
        <v>4466</v>
      </c>
      <c r="O1156" s="108"/>
      <c r="P1156" s="107">
        <v>21372</v>
      </c>
      <c r="Q1156" s="107">
        <v>6000</v>
      </c>
      <c r="R1156" s="129">
        <v>0</v>
      </c>
      <c r="S1156" s="130"/>
      <c r="T1156" s="107">
        <v>15331</v>
      </c>
      <c r="U1156" s="93"/>
      <c r="V1156" s="107"/>
      <c r="W1156" s="186"/>
    </row>
    <row r="1157" s="39" customFormat="1" ht="22" customHeight="1" spans="1:23">
      <c r="A1157" s="142" t="s">
        <v>4467</v>
      </c>
      <c r="B1157" s="174"/>
      <c r="C1157" s="175"/>
      <c r="D1157" s="45" t="s">
        <v>31</v>
      </c>
      <c r="E1157" s="45" t="s">
        <v>4468</v>
      </c>
      <c r="F1157" s="82" t="str">
        <f>IFERROR(VLOOKUP(E1157,客户!B:C,2,FALSE),"/")</f>
        <v>/</v>
      </c>
      <c r="G1157" s="45" t="s">
        <v>4469</v>
      </c>
      <c r="H1157" s="45" t="s">
        <v>123</v>
      </c>
      <c r="I1157" s="45" t="s">
        <v>4470</v>
      </c>
      <c r="J1157" s="110">
        <v>43425</v>
      </c>
      <c r="K1157" s="93">
        <v>43458</v>
      </c>
      <c r="L1157" s="94"/>
      <c r="M1157" s="45"/>
      <c r="N1157" s="154" t="s">
        <v>4471</v>
      </c>
      <c r="O1157" s="108"/>
      <c r="P1157" s="107">
        <v>25544</v>
      </c>
      <c r="Q1157" s="107">
        <v>8557</v>
      </c>
      <c r="R1157" s="129">
        <v>0</v>
      </c>
      <c r="S1157" s="130"/>
      <c r="T1157" s="107">
        <v>16944</v>
      </c>
      <c r="U1157" s="93">
        <v>43475</v>
      </c>
      <c r="V1157" s="107"/>
      <c r="W1157" s="186"/>
    </row>
    <row r="1158" s="39" customFormat="1" ht="22" customHeight="1" spans="1:23">
      <c r="A1158" s="142" t="s">
        <v>4472</v>
      </c>
      <c r="B1158" s="174"/>
      <c r="C1158" s="175"/>
      <c r="D1158" s="45" t="s">
        <v>31</v>
      </c>
      <c r="E1158" s="45" t="s">
        <v>4473</v>
      </c>
      <c r="F1158" s="82" t="str">
        <f>IFERROR(VLOOKUP(E1158,客户!B:C,2,FALSE),"/")</f>
        <v>/</v>
      </c>
      <c r="G1158" s="45" t="s">
        <v>4474</v>
      </c>
      <c r="H1158" s="45" t="s">
        <v>147</v>
      </c>
      <c r="I1158" s="45" t="s">
        <v>2047</v>
      </c>
      <c r="J1158" s="110">
        <v>43427</v>
      </c>
      <c r="K1158" s="93">
        <v>43449</v>
      </c>
      <c r="L1158" s="93">
        <v>43484</v>
      </c>
      <c r="M1158" s="154"/>
      <c r="N1158" s="154" t="s">
        <v>4475</v>
      </c>
      <c r="O1158" s="108"/>
      <c r="P1158" s="107">
        <v>22428</v>
      </c>
      <c r="Q1158" s="45"/>
      <c r="R1158" s="129">
        <v>0</v>
      </c>
      <c r="S1158" s="130"/>
      <c r="T1158" s="107">
        <v>22400</v>
      </c>
      <c r="U1158" s="93"/>
      <c r="V1158" s="107"/>
      <c r="W1158" s="186"/>
    </row>
    <row r="1159" s="39" customFormat="1" ht="22" customHeight="1" spans="1:23">
      <c r="A1159" s="142" t="s">
        <v>4476</v>
      </c>
      <c r="B1159" s="174"/>
      <c r="C1159" s="175"/>
      <c r="D1159" s="45" t="s">
        <v>31</v>
      </c>
      <c r="E1159" s="45" t="s">
        <v>4477</v>
      </c>
      <c r="F1159" s="82" t="str">
        <f>IFERROR(VLOOKUP(E1159,客户!B:C,2,FALSE),"/")</f>
        <v>/</v>
      </c>
      <c r="G1159" s="45" t="s">
        <v>4478</v>
      </c>
      <c r="H1159" s="45"/>
      <c r="I1159" s="45" t="s">
        <v>4459</v>
      </c>
      <c r="J1159" s="110">
        <v>43439</v>
      </c>
      <c r="K1159" s="93">
        <v>43467</v>
      </c>
      <c r="L1159" s="93"/>
      <c r="M1159" s="154"/>
      <c r="N1159" s="45" t="s">
        <v>4479</v>
      </c>
      <c r="O1159" s="108"/>
      <c r="P1159" s="107">
        <v>6161.27</v>
      </c>
      <c r="Q1159" s="107">
        <v>1849</v>
      </c>
      <c r="R1159" s="129">
        <v>0</v>
      </c>
      <c r="S1159" s="130"/>
      <c r="T1159" s="107">
        <v>4310</v>
      </c>
      <c r="U1159" s="93">
        <v>43483</v>
      </c>
      <c r="V1159" s="107"/>
      <c r="W1159" s="186"/>
    </row>
    <row r="1160" s="39" customFormat="1" ht="22" customHeight="1" spans="1:23">
      <c r="A1160" s="142" t="s">
        <v>4480</v>
      </c>
      <c r="B1160" s="174"/>
      <c r="C1160" s="175"/>
      <c r="D1160" s="45" t="s">
        <v>31</v>
      </c>
      <c r="E1160" s="45" t="s">
        <v>4481</v>
      </c>
      <c r="F1160" s="82">
        <f>IFERROR(VLOOKUP(E1160,客户!B:C,2,FALSE),"/")</f>
        <v>0</v>
      </c>
      <c r="G1160" s="45" t="s">
        <v>4482</v>
      </c>
      <c r="H1160" s="45" t="s">
        <v>123</v>
      </c>
      <c r="I1160" s="45" t="s">
        <v>4483</v>
      </c>
      <c r="J1160" s="110">
        <v>43452</v>
      </c>
      <c r="K1160" s="93">
        <v>43489</v>
      </c>
      <c r="L1160" s="93"/>
      <c r="M1160" s="340"/>
      <c r="N1160" s="45" t="s">
        <v>4484</v>
      </c>
      <c r="O1160" s="108"/>
      <c r="P1160" s="107">
        <v>20748</v>
      </c>
      <c r="Q1160" s="107">
        <v>5895</v>
      </c>
      <c r="R1160" s="129">
        <v>0</v>
      </c>
      <c r="S1160" s="130"/>
      <c r="T1160" s="107">
        <v>14829</v>
      </c>
      <c r="U1160" s="93">
        <v>43496</v>
      </c>
      <c r="V1160" s="107"/>
      <c r="W1160" s="186"/>
    </row>
    <row r="1161" s="39" customFormat="1" ht="22" customHeight="1" spans="1:23">
      <c r="A1161" s="142" t="s">
        <v>4485</v>
      </c>
      <c r="B1161" s="174"/>
      <c r="C1161" s="175"/>
      <c r="D1161" s="45" t="s">
        <v>31</v>
      </c>
      <c r="E1161" s="45" t="s">
        <v>4486</v>
      </c>
      <c r="F1161" s="82" t="str">
        <f>IFERROR(VLOOKUP(E1161,客户!B:C,2,FALSE),"/")</f>
        <v>/</v>
      </c>
      <c r="G1161" s="45" t="s">
        <v>4487</v>
      </c>
      <c r="H1161" s="142" t="s">
        <v>147</v>
      </c>
      <c r="I1161" s="45" t="s">
        <v>4488</v>
      </c>
      <c r="J1161" s="110">
        <v>43107</v>
      </c>
      <c r="K1161" s="93">
        <v>43473</v>
      </c>
      <c r="L1161" s="93">
        <v>43509</v>
      </c>
      <c r="M1161" s="106"/>
      <c r="N1161" s="152" t="s">
        <v>4489</v>
      </c>
      <c r="O1161" s="108"/>
      <c r="P1161" s="107">
        <v>17794.32</v>
      </c>
      <c r="Q1161" s="107">
        <v>5298.31</v>
      </c>
      <c r="R1161" s="129">
        <v>0</v>
      </c>
      <c r="S1161" s="130"/>
      <c r="T1161" s="107">
        <v>12468.5</v>
      </c>
      <c r="U1161" s="93">
        <v>43474</v>
      </c>
      <c r="V1161" s="189"/>
      <c r="W1161" s="186"/>
    </row>
    <row r="1162" s="39" customFormat="1" ht="22" customHeight="1" spans="1:23">
      <c r="A1162" s="142" t="s">
        <v>4490</v>
      </c>
      <c r="B1162" s="174"/>
      <c r="C1162" s="175"/>
      <c r="D1162" s="45" t="s">
        <v>31</v>
      </c>
      <c r="E1162" s="45" t="s">
        <v>4491</v>
      </c>
      <c r="F1162" s="82" t="str">
        <f>IFERROR(VLOOKUP(E1162,客户!B:C,2,FALSE),"/")</f>
        <v>/</v>
      </c>
      <c r="G1162" s="45" t="s">
        <v>4492</v>
      </c>
      <c r="H1162" s="45" t="s">
        <v>970</v>
      </c>
      <c r="I1162" s="45"/>
      <c r="J1162" s="110"/>
      <c r="K1162" s="93"/>
      <c r="L1162" s="93"/>
      <c r="M1162" s="106"/>
      <c r="N1162" s="359"/>
      <c r="O1162" s="108"/>
      <c r="P1162" s="107" t="s">
        <v>4493</v>
      </c>
      <c r="Q1162" s="107" t="s">
        <v>4494</v>
      </c>
      <c r="R1162" s="129">
        <v>0</v>
      </c>
      <c r="S1162" s="130"/>
      <c r="T1162" s="289" t="s">
        <v>4495</v>
      </c>
      <c r="U1162" s="93">
        <v>43469</v>
      </c>
      <c r="V1162" s="189"/>
      <c r="W1162" s="186"/>
    </row>
    <row r="1163" s="39" customFormat="1" ht="22" customHeight="1" spans="1:23">
      <c r="A1163" s="142" t="s">
        <v>4496</v>
      </c>
      <c r="B1163" s="174"/>
      <c r="C1163" s="175"/>
      <c r="D1163" s="45" t="s">
        <v>31</v>
      </c>
      <c r="E1163" s="229" t="s">
        <v>4497</v>
      </c>
      <c r="F1163" s="82" t="str">
        <f>IFERROR(VLOOKUP(E1163,客户!B:C,2,FALSE),"/")</f>
        <v>/</v>
      </c>
      <c r="G1163" s="45" t="s">
        <v>228</v>
      </c>
      <c r="H1163" s="142" t="s">
        <v>147</v>
      </c>
      <c r="I1163" s="45" t="s">
        <v>3671</v>
      </c>
      <c r="J1163" s="110">
        <v>43467</v>
      </c>
      <c r="K1163" s="93">
        <v>43495</v>
      </c>
      <c r="L1163" s="93">
        <v>43552</v>
      </c>
      <c r="M1163" s="157" t="s">
        <v>4498</v>
      </c>
      <c r="N1163" s="359" t="s">
        <v>3754</v>
      </c>
      <c r="O1163" s="108"/>
      <c r="P1163" s="107">
        <v>23734.18</v>
      </c>
      <c r="Q1163" s="107">
        <v>7900</v>
      </c>
      <c r="R1163" s="129">
        <v>98</v>
      </c>
      <c r="S1163" s="130"/>
      <c r="T1163" s="107">
        <v>15708</v>
      </c>
      <c r="U1163" s="93">
        <v>43511</v>
      </c>
      <c r="V1163" s="189"/>
      <c r="W1163" s="186"/>
    </row>
    <row r="1164" s="39" customFormat="1" ht="22" customHeight="1" spans="1:23">
      <c r="A1164" s="142" t="s">
        <v>4499</v>
      </c>
      <c r="B1164" s="174"/>
      <c r="C1164" s="175"/>
      <c r="D1164" s="45" t="s">
        <v>31</v>
      </c>
      <c r="E1164" s="45" t="s">
        <v>4500</v>
      </c>
      <c r="F1164" s="82">
        <f>IFERROR(VLOOKUP(E1164,客户!B:C,2,FALSE),"/")</f>
        <v>0</v>
      </c>
      <c r="G1164" s="45" t="s">
        <v>228</v>
      </c>
      <c r="H1164" s="45" t="s">
        <v>123</v>
      </c>
      <c r="I1164" s="45" t="s">
        <v>3684</v>
      </c>
      <c r="J1164" s="110">
        <v>43472</v>
      </c>
      <c r="K1164" s="93">
        <v>43549</v>
      </c>
      <c r="L1164" s="94"/>
      <c r="M1164" s="391" t="s">
        <v>4501</v>
      </c>
      <c r="N1164" s="392" t="s">
        <v>4502</v>
      </c>
      <c r="O1164" s="108"/>
      <c r="P1164" s="107">
        <v>20757.88</v>
      </c>
      <c r="Q1164" s="107">
        <v>6600</v>
      </c>
      <c r="R1164" s="129">
        <v>0</v>
      </c>
      <c r="S1164" s="130"/>
      <c r="T1164" s="107" t="s">
        <v>4503</v>
      </c>
      <c r="U1164" s="93"/>
      <c r="V1164" s="189"/>
      <c r="W1164" s="186"/>
    </row>
    <row r="1165" s="39" customFormat="1" ht="22" customHeight="1" spans="1:23">
      <c r="A1165" s="142" t="s">
        <v>4504</v>
      </c>
      <c r="B1165" s="174"/>
      <c r="C1165" s="175"/>
      <c r="D1165" s="45" t="s">
        <v>31</v>
      </c>
      <c r="E1165" s="45" t="s">
        <v>4505</v>
      </c>
      <c r="F1165" s="82">
        <f>IFERROR(VLOOKUP(E1165,客户!B:C,2,FALSE),"/")</f>
        <v>0</v>
      </c>
      <c r="G1165" s="45" t="s">
        <v>4506</v>
      </c>
      <c r="H1165" s="45" t="s">
        <v>123</v>
      </c>
      <c r="I1165" s="45"/>
      <c r="J1165" s="110">
        <v>43479</v>
      </c>
      <c r="K1165" s="93"/>
      <c r="L1165" s="93"/>
      <c r="M1165" s="106"/>
      <c r="N1165" s="359"/>
      <c r="O1165" s="108"/>
      <c r="P1165" s="107"/>
      <c r="Q1165" s="107"/>
      <c r="R1165" s="129"/>
      <c r="S1165" s="130"/>
      <c r="T1165" s="107" t="s">
        <v>4507</v>
      </c>
      <c r="U1165" s="93">
        <v>43483</v>
      </c>
      <c r="V1165" s="189"/>
      <c r="W1165" s="186"/>
    </row>
    <row r="1166" s="39" customFormat="1" ht="22" customHeight="1" spans="1:23">
      <c r="A1166" s="142" t="s">
        <v>4508</v>
      </c>
      <c r="B1166" s="174"/>
      <c r="C1166" s="175"/>
      <c r="D1166" s="45" t="s">
        <v>31</v>
      </c>
      <c r="E1166" s="45" t="s">
        <v>735</v>
      </c>
      <c r="F1166" s="82">
        <f>IFERROR(VLOOKUP(E1166,客户!B:C,2,FALSE),"/")</f>
        <v>0</v>
      </c>
      <c r="G1166" s="45"/>
      <c r="H1166" s="45"/>
      <c r="I1166" s="45"/>
      <c r="J1166" s="110">
        <v>43634</v>
      </c>
      <c r="K1166" s="93"/>
      <c r="L1166" s="93"/>
      <c r="M1166" s="106" t="s">
        <v>4509</v>
      </c>
      <c r="N1166" s="359"/>
      <c r="O1166" s="108"/>
      <c r="P1166" s="107">
        <v>6556</v>
      </c>
      <c r="Q1166" s="107"/>
      <c r="R1166" s="129"/>
      <c r="S1166" s="130"/>
      <c r="T1166" s="107">
        <v>6123</v>
      </c>
      <c r="U1166" s="93" t="s">
        <v>4510</v>
      </c>
      <c r="V1166" s="189"/>
      <c r="W1166" s="186"/>
    </row>
    <row r="1167" s="39" customFormat="1" ht="22" customHeight="1" spans="1:23">
      <c r="A1167" s="142" t="s">
        <v>4511</v>
      </c>
      <c r="B1167" s="174"/>
      <c r="C1167" s="175"/>
      <c r="D1167" s="45" t="s">
        <v>31</v>
      </c>
      <c r="E1167" s="45" t="s">
        <v>735</v>
      </c>
      <c r="F1167" s="82">
        <f>IFERROR(VLOOKUP(E1167,客户!B:C,2,FALSE),"/")</f>
        <v>0</v>
      </c>
      <c r="G1167" s="45" t="s">
        <v>43</v>
      </c>
      <c r="H1167" s="45" t="s">
        <v>123</v>
      </c>
      <c r="I1167" s="45"/>
      <c r="J1167" s="110">
        <v>43510</v>
      </c>
      <c r="K1167" s="95"/>
      <c r="L1167" s="94"/>
      <c r="M1167" s="113" t="s">
        <v>4512</v>
      </c>
      <c r="N1167" s="359" t="s">
        <v>4513</v>
      </c>
      <c r="O1167" s="108"/>
      <c r="P1167" s="235">
        <v>23629.65</v>
      </c>
      <c r="Q1167" s="107">
        <v>4000</v>
      </c>
      <c r="R1167" s="129"/>
      <c r="S1167" s="130"/>
      <c r="T1167" s="107">
        <v>19600.6</v>
      </c>
      <c r="U1167" s="93"/>
      <c r="V1167" s="405" t="s">
        <v>4514</v>
      </c>
      <c r="W1167" s="186"/>
    </row>
    <row r="1168" s="39" customFormat="1" ht="22" customHeight="1" spans="1:23">
      <c r="A1168" s="142" t="s">
        <v>4515</v>
      </c>
      <c r="B1168" s="174" t="s">
        <v>4516</v>
      </c>
      <c r="C1168" s="175"/>
      <c r="D1168" s="45" t="s">
        <v>31</v>
      </c>
      <c r="E1168" s="73" t="s">
        <v>735</v>
      </c>
      <c r="F1168" s="82">
        <f>IFERROR(VLOOKUP(E1168,客户!B:C,2,FALSE),"/")</f>
        <v>0</v>
      </c>
      <c r="G1168" s="45"/>
      <c r="H1168" s="45" t="s">
        <v>123</v>
      </c>
      <c r="I1168" s="45"/>
      <c r="J1168" s="110"/>
      <c r="K1168" s="93">
        <v>43616</v>
      </c>
      <c r="L1168" s="93"/>
      <c r="M1168" s="393" t="s">
        <v>4517</v>
      </c>
      <c r="N1168" s="359"/>
      <c r="O1168" s="108"/>
      <c r="P1168" s="235">
        <v>5347.5</v>
      </c>
      <c r="Q1168" s="107"/>
      <c r="R1168" s="129"/>
      <c r="S1168" s="130"/>
      <c r="T1168" s="107">
        <v>5319</v>
      </c>
      <c r="U1168" s="93"/>
      <c r="V1168" s="189"/>
      <c r="W1168" s="186"/>
    </row>
    <row r="1169" s="39" customFormat="1" ht="22" customHeight="1" spans="1:23">
      <c r="A1169" s="142" t="s">
        <v>4518</v>
      </c>
      <c r="B1169" s="174"/>
      <c r="C1169" s="175"/>
      <c r="D1169" s="45" t="s">
        <v>31</v>
      </c>
      <c r="E1169" s="45" t="s">
        <v>4519</v>
      </c>
      <c r="F1169" s="82">
        <f>IFERROR(VLOOKUP(E1169,客户!B:C,2,FALSE),"/")</f>
        <v>0</v>
      </c>
      <c r="G1169" s="45" t="s">
        <v>57</v>
      </c>
      <c r="H1169" s="45" t="s">
        <v>123</v>
      </c>
      <c r="I1169" s="45" t="s">
        <v>770</v>
      </c>
      <c r="J1169" s="110">
        <v>43514</v>
      </c>
      <c r="K1169" s="93">
        <v>43562</v>
      </c>
      <c r="L1169" s="93">
        <v>43589</v>
      </c>
      <c r="M1169" s="391" t="s">
        <v>4520</v>
      </c>
      <c r="N1169" s="359" t="s">
        <v>4521</v>
      </c>
      <c r="O1169" s="108"/>
      <c r="P1169" s="107">
        <v>25381.25</v>
      </c>
      <c r="Q1169" s="107">
        <v>7615</v>
      </c>
      <c r="R1169" s="129">
        <v>0</v>
      </c>
      <c r="S1169" s="130"/>
      <c r="T1169" s="107">
        <v>17744</v>
      </c>
      <c r="U1169" s="93">
        <v>43580</v>
      </c>
      <c r="V1169" s="189"/>
      <c r="W1169" s="186"/>
    </row>
    <row r="1170" s="39" customFormat="1" ht="22" customHeight="1" spans="1:23">
      <c r="A1170" s="143" t="s">
        <v>4522</v>
      </c>
      <c r="B1170" s="174"/>
      <c r="C1170" s="175"/>
      <c r="D1170" s="45" t="s">
        <v>31</v>
      </c>
      <c r="E1170" s="45" t="s">
        <v>823</v>
      </c>
      <c r="F1170" s="82">
        <f>IFERROR(VLOOKUP(E1170,客户!B:C,2,FALSE),"/")</f>
        <v>0</v>
      </c>
      <c r="G1170" s="45" t="s">
        <v>36</v>
      </c>
      <c r="H1170" s="45" t="s">
        <v>123</v>
      </c>
      <c r="I1170" s="45" t="s">
        <v>1626</v>
      </c>
      <c r="J1170" s="110">
        <v>43528</v>
      </c>
      <c r="K1170" s="93">
        <v>43576</v>
      </c>
      <c r="L1170" s="93">
        <v>43610</v>
      </c>
      <c r="M1170" s="106" t="s">
        <v>4523</v>
      </c>
      <c r="N1170" s="359" t="s">
        <v>4524</v>
      </c>
      <c r="O1170" s="108"/>
      <c r="P1170" s="107">
        <v>22133.4</v>
      </c>
      <c r="Q1170" s="107">
        <v>6500</v>
      </c>
      <c r="R1170" s="129">
        <v>0</v>
      </c>
      <c r="S1170" s="130"/>
      <c r="T1170" s="107">
        <v>15583</v>
      </c>
      <c r="U1170" s="93">
        <v>43600</v>
      </c>
      <c r="V1170" s="189"/>
      <c r="W1170" s="186"/>
    </row>
    <row r="1171" s="39" customFormat="1" ht="22" customHeight="1" spans="1:23">
      <c r="A1171" s="142" t="s">
        <v>4525</v>
      </c>
      <c r="B1171" s="174"/>
      <c r="C1171" s="175"/>
      <c r="D1171" s="45" t="s">
        <v>31</v>
      </c>
      <c r="E1171" s="45" t="s">
        <v>4500</v>
      </c>
      <c r="F1171" s="82">
        <f>IFERROR(VLOOKUP(E1171,客户!B:C,2,FALSE),"/")</f>
        <v>0</v>
      </c>
      <c r="G1171" s="45" t="s">
        <v>228</v>
      </c>
      <c r="H1171" s="45" t="s">
        <v>123</v>
      </c>
      <c r="I1171" s="45" t="s">
        <v>3684</v>
      </c>
      <c r="J1171" s="110">
        <v>43553</v>
      </c>
      <c r="K1171" s="93">
        <v>43569</v>
      </c>
      <c r="L1171" s="93">
        <v>43597</v>
      </c>
      <c r="M1171" s="157" t="s">
        <v>4526</v>
      </c>
      <c r="N1171" s="359"/>
      <c r="O1171" s="108"/>
      <c r="P1171" s="107">
        <v>2587.5</v>
      </c>
      <c r="Q1171" s="107"/>
      <c r="R1171" s="129">
        <v>0</v>
      </c>
      <c r="S1171" s="130"/>
      <c r="T1171" s="107">
        <v>1268</v>
      </c>
      <c r="U1171" s="93">
        <v>43581</v>
      </c>
      <c r="V1171" s="189"/>
      <c r="W1171" s="186"/>
    </row>
    <row r="1172" s="39" customFormat="1" ht="22" customHeight="1" spans="1:23">
      <c r="A1172" s="142" t="s">
        <v>4527</v>
      </c>
      <c r="B1172" s="174"/>
      <c r="C1172" s="175"/>
      <c r="D1172" s="45" t="s">
        <v>31</v>
      </c>
      <c r="E1172" s="45" t="s">
        <v>4528</v>
      </c>
      <c r="F1172" s="82" t="str">
        <f>IFERROR(VLOOKUP(E1172,客户!B:C,2,FALSE),"/")</f>
        <v>/</v>
      </c>
      <c r="G1172" s="45" t="s">
        <v>43</v>
      </c>
      <c r="H1172" s="45" t="s">
        <v>123</v>
      </c>
      <c r="I1172" s="45" t="s">
        <v>3684</v>
      </c>
      <c r="J1172" s="110">
        <v>43592</v>
      </c>
      <c r="K1172" s="93">
        <v>43626</v>
      </c>
      <c r="L1172" s="201"/>
      <c r="M1172" s="391" t="s">
        <v>4529</v>
      </c>
      <c r="N1172" s="359" t="s">
        <v>4530</v>
      </c>
      <c r="O1172" s="108"/>
      <c r="P1172" s="107">
        <v>19502.38</v>
      </c>
      <c r="Q1172" s="107">
        <v>6448</v>
      </c>
      <c r="R1172" s="129"/>
      <c r="S1172" s="130"/>
      <c r="T1172" s="107">
        <f>6814+6154</f>
        <v>12968</v>
      </c>
      <c r="U1172" s="93"/>
      <c r="V1172" s="189"/>
      <c r="W1172" s="186"/>
    </row>
    <row r="1173" s="39" customFormat="1" ht="22" customHeight="1" spans="1:23">
      <c r="A1173" s="142" t="s">
        <v>4531</v>
      </c>
      <c r="B1173" s="174" t="s">
        <v>4516</v>
      </c>
      <c r="C1173" s="175"/>
      <c r="D1173" s="45" t="s">
        <v>31</v>
      </c>
      <c r="E1173" s="45" t="s">
        <v>4532</v>
      </c>
      <c r="F1173" s="82">
        <f>IFERROR(VLOOKUP(E1173,客户!B:C,2,FALSE),"/")</f>
        <v>0</v>
      </c>
      <c r="G1173" s="45" t="s">
        <v>4533</v>
      </c>
      <c r="H1173" s="142" t="s">
        <v>147</v>
      </c>
      <c r="I1173" s="45" t="s">
        <v>4534</v>
      </c>
      <c r="J1173" s="110">
        <v>43599</v>
      </c>
      <c r="K1173" s="93">
        <v>43665</v>
      </c>
      <c r="L1173" s="93">
        <v>43689</v>
      </c>
      <c r="M1173" s="391" t="s">
        <v>4535</v>
      </c>
      <c r="N1173" s="359" t="s">
        <v>4536</v>
      </c>
      <c r="O1173" s="108"/>
      <c r="P1173" s="107">
        <v>26998.92</v>
      </c>
      <c r="Q1173" s="107">
        <v>8000</v>
      </c>
      <c r="R1173" s="129">
        <v>0</v>
      </c>
      <c r="S1173" s="130"/>
      <c r="T1173" s="107">
        <v>18965</v>
      </c>
      <c r="U1173" s="93"/>
      <c r="V1173" s="189"/>
      <c r="W1173" s="186"/>
    </row>
    <row r="1174" s="39" customFormat="1" ht="22" customHeight="1" spans="1:23">
      <c r="A1174" s="142" t="s">
        <v>4537</v>
      </c>
      <c r="B1174" s="174"/>
      <c r="C1174" s="175"/>
      <c r="D1174" s="45" t="s">
        <v>31</v>
      </c>
      <c r="E1174" s="229" t="s">
        <v>4538</v>
      </c>
      <c r="F1174" s="82" t="str">
        <f>IFERROR(VLOOKUP(E1174,客户!B:C,2,FALSE),"/")</f>
        <v>/</v>
      </c>
      <c r="G1174" s="45" t="s">
        <v>4539</v>
      </c>
      <c r="H1174" s="45" t="s">
        <v>123</v>
      </c>
      <c r="I1174" s="45" t="s">
        <v>2012</v>
      </c>
      <c r="J1174" s="110">
        <v>43613</v>
      </c>
      <c r="K1174" s="94">
        <v>43660</v>
      </c>
      <c r="L1174" s="93"/>
      <c r="M1174" s="157" t="s">
        <v>4540</v>
      </c>
      <c r="N1174" s="359" t="s">
        <v>4541</v>
      </c>
      <c r="O1174" s="108"/>
      <c r="P1174" s="107">
        <v>22190</v>
      </c>
      <c r="Q1174" s="107">
        <v>6660</v>
      </c>
      <c r="R1174" s="129">
        <v>0</v>
      </c>
      <c r="S1174" s="130"/>
      <c r="T1174" s="107" t="s">
        <v>4542</v>
      </c>
      <c r="U1174" s="93">
        <v>43668</v>
      </c>
      <c r="V1174" s="189"/>
      <c r="W1174" s="186"/>
    </row>
    <row r="1175" s="39" customFormat="1" ht="22" customHeight="1" spans="1:23">
      <c r="A1175" s="142" t="s">
        <v>4543</v>
      </c>
      <c r="B1175" s="174"/>
      <c r="C1175" s="175"/>
      <c r="D1175" s="45" t="s">
        <v>31</v>
      </c>
      <c r="E1175" s="73" t="s">
        <v>735</v>
      </c>
      <c r="F1175" s="82">
        <f>IFERROR(VLOOKUP(E1175,客户!B:C,2,FALSE),"/")</f>
        <v>0</v>
      </c>
      <c r="G1175" s="45" t="s">
        <v>43</v>
      </c>
      <c r="H1175" s="45" t="s">
        <v>123</v>
      </c>
      <c r="I1175" s="45"/>
      <c r="J1175" s="110"/>
      <c r="K1175" s="93">
        <v>43808</v>
      </c>
      <c r="L1175" s="93"/>
      <c r="M1175" s="394" t="s">
        <v>4544</v>
      </c>
      <c r="N1175" s="359" t="s">
        <v>737</v>
      </c>
      <c r="O1175" s="108"/>
      <c r="P1175" s="107">
        <v>27150.9</v>
      </c>
      <c r="Q1175" s="107">
        <v>5000</v>
      </c>
      <c r="R1175" s="129"/>
      <c r="S1175" s="130"/>
      <c r="T1175" s="107">
        <v>22900.25</v>
      </c>
      <c r="U1175" s="93">
        <v>43794</v>
      </c>
      <c r="V1175" s="45"/>
      <c r="W1175" s="186"/>
    </row>
    <row r="1176" s="39" customFormat="1" ht="18" customHeight="1" spans="1:22">
      <c r="A1176" s="367" t="s">
        <v>4545</v>
      </c>
      <c r="B1176" s="270"/>
      <c r="C1176" s="271"/>
      <c r="D1176" s="45" t="s">
        <v>31</v>
      </c>
      <c r="E1176" s="73" t="s">
        <v>4546</v>
      </c>
      <c r="F1176" s="82">
        <f>IFERROR(VLOOKUP(E1176,客户!B:C,2,FALSE),"/")</f>
        <v>0</v>
      </c>
      <c r="G1176" s="42" t="s">
        <v>4547</v>
      </c>
      <c r="H1176" s="42" t="s">
        <v>123</v>
      </c>
      <c r="I1176" s="45" t="s">
        <v>770</v>
      </c>
      <c r="J1176" s="385"/>
      <c r="K1176" s="146">
        <v>44078</v>
      </c>
      <c r="L1176" s="93"/>
      <c r="M1176" s="357"/>
      <c r="N1176" s="202" t="s">
        <v>4548</v>
      </c>
      <c r="O1176" s="108" t="s">
        <v>970</v>
      </c>
      <c r="P1176" s="107">
        <v>28597.55</v>
      </c>
      <c r="R1176" s="129"/>
      <c r="S1176" s="399"/>
      <c r="T1176" s="107">
        <f>25087.55+3510</f>
        <v>28597.55</v>
      </c>
      <c r="U1176" s="93">
        <v>43846</v>
      </c>
      <c r="V1176" s="127" t="s">
        <v>4549</v>
      </c>
    </row>
    <row r="1177" s="39" customFormat="1" ht="22" customHeight="1" spans="1:21">
      <c r="A1177" s="255"/>
      <c r="B1177" s="270"/>
      <c r="C1177" s="271"/>
      <c r="D1177" s="45"/>
      <c r="E1177" s="73"/>
      <c r="F1177" s="82"/>
      <c r="G1177" s="42"/>
      <c r="H1177" s="42"/>
      <c r="I1177" s="45"/>
      <c r="K1177" s="179"/>
      <c r="L1177" s="93"/>
      <c r="M1177" s="145"/>
      <c r="N1177" s="42"/>
      <c r="O1177" s="108"/>
      <c r="R1177" s="129"/>
      <c r="S1177" s="399"/>
      <c r="T1177" s="107"/>
      <c r="U1177" s="93"/>
    </row>
    <row r="1178" s="39" customFormat="1" ht="22" customHeight="1" spans="2:21">
      <c r="B1178" s="270"/>
      <c r="C1178" s="271"/>
      <c r="D1178" s="45"/>
      <c r="E1178" s="73"/>
      <c r="F1178" s="82" t="str">
        <f>IFERROR(VLOOKUP(E1178,客户!B:C,2,FALSE),"/")</f>
        <v>/</v>
      </c>
      <c r="K1178" s="358"/>
      <c r="L1178" s="93"/>
      <c r="R1178" s="129"/>
      <c r="S1178" s="399"/>
      <c r="T1178" s="42"/>
      <c r="U1178" s="93"/>
    </row>
    <row r="1179" s="39" customFormat="1" ht="22" customHeight="1" spans="2:21">
      <c r="B1179" s="270"/>
      <c r="C1179" s="271"/>
      <c r="D1179" s="45"/>
      <c r="E1179" s="73"/>
      <c r="F1179" s="82" t="str">
        <f>IFERROR(VLOOKUP(E1179,客户!B:C,2,FALSE),"/")</f>
        <v>/</v>
      </c>
      <c r="K1179" s="358"/>
      <c r="L1179" s="93"/>
      <c r="R1179" s="129"/>
      <c r="S1179" s="399"/>
      <c r="T1179" s="42"/>
      <c r="U1179" s="93"/>
    </row>
    <row r="1180" s="42" customFormat="1" ht="22" customHeight="1" spans="1:23">
      <c r="A1180" s="368" t="s">
        <v>4550</v>
      </c>
      <c r="B1180" s="369"/>
      <c r="C1180" s="370"/>
      <c r="D1180" s="45" t="s">
        <v>31</v>
      </c>
      <c r="E1180" s="377" t="s">
        <v>4551</v>
      </c>
      <c r="F1180" s="82" t="str">
        <f>IFERROR(VLOOKUP(E1180,客户!B:C,2,FALSE),"/")</f>
        <v>/</v>
      </c>
      <c r="G1180" s="377" t="s">
        <v>4552</v>
      </c>
      <c r="H1180" s="378"/>
      <c r="I1180" s="378"/>
      <c r="J1180" s="386"/>
      <c r="K1180" s="387"/>
      <c r="L1180" s="388"/>
      <c r="M1180" s="390"/>
      <c r="N1180" s="390"/>
      <c r="O1180" s="390"/>
      <c r="P1180" s="395">
        <v>32395.57</v>
      </c>
      <c r="Q1180" s="395"/>
      <c r="R1180" s="129"/>
      <c r="S1180" s="399"/>
      <c r="T1180" s="397"/>
      <c r="U1180" s="388"/>
      <c r="V1180" s="395"/>
      <c r="W1180" s="406"/>
    </row>
    <row r="1181" s="42" customFormat="1" ht="22" customHeight="1" spans="1:23">
      <c r="A1181" s="371" t="s">
        <v>4553</v>
      </c>
      <c r="B1181" s="372"/>
      <c r="C1181" s="373"/>
      <c r="D1181" s="45" t="s">
        <v>31</v>
      </c>
      <c r="E1181" s="379" t="s">
        <v>4554</v>
      </c>
      <c r="F1181" s="82" t="str">
        <f>IFERROR(VLOOKUP(E1181,客户!B:C,2,FALSE),"/")</f>
        <v>/</v>
      </c>
      <c r="G1181" s="379" t="s">
        <v>4555</v>
      </c>
      <c r="H1181" s="380" t="s">
        <v>4556</v>
      </c>
      <c r="I1181" s="380"/>
      <c r="J1181" s="386"/>
      <c r="K1181" s="388"/>
      <c r="L1181" s="388"/>
      <c r="M1181" s="396"/>
      <c r="N1181" s="396"/>
      <c r="O1181" s="396"/>
      <c r="P1181" s="397">
        <v>36851</v>
      </c>
      <c r="Q1181" s="397"/>
      <c r="R1181" s="129"/>
      <c r="S1181" s="399"/>
      <c r="T1181" s="397"/>
      <c r="U1181" s="388"/>
      <c r="V1181" s="397"/>
      <c r="W1181" s="380"/>
    </row>
    <row r="1182" s="42" customFormat="1" ht="22" customHeight="1" spans="1:23">
      <c r="A1182" s="371" t="s">
        <v>4557</v>
      </c>
      <c r="B1182" s="372"/>
      <c r="C1182" s="373"/>
      <c r="D1182" s="45" t="s">
        <v>31</v>
      </c>
      <c r="E1182" s="379" t="s">
        <v>4554</v>
      </c>
      <c r="F1182" s="82" t="str">
        <f>IFERROR(VLOOKUP(E1182,客户!B:C,2,FALSE),"/")</f>
        <v>/</v>
      </c>
      <c r="G1182" s="378" t="s">
        <v>4558</v>
      </c>
      <c r="H1182" s="380" t="s">
        <v>4556</v>
      </c>
      <c r="I1182" s="380"/>
      <c r="J1182" s="386"/>
      <c r="K1182" s="388"/>
      <c r="L1182" s="388"/>
      <c r="M1182" s="396"/>
      <c r="N1182" s="396"/>
      <c r="O1182" s="396"/>
      <c r="P1182" s="397">
        <v>34960.42</v>
      </c>
      <c r="Q1182" s="397"/>
      <c r="R1182" s="129"/>
      <c r="S1182" s="399"/>
      <c r="T1182" s="397"/>
      <c r="U1182" s="388"/>
      <c r="V1182" s="397"/>
      <c r="W1182" s="379"/>
    </row>
    <row r="1183" s="42" customFormat="1" ht="22" customHeight="1" spans="1:23">
      <c r="A1183" s="371" t="s">
        <v>4559</v>
      </c>
      <c r="B1183" s="372"/>
      <c r="C1183" s="373"/>
      <c r="D1183" s="45" t="s">
        <v>31</v>
      </c>
      <c r="E1183" s="379" t="s">
        <v>4560</v>
      </c>
      <c r="F1183" s="82" t="str">
        <f>IFERROR(VLOOKUP(E1183,客户!B:C,2,FALSE),"/")</f>
        <v>/</v>
      </c>
      <c r="G1183" s="379" t="s">
        <v>4561</v>
      </c>
      <c r="H1183" s="381" t="s">
        <v>4562</v>
      </c>
      <c r="I1183" s="381"/>
      <c r="J1183" s="386"/>
      <c r="K1183" s="388"/>
      <c r="L1183" s="388"/>
      <c r="M1183" s="396"/>
      <c r="N1183" s="396"/>
      <c r="O1183" s="396"/>
      <c r="P1183" s="397">
        <v>18449.28</v>
      </c>
      <c r="Q1183" s="397"/>
      <c r="R1183" s="129"/>
      <c r="S1183" s="399"/>
      <c r="T1183" s="397"/>
      <c r="U1183" s="388"/>
      <c r="V1183" s="397"/>
      <c r="W1183" s="379"/>
    </row>
    <row r="1184" s="42" customFormat="1" ht="22" customHeight="1" spans="1:23">
      <c r="A1184" s="371" t="s">
        <v>4563</v>
      </c>
      <c r="B1184" s="372"/>
      <c r="C1184" s="373"/>
      <c r="D1184" s="45" t="s">
        <v>31</v>
      </c>
      <c r="E1184" s="379" t="s">
        <v>4554</v>
      </c>
      <c r="F1184" s="82" t="str">
        <f>IFERROR(VLOOKUP(E1184,客户!B:C,2,FALSE),"/")</f>
        <v>/</v>
      </c>
      <c r="G1184" s="379" t="s">
        <v>4555</v>
      </c>
      <c r="H1184" s="381" t="s">
        <v>4564</v>
      </c>
      <c r="I1184" s="381"/>
      <c r="J1184" s="386"/>
      <c r="K1184" s="388"/>
      <c r="L1184" s="388"/>
      <c r="M1184" s="396"/>
      <c r="N1184" s="396"/>
      <c r="O1184" s="396"/>
      <c r="P1184" s="397">
        <v>34450</v>
      </c>
      <c r="Q1184" s="397"/>
      <c r="R1184" s="129"/>
      <c r="S1184" s="399"/>
      <c r="T1184" s="397"/>
      <c r="U1184" s="388"/>
      <c r="V1184" s="397"/>
      <c r="W1184" s="379"/>
    </row>
    <row r="1185" s="39" customFormat="1" ht="22" customHeight="1" spans="1:23">
      <c r="A1185" s="371" t="s">
        <v>4565</v>
      </c>
      <c r="B1185" s="372"/>
      <c r="C1185" s="373"/>
      <c r="D1185" s="45" t="s">
        <v>31</v>
      </c>
      <c r="E1185" s="379" t="s">
        <v>4554</v>
      </c>
      <c r="F1185" s="82" t="str">
        <f>IFERROR(VLOOKUP(E1185,客户!B:C,2,FALSE),"/")</f>
        <v>/</v>
      </c>
      <c r="G1185" s="382" t="s">
        <v>4566</v>
      </c>
      <c r="H1185" s="383" t="s">
        <v>4567</v>
      </c>
      <c r="I1185" s="383"/>
      <c r="J1185" s="386"/>
      <c r="K1185" s="389"/>
      <c r="L1185" s="389"/>
      <c r="M1185" s="396"/>
      <c r="N1185" s="396"/>
      <c r="O1185" s="396"/>
      <c r="P1185" s="397">
        <v>48697.84</v>
      </c>
      <c r="Q1185" s="400"/>
      <c r="R1185" s="319"/>
      <c r="S1185" s="401"/>
      <c r="T1185" s="400"/>
      <c r="U1185" s="389"/>
      <c r="V1185" s="400"/>
      <c r="W1185" s="407"/>
    </row>
    <row r="1186" s="42" customFormat="1" ht="22" customHeight="1" spans="1:23">
      <c r="A1186" s="371" t="s">
        <v>4568</v>
      </c>
      <c r="B1186" s="372"/>
      <c r="C1186" s="373"/>
      <c r="D1186" s="45" t="s">
        <v>31</v>
      </c>
      <c r="E1186" s="379" t="s">
        <v>4554</v>
      </c>
      <c r="F1186" s="82" t="str">
        <f>IFERROR(VLOOKUP(E1186,客户!B:C,2,FALSE),"/")</f>
        <v>/</v>
      </c>
      <c r="G1186" s="382" t="s">
        <v>4555</v>
      </c>
      <c r="H1186" s="381" t="s">
        <v>4564</v>
      </c>
      <c r="I1186" s="381"/>
      <c r="J1186" s="386"/>
      <c r="K1186" s="389"/>
      <c r="L1186" s="389"/>
      <c r="M1186" s="396"/>
      <c r="N1186" s="396"/>
      <c r="O1186" s="396"/>
      <c r="P1186" s="397">
        <v>29568</v>
      </c>
      <c r="Q1186" s="400"/>
      <c r="R1186" s="319"/>
      <c r="S1186" s="401"/>
      <c r="T1186" s="400"/>
      <c r="U1186" s="389"/>
      <c r="V1186" s="400"/>
      <c r="W1186" s="407"/>
    </row>
    <row r="1187" s="42" customFormat="1" ht="22" customHeight="1" spans="1:23">
      <c r="A1187" s="368" t="s">
        <v>4569</v>
      </c>
      <c r="B1187" s="369"/>
      <c r="C1187" s="370"/>
      <c r="D1187" s="45" t="s">
        <v>31</v>
      </c>
      <c r="E1187" s="379" t="s">
        <v>4554</v>
      </c>
      <c r="F1187" s="82" t="str">
        <f>IFERROR(VLOOKUP(E1187,客户!B:C,2,FALSE),"/")</f>
        <v>/</v>
      </c>
      <c r="G1187" s="379" t="s">
        <v>4558</v>
      </c>
      <c r="H1187" s="381" t="s">
        <v>4564</v>
      </c>
      <c r="I1187" s="381"/>
      <c r="J1187" s="386"/>
      <c r="K1187" s="388"/>
      <c r="L1187" s="388"/>
      <c r="M1187" s="396"/>
      <c r="N1187" s="396"/>
      <c r="O1187" s="396"/>
      <c r="P1187" s="397">
        <v>32670.74</v>
      </c>
      <c r="Q1187" s="397"/>
      <c r="R1187" s="129"/>
      <c r="S1187" s="399"/>
      <c r="T1187" s="397"/>
      <c r="U1187" s="388"/>
      <c r="V1187" s="397"/>
      <c r="W1187" s="379"/>
    </row>
    <row r="1188" s="40" customFormat="1" ht="22" customHeight="1" spans="1:23">
      <c r="A1188" s="371" t="s">
        <v>4570</v>
      </c>
      <c r="B1188" s="372"/>
      <c r="C1188" s="373"/>
      <c r="D1188" s="45" t="s">
        <v>31</v>
      </c>
      <c r="E1188" s="379" t="s">
        <v>4554</v>
      </c>
      <c r="F1188" s="82" t="str">
        <f>IFERROR(VLOOKUP(E1188,客户!B:C,2,FALSE),"/")</f>
        <v>/</v>
      </c>
      <c r="G1188" s="379" t="s">
        <v>4571</v>
      </c>
      <c r="H1188" s="379" t="s">
        <v>4567</v>
      </c>
      <c r="I1188" s="379"/>
      <c r="J1188" s="386"/>
      <c r="K1188" s="388"/>
      <c r="L1188" s="388"/>
      <c r="M1188" s="384"/>
      <c r="N1188" s="384"/>
      <c r="O1188" s="384"/>
      <c r="P1188" s="397">
        <v>33400</v>
      </c>
      <c r="Q1188" s="397"/>
      <c r="R1188" s="129"/>
      <c r="S1188" s="399"/>
      <c r="T1188" s="397"/>
      <c r="U1188" s="388"/>
      <c r="V1188" s="397"/>
      <c r="W1188" s="379"/>
    </row>
    <row r="1189" s="40" customFormat="1" ht="22" customHeight="1" spans="1:23">
      <c r="A1189" s="371" t="s">
        <v>4572</v>
      </c>
      <c r="B1189" s="372"/>
      <c r="C1189" s="373"/>
      <c r="D1189" s="45" t="s">
        <v>31</v>
      </c>
      <c r="E1189" s="379" t="s">
        <v>4573</v>
      </c>
      <c r="F1189" s="82" t="str">
        <f>IFERROR(VLOOKUP(E1189,客户!B:C,2,FALSE),"/")</f>
        <v>/</v>
      </c>
      <c r="G1189" s="379" t="s">
        <v>4574</v>
      </c>
      <c r="H1189" s="379" t="s">
        <v>4567</v>
      </c>
      <c r="I1189" s="379"/>
      <c r="J1189" s="386"/>
      <c r="K1189" s="388"/>
      <c r="L1189" s="388"/>
      <c r="M1189" s="384"/>
      <c r="N1189" s="384"/>
      <c r="O1189" s="384"/>
      <c r="P1189" s="397">
        <v>32450</v>
      </c>
      <c r="Q1189" s="397"/>
      <c r="R1189" s="129"/>
      <c r="S1189" s="399"/>
      <c r="T1189" s="397"/>
      <c r="U1189" s="388"/>
      <c r="V1189" s="397"/>
      <c r="W1189" s="379"/>
    </row>
    <row r="1190" s="40" customFormat="1" ht="22" customHeight="1" spans="1:23">
      <c r="A1190" s="374" t="s">
        <v>4575</v>
      </c>
      <c r="B1190" s="372"/>
      <c r="C1190" s="373"/>
      <c r="D1190" s="45" t="s">
        <v>31</v>
      </c>
      <c r="E1190" s="379" t="s">
        <v>4554</v>
      </c>
      <c r="F1190" s="82" t="str">
        <f>IFERROR(VLOOKUP(E1190,客户!B:C,2,FALSE),"/")</f>
        <v>/</v>
      </c>
      <c r="G1190" s="379" t="s">
        <v>4576</v>
      </c>
      <c r="H1190" s="379"/>
      <c r="I1190" s="379"/>
      <c r="J1190" s="386"/>
      <c r="K1190" s="388"/>
      <c r="L1190" s="388"/>
      <c r="M1190" s="384"/>
      <c r="N1190" s="384"/>
      <c r="O1190" s="384"/>
      <c r="P1190" s="397">
        <v>35392</v>
      </c>
      <c r="Q1190" s="397" t="s">
        <v>4577</v>
      </c>
      <c r="R1190" s="129"/>
      <c r="S1190" s="399"/>
      <c r="T1190" s="397"/>
      <c r="U1190" s="388"/>
      <c r="V1190" s="397"/>
      <c r="W1190" s="379"/>
    </row>
    <row r="1191" s="40" customFormat="1" ht="22" customHeight="1" spans="1:23">
      <c r="A1191" s="374" t="s">
        <v>4578</v>
      </c>
      <c r="B1191" s="372"/>
      <c r="C1191" s="373"/>
      <c r="D1191" s="45" t="s">
        <v>31</v>
      </c>
      <c r="E1191" s="379" t="s">
        <v>4554</v>
      </c>
      <c r="F1191" s="82" t="str">
        <f>IFERROR(VLOOKUP(E1191,客户!B:C,2,FALSE),"/")</f>
        <v>/</v>
      </c>
      <c r="G1191" s="379" t="s">
        <v>4558</v>
      </c>
      <c r="H1191" s="379"/>
      <c r="I1191" s="379"/>
      <c r="J1191" s="386"/>
      <c r="K1191" s="388"/>
      <c r="L1191" s="388"/>
      <c r="M1191" s="384"/>
      <c r="N1191" s="384"/>
      <c r="O1191" s="384"/>
      <c r="P1191" s="397">
        <v>42358.85</v>
      </c>
      <c r="Q1191" s="397" t="s">
        <v>4579</v>
      </c>
      <c r="R1191" s="129"/>
      <c r="S1191" s="399"/>
      <c r="T1191" s="397"/>
      <c r="U1191" s="388"/>
      <c r="V1191" s="397"/>
      <c r="W1191" s="379"/>
    </row>
    <row r="1192" s="40" customFormat="1" ht="22" customHeight="1" spans="1:23">
      <c r="A1192" s="374" t="s">
        <v>4580</v>
      </c>
      <c r="B1192" s="372"/>
      <c r="C1192" s="373"/>
      <c r="D1192" s="45" t="s">
        <v>31</v>
      </c>
      <c r="E1192" s="379" t="s">
        <v>4581</v>
      </c>
      <c r="F1192" s="82">
        <f>IFERROR(VLOOKUP(E1192,客户!B:C,2,FALSE),"/")</f>
        <v>0</v>
      </c>
      <c r="G1192" s="379" t="s">
        <v>4576</v>
      </c>
      <c r="H1192" s="379"/>
      <c r="I1192" s="379"/>
      <c r="J1192" s="386"/>
      <c r="K1192" s="388"/>
      <c r="L1192" s="388"/>
      <c r="M1192" s="384"/>
      <c r="N1192" s="384"/>
      <c r="O1192" s="384"/>
      <c r="P1192" s="397">
        <v>14193.98</v>
      </c>
      <c r="Q1192" s="397"/>
      <c r="R1192" s="129"/>
      <c r="S1192" s="399"/>
      <c r="T1192" s="397"/>
      <c r="U1192" s="388"/>
      <c r="V1192" s="397"/>
      <c r="W1192" s="379"/>
    </row>
    <row r="1193" s="40" customFormat="1" ht="22" customHeight="1" spans="1:23">
      <c r="A1193" s="374" t="s">
        <v>4582</v>
      </c>
      <c r="B1193" s="372"/>
      <c r="C1193" s="373"/>
      <c r="D1193" s="45" t="s">
        <v>31</v>
      </c>
      <c r="E1193" s="379" t="s">
        <v>4554</v>
      </c>
      <c r="F1193" s="82" t="str">
        <f>IFERROR(VLOOKUP(E1193,客户!B:C,2,FALSE),"/")</f>
        <v>/</v>
      </c>
      <c r="G1193" s="379" t="s">
        <v>4576</v>
      </c>
      <c r="H1193" s="379"/>
      <c r="I1193" s="379"/>
      <c r="J1193" s="386"/>
      <c r="K1193" s="388"/>
      <c r="L1193" s="388"/>
      <c r="M1193" s="384"/>
      <c r="N1193" s="384"/>
      <c r="O1193" s="384"/>
      <c r="P1193" s="397">
        <v>37477.24</v>
      </c>
      <c r="Q1193" s="402" t="s">
        <v>1283</v>
      </c>
      <c r="R1193" s="129"/>
      <c r="S1193" s="399"/>
      <c r="T1193" s="397"/>
      <c r="U1193" s="388"/>
      <c r="V1193" s="397"/>
      <c r="W1193" s="379"/>
    </row>
    <row r="1194" s="40" customFormat="1" ht="22" customHeight="1" spans="1:23">
      <c r="A1194" s="374" t="s">
        <v>4583</v>
      </c>
      <c r="B1194" s="372"/>
      <c r="C1194" s="373"/>
      <c r="D1194" s="45" t="s">
        <v>31</v>
      </c>
      <c r="E1194" s="379" t="s">
        <v>4554</v>
      </c>
      <c r="F1194" s="82" t="str">
        <f>IFERROR(VLOOKUP(E1194,客户!B:C,2,FALSE),"/")</f>
        <v>/</v>
      </c>
      <c r="G1194" s="379" t="s">
        <v>4584</v>
      </c>
      <c r="H1194" s="379"/>
      <c r="I1194" s="379"/>
      <c r="J1194" s="386"/>
      <c r="K1194" s="388"/>
      <c r="L1194" s="388"/>
      <c r="M1194" s="384"/>
      <c r="N1194" s="384"/>
      <c r="O1194" s="384"/>
      <c r="P1194" s="397">
        <v>38654.15</v>
      </c>
      <c r="Q1194" s="402" t="s">
        <v>1283</v>
      </c>
      <c r="R1194" s="129"/>
      <c r="S1194" s="399"/>
      <c r="T1194" s="397"/>
      <c r="U1194" s="388"/>
      <c r="V1194" s="397"/>
      <c r="W1194" s="379"/>
    </row>
    <row r="1195" s="40" customFormat="1" ht="22" customHeight="1" spans="1:23">
      <c r="A1195" s="374" t="s">
        <v>4585</v>
      </c>
      <c r="B1195" s="372"/>
      <c r="C1195" s="373"/>
      <c r="D1195" s="45" t="s">
        <v>31</v>
      </c>
      <c r="E1195" s="379" t="s">
        <v>4586</v>
      </c>
      <c r="F1195" s="82">
        <f>IFERROR(VLOOKUP(E1195,客户!B:C,2,FALSE),"/")</f>
        <v>0</v>
      </c>
      <c r="G1195" s="379" t="s">
        <v>4584</v>
      </c>
      <c r="H1195" s="379"/>
      <c r="I1195" s="379"/>
      <c r="J1195" s="386"/>
      <c r="K1195" s="388"/>
      <c r="L1195" s="388"/>
      <c r="M1195" s="384"/>
      <c r="N1195" s="384"/>
      <c r="O1195" s="384"/>
      <c r="P1195" s="397">
        <v>14708</v>
      </c>
      <c r="Q1195" s="397" t="s">
        <v>4587</v>
      </c>
      <c r="R1195" s="282"/>
      <c r="S1195" s="399"/>
      <c r="T1195" s="240">
        <v>81270</v>
      </c>
      <c r="U1195" s="388"/>
      <c r="V1195" s="397"/>
      <c r="W1195" s="379"/>
    </row>
    <row r="1196" s="40" customFormat="1" ht="22" customHeight="1" spans="1:23">
      <c r="A1196" s="375" t="s">
        <v>4588</v>
      </c>
      <c r="B1196" s="372"/>
      <c r="C1196" s="373"/>
      <c r="D1196" s="45" t="s">
        <v>31</v>
      </c>
      <c r="E1196" s="379" t="s">
        <v>4589</v>
      </c>
      <c r="F1196" s="82" t="str">
        <f>IFERROR(VLOOKUP(E1196,客户!B:C,2,FALSE),"/")</f>
        <v>/</v>
      </c>
      <c r="G1196" s="379" t="s">
        <v>4590</v>
      </c>
      <c r="H1196" s="379"/>
      <c r="I1196" s="379"/>
      <c r="J1196" s="386"/>
      <c r="K1196" s="388"/>
      <c r="L1196" s="388"/>
      <c r="M1196" s="384"/>
      <c r="N1196" s="384"/>
      <c r="O1196" s="384"/>
      <c r="P1196" s="397" t="s">
        <v>4591</v>
      </c>
      <c r="Q1196" s="397">
        <v>4842</v>
      </c>
      <c r="R1196" s="129"/>
      <c r="S1196" s="399"/>
      <c r="T1196" s="397"/>
      <c r="U1196" s="388"/>
      <c r="V1196" s="397"/>
      <c r="W1196" s="379"/>
    </row>
    <row r="1197" s="40" customFormat="1" ht="22" customHeight="1" spans="1:23">
      <c r="A1197" s="374" t="s">
        <v>4592</v>
      </c>
      <c r="B1197" s="372"/>
      <c r="C1197" s="373"/>
      <c r="D1197" s="45" t="s">
        <v>31</v>
      </c>
      <c r="E1197" s="379" t="s">
        <v>4593</v>
      </c>
      <c r="F1197" s="82" t="str">
        <f>IFERROR(VLOOKUP(E1197,客户!B:C,2,FALSE),"/")</f>
        <v>/</v>
      </c>
      <c r="G1197" s="379" t="s">
        <v>4594</v>
      </c>
      <c r="H1197" s="379"/>
      <c r="I1197" s="379"/>
      <c r="J1197" s="386"/>
      <c r="K1197" s="388"/>
      <c r="L1197" s="388"/>
      <c r="M1197" s="396"/>
      <c r="N1197" s="396"/>
      <c r="O1197" s="396"/>
      <c r="P1197" s="397">
        <v>7978.05</v>
      </c>
      <c r="Q1197" s="403"/>
      <c r="R1197" s="129"/>
      <c r="S1197" s="399"/>
      <c r="T1197" s="129">
        <v>7978.05</v>
      </c>
      <c r="U1197" s="388"/>
      <c r="V1197" s="397"/>
      <c r="W1197" s="379"/>
    </row>
    <row r="1198" s="40" customFormat="1" ht="22" customHeight="1" spans="1:23">
      <c r="A1198" s="375" t="s">
        <v>4595</v>
      </c>
      <c r="B1198" s="372"/>
      <c r="C1198" s="373"/>
      <c r="D1198" s="45" t="s">
        <v>31</v>
      </c>
      <c r="E1198" s="379" t="s">
        <v>4596</v>
      </c>
      <c r="F1198" s="82" t="str">
        <f>IFERROR(VLOOKUP(E1198,客户!B:C,2,FALSE),"/")</f>
        <v>/</v>
      </c>
      <c r="G1198" s="379" t="s">
        <v>4597</v>
      </c>
      <c r="H1198" s="379"/>
      <c r="I1198" s="379"/>
      <c r="J1198" s="386"/>
      <c r="K1198" s="388"/>
      <c r="L1198" s="388"/>
      <c r="M1198" s="384"/>
      <c r="N1198" s="384"/>
      <c r="O1198" s="384"/>
      <c r="P1198" s="397"/>
      <c r="Q1198" s="397" t="s">
        <v>4598</v>
      </c>
      <c r="R1198" s="129"/>
      <c r="S1198" s="399"/>
      <c r="T1198" s="397"/>
      <c r="U1198" s="388"/>
      <c r="V1198" s="397"/>
      <c r="W1198" s="379"/>
    </row>
    <row r="1199" s="41" customFormat="1" ht="22" customHeight="1" spans="1:23">
      <c r="A1199" s="374" t="s">
        <v>4599</v>
      </c>
      <c r="B1199" s="372"/>
      <c r="C1199" s="373"/>
      <c r="D1199" s="45" t="s">
        <v>31</v>
      </c>
      <c r="E1199" s="384" t="s">
        <v>4600</v>
      </c>
      <c r="F1199" s="82" t="str">
        <f>IFERROR(VLOOKUP(E1199,客户!B:C,2,FALSE),"/")</f>
        <v>/</v>
      </c>
      <c r="G1199" s="384" t="s">
        <v>4601</v>
      </c>
      <c r="H1199" s="384" t="s">
        <v>154</v>
      </c>
      <c r="I1199" s="384"/>
      <c r="J1199" s="386"/>
      <c r="K1199" s="390"/>
      <c r="L1199" s="388"/>
      <c r="M1199" s="396"/>
      <c r="N1199" s="396"/>
      <c r="O1199" s="396"/>
      <c r="P1199" s="398"/>
      <c r="Q1199" s="398"/>
      <c r="R1199" s="129"/>
      <c r="S1199" s="399"/>
      <c r="T1199" s="397"/>
      <c r="U1199" s="388"/>
      <c r="V1199" s="398"/>
      <c r="W1199" s="384"/>
    </row>
    <row r="1200" s="41" customFormat="1" ht="22" customHeight="1" spans="1:23">
      <c r="A1200" s="374" t="s">
        <v>4602</v>
      </c>
      <c r="B1200" s="372"/>
      <c r="C1200" s="373"/>
      <c r="D1200" s="45" t="s">
        <v>31</v>
      </c>
      <c r="E1200" s="384" t="s">
        <v>4603</v>
      </c>
      <c r="F1200" s="82" t="str">
        <f>IFERROR(VLOOKUP(E1200,客户!B:C,2,FALSE),"/")</f>
        <v>/</v>
      </c>
      <c r="G1200" s="384" t="s">
        <v>4604</v>
      </c>
      <c r="H1200" s="384" t="s">
        <v>154</v>
      </c>
      <c r="I1200" s="384"/>
      <c r="J1200" s="386"/>
      <c r="K1200" s="388"/>
      <c r="L1200" s="388"/>
      <c r="M1200" s="398"/>
      <c r="N1200" s="398"/>
      <c r="O1200" s="398"/>
      <c r="P1200" s="398"/>
      <c r="Q1200" s="398"/>
      <c r="R1200" s="129"/>
      <c r="S1200" s="399"/>
      <c r="T1200" s="129">
        <v>19625.74</v>
      </c>
      <c r="U1200" s="388"/>
      <c r="V1200" s="397"/>
      <c r="W1200" s="374"/>
    </row>
    <row r="1201" s="40" customFormat="1" ht="22" customHeight="1" spans="1:23">
      <c r="A1201" s="376" t="s">
        <v>4605</v>
      </c>
      <c r="B1201" s="372"/>
      <c r="C1201" s="373"/>
      <c r="D1201" s="45" t="s">
        <v>31</v>
      </c>
      <c r="E1201" s="384" t="s">
        <v>4603</v>
      </c>
      <c r="F1201" s="82" t="str">
        <f>IFERROR(VLOOKUP(E1201,客户!B:C,2,FALSE),"/")</f>
        <v>/</v>
      </c>
      <c r="G1201" s="384" t="s">
        <v>4606</v>
      </c>
      <c r="H1201" s="384" t="s">
        <v>154</v>
      </c>
      <c r="I1201" s="384"/>
      <c r="J1201" s="386"/>
      <c r="K1201" s="388"/>
      <c r="L1201" s="388"/>
      <c r="M1201" s="396"/>
      <c r="N1201" s="396"/>
      <c r="O1201" s="396"/>
      <c r="P1201" s="397">
        <v>16504.01</v>
      </c>
      <c r="Q1201" s="397"/>
      <c r="R1201" s="129"/>
      <c r="S1201" s="399"/>
      <c r="T1201" s="397"/>
      <c r="U1201" s="388"/>
      <c r="V1201" s="397"/>
      <c r="W1201" s="374"/>
    </row>
    <row r="1202" s="40" customFormat="1" ht="22" customHeight="1" spans="1:23">
      <c r="A1202" s="142"/>
      <c r="B1202" s="174"/>
      <c r="C1202" s="175"/>
      <c r="D1202" s="45"/>
      <c r="E1202" s="73"/>
      <c r="F1202" s="82" t="str">
        <f>IFERROR(VLOOKUP(E1202,客户!B:C,2,FALSE),"/")</f>
        <v>/</v>
      </c>
      <c r="G1202" s="45"/>
      <c r="H1202" s="45"/>
      <c r="I1202" s="45"/>
      <c r="J1202" s="45"/>
      <c r="K1202" s="93"/>
      <c r="L1202" s="93"/>
      <c r="M1202" s="145"/>
      <c r="N1202" s="145"/>
      <c r="O1202" s="145"/>
      <c r="P1202" s="107"/>
      <c r="Q1202" s="107"/>
      <c r="R1202" s="129"/>
      <c r="S1202" s="399"/>
      <c r="T1202" s="107"/>
      <c r="U1202" s="93"/>
      <c r="V1202" s="107"/>
      <c r="W1202" s="45"/>
    </row>
    <row r="1203" spans="19:19">
      <c r="S1203" s="404"/>
    </row>
    <row r="1204" spans="19:19">
      <c r="S1204" s="404"/>
    </row>
    <row r="1205" spans="1:19">
      <c r="A1205" s="46" t="s">
        <v>4607</v>
      </c>
      <c r="S1205" s="399"/>
    </row>
    <row r="1206" ht="21" customHeight="1" spans="1:20">
      <c r="A1206" s="260" t="s">
        <v>4608</v>
      </c>
      <c r="B1206" s="174" t="s">
        <v>4516</v>
      </c>
      <c r="C1206" s="175"/>
      <c r="D1206" s="45" t="s">
        <v>31</v>
      </c>
      <c r="E1206" s="83" t="s">
        <v>4609</v>
      </c>
      <c r="F1206" s="82">
        <f>IFERROR(VLOOKUP(E1206,客户!B:C,2,FALSE),"/")</f>
        <v>0</v>
      </c>
      <c r="G1206" s="308" t="s">
        <v>4610</v>
      </c>
      <c r="H1206" s="324" t="s">
        <v>186</v>
      </c>
      <c r="I1206" s="110"/>
      <c r="J1206" s="110">
        <v>44574</v>
      </c>
      <c r="K1206" s="93">
        <v>44574</v>
      </c>
      <c r="L1206" s="93"/>
      <c r="M1206" s="315"/>
      <c r="N1206" s="339"/>
      <c r="O1206" s="264" t="s">
        <v>970</v>
      </c>
      <c r="P1206" s="240">
        <v>620</v>
      </c>
      <c r="S1206" s="399"/>
      <c r="T1206" s="240">
        <v>620</v>
      </c>
    </row>
    <row r="1207" spans="19:19">
      <c r="S1207" s="399"/>
    </row>
    <row r="1208" spans="19:19">
      <c r="S1208" s="399"/>
    </row>
    <row r="1209" spans="19:19">
      <c r="S1209" s="399"/>
    </row>
    <row r="1210" spans="19:19">
      <c r="S1210" s="399"/>
    </row>
    <row r="1211" spans="19:19">
      <c r="S1211" s="399"/>
    </row>
    <row r="1212" spans="19:19">
      <c r="S1212" s="399"/>
    </row>
    <row r="1213" spans="19:19">
      <c r="S1213" s="399"/>
    </row>
    <row r="1214" spans="19:19">
      <c r="S1214" s="399"/>
    </row>
    <row r="1215" spans="19:19">
      <c r="S1215" s="399"/>
    </row>
    <row r="1216" spans="19:19">
      <c r="S1216" s="399"/>
    </row>
    <row r="1217" spans="19:19">
      <c r="S1217" s="399"/>
    </row>
    <row r="1218" spans="19:19">
      <c r="S1218" s="399"/>
    </row>
    <row r="1219" spans="19:19">
      <c r="S1219" s="399"/>
    </row>
    <row r="1220" spans="19:19">
      <c r="S1220" s="399"/>
    </row>
    <row r="1221" spans="19:19">
      <c r="S1221" s="399"/>
    </row>
    <row r="1222" spans="19:19">
      <c r="S1222" s="399"/>
    </row>
    <row r="1223" spans="19:19">
      <c r="S1223" s="399"/>
    </row>
    <row r="1224" spans="19:19">
      <c r="S1224" s="399"/>
    </row>
    <row r="1225" spans="19:19">
      <c r="S1225" s="399"/>
    </row>
    <row r="1226" spans="19:19">
      <c r="S1226" s="399"/>
    </row>
    <row r="1227" spans="19:19">
      <c r="S1227" s="399"/>
    </row>
    <row r="1228" spans="19:19">
      <c r="S1228" s="399"/>
    </row>
    <row r="1229" spans="19:19">
      <c r="S1229" s="399"/>
    </row>
    <row r="1230" spans="19:19">
      <c r="S1230" s="399"/>
    </row>
    <row r="1231" spans="19:19">
      <c r="S1231" s="399"/>
    </row>
    <row r="1232" spans="19:19">
      <c r="S1232" s="399"/>
    </row>
    <row r="1233" spans="19:19">
      <c r="S1233" s="399"/>
    </row>
    <row r="1234" spans="19:19">
      <c r="S1234" s="399"/>
    </row>
    <row r="1235" spans="19:19">
      <c r="S1235" s="399"/>
    </row>
    <row r="1236" spans="19:19">
      <c r="S1236" s="399"/>
    </row>
    <row r="1237" spans="19:19">
      <c r="S1237" s="399"/>
    </row>
    <row r="1238" spans="19:19">
      <c r="S1238" s="399"/>
    </row>
    <row r="1239" spans="19:19">
      <c r="S1239" s="399"/>
    </row>
    <row r="1240" spans="19:19">
      <c r="S1240" s="399"/>
    </row>
    <row r="1241" spans="19:19">
      <c r="S1241" s="399"/>
    </row>
    <row r="1242" spans="19:19">
      <c r="S1242" s="399"/>
    </row>
    <row r="1243" spans="19:19">
      <c r="S1243" s="399"/>
    </row>
    <row r="1244" spans="19:19">
      <c r="S1244" s="399"/>
    </row>
    <row r="1245" spans="19:19">
      <c r="S1245" s="399"/>
    </row>
    <row r="1246" spans="19:19">
      <c r="S1246" s="399"/>
    </row>
    <row r="1247" spans="19:19">
      <c r="S1247" s="399"/>
    </row>
    <row r="1248" spans="19:19">
      <c r="S1248" s="399"/>
    </row>
    <row r="1249" spans="19:19">
      <c r="S1249" s="399"/>
    </row>
    <row r="1250" spans="19:19">
      <c r="S1250" s="399"/>
    </row>
    <row r="1251" spans="19:19">
      <c r="S1251" s="399"/>
    </row>
    <row r="1252" spans="19:19">
      <c r="S1252" s="399"/>
    </row>
    <row r="1253" spans="19:19">
      <c r="S1253" s="399"/>
    </row>
    <row r="1254" spans="19:19">
      <c r="S1254" s="399"/>
    </row>
    <row r="1255" spans="19:19">
      <c r="S1255" s="399"/>
    </row>
    <row r="1256" spans="19:19">
      <c r="S1256" s="399"/>
    </row>
    <row r="1257" spans="19:19">
      <c r="S1257" s="399"/>
    </row>
    <row r="1258" spans="19:19">
      <c r="S1258" s="399"/>
    </row>
    <row r="1259" spans="19:19">
      <c r="S1259" s="399"/>
    </row>
    <row r="1260" spans="19:19">
      <c r="S1260" s="399"/>
    </row>
    <row r="1261" spans="19:19">
      <c r="S1261" s="399"/>
    </row>
    <row r="1262" spans="19:19">
      <c r="S1262" s="399"/>
    </row>
    <row r="1263" spans="19:19">
      <c r="S1263" s="399"/>
    </row>
    <row r="1264" spans="19:19">
      <c r="S1264" s="399"/>
    </row>
    <row r="1265" spans="19:19">
      <c r="S1265" s="399"/>
    </row>
    <row r="1266" spans="19:19">
      <c r="S1266" s="399"/>
    </row>
    <row r="1267" spans="19:19">
      <c r="S1267" s="399"/>
    </row>
    <row r="1268" spans="19:19">
      <c r="S1268" s="399"/>
    </row>
    <row r="1269" spans="19:19">
      <c r="S1269" s="399"/>
    </row>
    <row r="1270" spans="19:19">
      <c r="S1270" s="399"/>
    </row>
    <row r="1271" spans="19:19">
      <c r="S1271" s="399"/>
    </row>
    <row r="1272" spans="19:19">
      <c r="S1272" s="399"/>
    </row>
    <row r="1273" spans="19:19">
      <c r="S1273" s="399"/>
    </row>
    <row r="1274" spans="19:19">
      <c r="S1274" s="399"/>
    </row>
    <row r="1275" spans="19:19">
      <c r="S1275" s="399"/>
    </row>
    <row r="1276" spans="19:19">
      <c r="S1276" s="399"/>
    </row>
    <row r="1277" spans="19:19">
      <c r="S1277" s="399"/>
    </row>
    <row r="1278" spans="19:19">
      <c r="S1278" s="399"/>
    </row>
    <row r="1279" spans="19:19">
      <c r="S1279" s="399"/>
    </row>
    <row r="1280" spans="19:19">
      <c r="S1280" s="399"/>
    </row>
    <row r="1281" spans="19:19">
      <c r="S1281" s="399"/>
    </row>
    <row r="1282" spans="19:19">
      <c r="S1282" s="399"/>
    </row>
    <row r="1283" spans="19:19">
      <c r="S1283" s="399"/>
    </row>
    <row r="1284" spans="19:19">
      <c r="S1284" s="399"/>
    </row>
    <row r="1285" spans="19:19">
      <c r="S1285" s="399"/>
    </row>
    <row r="1286" spans="19:19">
      <c r="S1286" s="399"/>
    </row>
    <row r="1287" spans="19:19">
      <c r="S1287" s="399"/>
    </row>
    <row r="1288" spans="19:19">
      <c r="S1288" s="399"/>
    </row>
    <row r="1289" spans="19:19">
      <c r="S1289" s="399"/>
    </row>
    <row r="1290" spans="19:19">
      <c r="S1290" s="399"/>
    </row>
    <row r="1291" spans="19:19">
      <c r="S1291" s="399"/>
    </row>
    <row r="1292" spans="19:19">
      <c r="S1292" s="399"/>
    </row>
    <row r="1293" spans="19:19">
      <c r="S1293" s="399"/>
    </row>
    <row r="1294" spans="19:19">
      <c r="S1294" s="399"/>
    </row>
    <row r="1295" spans="19:19">
      <c r="S1295" s="399"/>
    </row>
    <row r="1296" spans="19:19">
      <c r="S1296" s="399"/>
    </row>
    <row r="1297" spans="19:19">
      <c r="S1297" s="399"/>
    </row>
    <row r="1298" spans="19:19">
      <c r="S1298" s="399"/>
    </row>
    <row r="1299" spans="19:19">
      <c r="S1299" s="399"/>
    </row>
    <row r="1300" spans="19:19">
      <c r="S1300" s="399"/>
    </row>
    <row r="1301" spans="19:19">
      <c r="S1301" s="399"/>
    </row>
    <row r="1302" spans="19:19">
      <c r="S1302" s="399"/>
    </row>
    <row r="1303" spans="19:19">
      <c r="S1303" s="399"/>
    </row>
    <row r="1304" spans="19:19">
      <c r="S1304" s="399"/>
    </row>
    <row r="1305" spans="19:19">
      <c r="S1305" s="399"/>
    </row>
    <row r="1306" spans="19:19">
      <c r="S1306" s="399"/>
    </row>
    <row r="1307" spans="19:19">
      <c r="S1307" s="399"/>
    </row>
    <row r="1308" spans="19:19">
      <c r="S1308" s="399"/>
    </row>
    <row r="1309" spans="19:19">
      <c r="S1309" s="399"/>
    </row>
    <row r="1310" spans="19:19">
      <c r="S1310" s="399"/>
    </row>
    <row r="1311" spans="19:19">
      <c r="S1311" s="399"/>
    </row>
    <row r="1312" spans="19:19">
      <c r="S1312" s="399"/>
    </row>
    <row r="1313" spans="19:19">
      <c r="S1313" s="399"/>
    </row>
    <row r="1314" spans="19:19">
      <c r="S1314" s="399"/>
    </row>
    <row r="1315" spans="19:19">
      <c r="S1315" s="399"/>
    </row>
    <row r="1316" spans="19:19">
      <c r="S1316" s="399"/>
    </row>
    <row r="1317" spans="19:19">
      <c r="S1317" s="399"/>
    </row>
    <row r="1318" spans="19:19">
      <c r="S1318" s="399"/>
    </row>
    <row r="1319" spans="19:19">
      <c r="S1319" s="399"/>
    </row>
    <row r="1320" spans="19:19">
      <c r="S1320" s="399"/>
    </row>
    <row r="1321" spans="19:19">
      <c r="S1321" s="399"/>
    </row>
    <row r="1322" spans="19:19">
      <c r="S1322" s="399"/>
    </row>
    <row r="1323" spans="19:19">
      <c r="S1323" s="399"/>
    </row>
    <row r="1324" spans="19:19">
      <c r="S1324" s="399"/>
    </row>
    <row r="1325" spans="19:19">
      <c r="S1325" s="399"/>
    </row>
    <row r="1326" spans="19:19">
      <c r="S1326" s="399"/>
    </row>
    <row r="1327" spans="19:19">
      <c r="S1327" s="399"/>
    </row>
    <row r="1328" spans="19:19">
      <c r="S1328" s="399"/>
    </row>
    <row r="1329" spans="19:19">
      <c r="S1329" s="399"/>
    </row>
    <row r="1330" spans="19:19">
      <c r="S1330" s="399"/>
    </row>
    <row r="1331" spans="19:19">
      <c r="S1331" s="399"/>
    </row>
    <row r="1332" spans="19:19">
      <c r="S1332" s="399"/>
    </row>
    <row r="1333" spans="19:19">
      <c r="S1333" s="399"/>
    </row>
    <row r="1334" spans="19:19">
      <c r="S1334" s="399"/>
    </row>
    <row r="1335" spans="19:19">
      <c r="S1335" s="399"/>
    </row>
    <row r="1336" spans="19:19">
      <c r="S1336" s="399"/>
    </row>
    <row r="1337" spans="19:19">
      <c r="S1337" s="399"/>
    </row>
    <row r="1338" spans="19:19">
      <c r="S1338" s="399"/>
    </row>
    <row r="1339" spans="19:19">
      <c r="S1339" s="399"/>
    </row>
    <row r="1340" spans="19:19">
      <c r="S1340" s="399"/>
    </row>
    <row r="1341" spans="19:19">
      <c r="S1341" s="399"/>
    </row>
    <row r="1342" spans="19:19">
      <c r="S1342" s="399"/>
    </row>
    <row r="1343" spans="19:19">
      <c r="S1343" s="399"/>
    </row>
    <row r="1344" spans="19:19">
      <c r="S1344" s="399"/>
    </row>
    <row r="1345" spans="19:19">
      <c r="S1345" s="399"/>
    </row>
    <row r="1346" spans="19:19">
      <c r="S1346" s="399"/>
    </row>
    <row r="1347" spans="19:19">
      <c r="S1347" s="399"/>
    </row>
    <row r="1348" spans="19:19">
      <c r="S1348" s="399"/>
    </row>
    <row r="1349" spans="19:19">
      <c r="S1349" s="399"/>
    </row>
    <row r="1350" spans="19:19">
      <c r="S1350" s="399"/>
    </row>
    <row r="1351" spans="19:19">
      <c r="S1351" s="399"/>
    </row>
    <row r="1352" spans="19:19">
      <c r="S1352" s="399"/>
    </row>
    <row r="1353" spans="19:19">
      <c r="S1353" s="399"/>
    </row>
    <row r="1354" spans="19:19">
      <c r="S1354" s="399"/>
    </row>
    <row r="1355" spans="19:19">
      <c r="S1355" s="399"/>
    </row>
    <row r="1356" spans="19:19">
      <c r="S1356" s="399"/>
    </row>
    <row r="1357" spans="19:19">
      <c r="S1357" s="399"/>
    </row>
    <row r="1358" spans="19:19">
      <c r="S1358" s="399"/>
    </row>
    <row r="1359" spans="19:19">
      <c r="S1359" s="399"/>
    </row>
    <row r="1360" spans="19:19">
      <c r="S1360" s="399"/>
    </row>
    <row r="1361" spans="19:19">
      <c r="S1361" s="399"/>
    </row>
    <row r="1362" spans="19:19">
      <c r="S1362" s="399"/>
    </row>
    <row r="1363" spans="19:19">
      <c r="S1363" s="399"/>
    </row>
    <row r="1364" spans="19:19">
      <c r="S1364" s="399"/>
    </row>
    <row r="1365" spans="19:19">
      <c r="S1365" s="399"/>
    </row>
    <row r="1366" spans="19:19">
      <c r="S1366" s="399"/>
    </row>
    <row r="1367" spans="19:19">
      <c r="S1367" s="399"/>
    </row>
    <row r="1368" spans="19:19">
      <c r="S1368" s="399"/>
    </row>
    <row r="1369" spans="19:19">
      <c r="S1369" s="399"/>
    </row>
    <row r="1370" spans="19:19">
      <c r="S1370" s="399"/>
    </row>
    <row r="1371" spans="19:19">
      <c r="S1371" s="399"/>
    </row>
    <row r="1372" spans="19:19">
      <c r="S1372" s="399"/>
    </row>
    <row r="1373" spans="19:19">
      <c r="S1373" s="399"/>
    </row>
    <row r="1374" spans="19:19">
      <c r="S1374" s="399"/>
    </row>
    <row r="1375" spans="19:19">
      <c r="S1375" s="399"/>
    </row>
    <row r="1376" spans="19:19">
      <c r="S1376" s="399"/>
    </row>
    <row r="1377" spans="19:19">
      <c r="S1377" s="408"/>
    </row>
    <row r="1378" spans="19:19">
      <c r="S1378" s="408"/>
    </row>
    <row r="1379" spans="19:19">
      <c r="S1379" s="408"/>
    </row>
    <row r="1380" spans="19:19">
      <c r="S1380" s="408"/>
    </row>
    <row r="1381" spans="19:19">
      <c r="S1381" s="408"/>
    </row>
    <row r="1382" spans="19:19">
      <c r="S1382" s="408"/>
    </row>
    <row r="1383" spans="19:19">
      <c r="S1383" s="408"/>
    </row>
    <row r="1384" spans="19:19">
      <c r="S1384" s="408"/>
    </row>
    <row r="1385" spans="19:19">
      <c r="S1385" s="408"/>
    </row>
    <row r="1386" spans="19:19">
      <c r="S1386" s="408"/>
    </row>
    <row r="1387" spans="19:19">
      <c r="S1387" s="408"/>
    </row>
    <row r="1388" spans="19:19">
      <c r="S1388" s="408"/>
    </row>
    <row r="1389" spans="19:19">
      <c r="S1389" s="408"/>
    </row>
    <row r="1390" spans="19:19">
      <c r="S1390" s="408"/>
    </row>
    <row r="1391" spans="19:19">
      <c r="S1391" s="408"/>
    </row>
    <row r="1392" spans="19:19">
      <c r="S1392" s="408"/>
    </row>
    <row r="1393" spans="19:19">
      <c r="S1393" s="408"/>
    </row>
    <row r="1394" spans="19:19">
      <c r="S1394" s="408"/>
    </row>
    <row r="1395" spans="19:19">
      <c r="S1395" s="408"/>
    </row>
    <row r="1396" spans="19:19">
      <c r="S1396" s="408"/>
    </row>
    <row r="1397" spans="19:19">
      <c r="S1397" s="408"/>
    </row>
    <row r="1398" spans="19:19">
      <c r="S1398" s="408"/>
    </row>
    <row r="1399" spans="19:19">
      <c r="S1399" s="408"/>
    </row>
    <row r="1400" spans="19:19">
      <c r="S1400" s="408"/>
    </row>
    <row r="1401" spans="19:19">
      <c r="S1401" s="408"/>
    </row>
    <row r="1402" spans="19:19">
      <c r="S1402" s="408"/>
    </row>
    <row r="1403" spans="19:19">
      <c r="S1403" s="408"/>
    </row>
    <row r="1404" spans="19:19">
      <c r="S1404" s="408"/>
    </row>
    <row r="1405" spans="19:19">
      <c r="S1405" s="408"/>
    </row>
    <row r="1406" spans="19:19">
      <c r="S1406" s="408"/>
    </row>
    <row r="1407" spans="19:19">
      <c r="S1407" s="408"/>
    </row>
    <row r="1408" spans="19:19">
      <c r="S1408" s="408"/>
    </row>
    <row r="1409" spans="19:19">
      <c r="S1409" s="408"/>
    </row>
    <row r="1410" spans="19:19">
      <c r="S1410" s="408"/>
    </row>
    <row r="1411" spans="19:19">
      <c r="S1411" s="408"/>
    </row>
    <row r="1412" spans="19:19">
      <c r="S1412" s="408"/>
    </row>
    <row r="1413" spans="19:19">
      <c r="S1413" s="408"/>
    </row>
    <row r="1414" spans="19:19">
      <c r="S1414" s="408"/>
    </row>
    <row r="1415" spans="19:19">
      <c r="S1415" s="408"/>
    </row>
    <row r="1416" spans="19:19">
      <c r="S1416" s="408"/>
    </row>
    <row r="1417" spans="19:19">
      <c r="S1417" s="408"/>
    </row>
    <row r="1418" spans="19:19">
      <c r="S1418" s="408"/>
    </row>
    <row r="1419" spans="19:19">
      <c r="S1419" s="408"/>
    </row>
    <row r="1420" spans="19:19">
      <c r="S1420" s="408"/>
    </row>
    <row r="1421" spans="19:19">
      <c r="S1421" s="408"/>
    </row>
    <row r="1422" spans="19:19">
      <c r="S1422" s="408"/>
    </row>
    <row r="1423" spans="19:19">
      <c r="S1423" s="408"/>
    </row>
    <row r="1424" spans="19:19">
      <c r="S1424" s="408"/>
    </row>
    <row r="1425" spans="19:19">
      <c r="S1425" s="408"/>
    </row>
    <row r="1426" spans="19:19">
      <c r="S1426" s="408"/>
    </row>
    <row r="1427" spans="19:19">
      <c r="S1427" s="408"/>
    </row>
    <row r="1428" spans="19:19">
      <c r="S1428" s="408"/>
    </row>
    <row r="1429" spans="19:19">
      <c r="S1429" s="408"/>
    </row>
    <row r="1430" spans="19:19">
      <c r="S1430" s="408"/>
    </row>
    <row r="1431" spans="19:19">
      <c r="S1431" s="408"/>
    </row>
    <row r="1432" spans="19:19">
      <c r="S1432" s="408"/>
    </row>
    <row r="1433" spans="19:19">
      <c r="S1433" s="408"/>
    </row>
    <row r="1434" spans="19:19">
      <c r="S1434" s="408"/>
    </row>
    <row r="1435" spans="19:19">
      <c r="S1435" s="408"/>
    </row>
    <row r="1436" spans="19:19">
      <c r="S1436" s="408"/>
    </row>
    <row r="1437" spans="19:19">
      <c r="S1437" s="408"/>
    </row>
    <row r="1438" spans="19:19">
      <c r="S1438" s="408"/>
    </row>
    <row r="1439" spans="19:19">
      <c r="S1439" s="408"/>
    </row>
    <row r="1440" spans="19:19">
      <c r="S1440" s="408"/>
    </row>
    <row r="1441" spans="19:19">
      <c r="S1441" s="408"/>
    </row>
    <row r="1442" spans="19:19">
      <c r="S1442" s="408"/>
    </row>
    <row r="1443" spans="19:19">
      <c r="S1443" s="408"/>
    </row>
    <row r="1444" spans="19:19">
      <c r="S1444" s="408"/>
    </row>
    <row r="1445" spans="19:19">
      <c r="S1445" s="408"/>
    </row>
    <row r="1446" spans="19:19">
      <c r="S1446" s="408"/>
    </row>
    <row r="1447" spans="19:19">
      <c r="S1447" s="408"/>
    </row>
    <row r="1448" spans="19:19">
      <c r="S1448" s="408"/>
    </row>
    <row r="1449" spans="19:19">
      <c r="S1449" s="408"/>
    </row>
    <row r="1450" spans="19:19">
      <c r="S1450" s="408"/>
    </row>
    <row r="1451" spans="19:19">
      <c r="S1451" s="408"/>
    </row>
    <row r="1452" spans="19:19">
      <c r="S1452" s="408"/>
    </row>
    <row r="1453" spans="19:19">
      <c r="S1453" s="408"/>
    </row>
    <row r="1454" spans="19:19">
      <c r="S1454" s="408"/>
    </row>
    <row r="1455" spans="19:19">
      <c r="S1455" s="408"/>
    </row>
    <row r="1456" spans="19:19">
      <c r="S1456" s="408"/>
    </row>
    <row r="1457" spans="19:19">
      <c r="S1457" s="408"/>
    </row>
    <row r="1458" spans="19:19">
      <c r="S1458" s="408"/>
    </row>
    <row r="1459" spans="19:19">
      <c r="S1459" s="408"/>
    </row>
    <row r="1460" spans="19:19">
      <c r="S1460" s="408"/>
    </row>
    <row r="1461" spans="19:19">
      <c r="S1461" s="408"/>
    </row>
    <row r="1462" spans="19:19">
      <c r="S1462" s="408"/>
    </row>
    <row r="1463" spans="19:19">
      <c r="S1463" s="408"/>
    </row>
    <row r="1464" spans="19:19">
      <c r="S1464" s="408"/>
    </row>
    <row r="1465" spans="19:19">
      <c r="S1465" s="408"/>
    </row>
    <row r="1466" spans="19:19">
      <c r="S1466" s="408"/>
    </row>
    <row r="1467" spans="19:19">
      <c r="S1467" s="408"/>
    </row>
    <row r="1468" spans="19:19">
      <c r="S1468" s="408"/>
    </row>
    <row r="1469" spans="19:19">
      <c r="S1469" s="408"/>
    </row>
    <row r="1470" spans="19:19">
      <c r="S1470" s="408"/>
    </row>
    <row r="1471" spans="19:19">
      <c r="S1471" s="408"/>
    </row>
    <row r="1472" spans="19:19">
      <c r="S1472" s="408"/>
    </row>
    <row r="1473" spans="19:19">
      <c r="S1473" s="408"/>
    </row>
    <row r="1527" spans="1:1">
      <c r="A1527" s="291"/>
    </row>
    <row r="1561" spans="16:17">
      <c r="P1561" s="335"/>
      <c r="Q1561" s="335"/>
    </row>
  </sheetData>
  <autoFilter ref="A3:X1560"/>
  <mergeCells count="48">
    <mergeCell ref="M134:M135"/>
    <mergeCell ref="N103:N104"/>
    <mergeCell ref="N134:N135"/>
    <mergeCell ref="N625:N626"/>
    <mergeCell ref="P5:P6"/>
    <mergeCell ref="P22:P23"/>
    <mergeCell ref="P61:P62"/>
    <mergeCell ref="P103:P104"/>
    <mergeCell ref="P134:P135"/>
    <mergeCell ref="P153:P154"/>
    <mergeCell ref="P165:P166"/>
    <mergeCell ref="P636:P637"/>
    <mergeCell ref="P765:P766"/>
    <mergeCell ref="P768:P769"/>
    <mergeCell ref="Q19:Q20"/>
    <mergeCell ref="Q22:Q23"/>
    <mergeCell ref="Q26:Q29"/>
    <mergeCell ref="Q68:Q69"/>
    <mergeCell ref="Q87:Q88"/>
    <mergeCell ref="Q199:Q200"/>
    <mergeCell ref="Q540:Q541"/>
    <mergeCell ref="Q557:Q558"/>
    <mergeCell ref="Q579:Q580"/>
    <mergeCell ref="Q589:Q590"/>
    <mergeCell ref="Q763:Q764"/>
    <mergeCell ref="Q1110:Q1111"/>
    <mergeCell ref="R153:R154"/>
    <mergeCell ref="R165:R166"/>
    <mergeCell ref="R199:R200"/>
    <mergeCell ref="R557:R558"/>
    <mergeCell ref="R579:R580"/>
    <mergeCell ref="R763:R764"/>
    <mergeCell ref="R765:R766"/>
    <mergeCell ref="R768:R769"/>
    <mergeCell ref="T5:T6"/>
    <mergeCell ref="T22:T23"/>
    <mergeCell ref="T61:T62"/>
    <mergeCell ref="T513:T514"/>
    <mergeCell ref="T557:T558"/>
    <mergeCell ref="T574:T575"/>
    <mergeCell ref="T579:T580"/>
    <mergeCell ref="T589:T590"/>
    <mergeCell ref="T636:T637"/>
    <mergeCell ref="T763:T764"/>
    <mergeCell ref="T765:T766"/>
    <mergeCell ref="T768:T769"/>
    <mergeCell ref="U513:U514"/>
    <mergeCell ref="X144:X151"/>
  </mergeCells>
  <conditionalFormatting sqref="R182">
    <cfRule type="cellIs" dxfId="0" priority="1170" operator="equal">
      <formula>0</formula>
    </cfRule>
  </conditionalFormatting>
  <conditionalFormatting sqref="R183">
    <cfRule type="cellIs" dxfId="0" priority="1169" operator="equal">
      <formula>0</formula>
    </cfRule>
  </conditionalFormatting>
  <conditionalFormatting sqref="R203">
    <cfRule type="cellIs" dxfId="0" priority="1195" operator="equal">
      <formula>0</formula>
    </cfRule>
  </conditionalFormatting>
  <conditionalFormatting sqref="R204">
    <cfRule type="cellIs" dxfId="0" priority="1194" operator="equal">
      <formula>0</formula>
    </cfRule>
  </conditionalFormatting>
  <conditionalFormatting sqref="R205">
    <cfRule type="cellIs" dxfId="0" priority="1193" operator="equal">
      <formula>0</formula>
    </cfRule>
  </conditionalFormatting>
  <conditionalFormatting sqref="R206">
    <cfRule type="cellIs" dxfId="0" priority="1192" operator="equal">
      <formula>0</formula>
    </cfRule>
  </conditionalFormatting>
  <conditionalFormatting sqref="R207">
    <cfRule type="cellIs" dxfId="0" priority="1191" operator="equal">
      <formula>0</formula>
    </cfRule>
  </conditionalFormatting>
  <conditionalFormatting sqref="R208">
    <cfRule type="cellIs" dxfId="0" priority="1190" operator="equal">
      <formula>0</formula>
    </cfRule>
  </conditionalFormatting>
  <conditionalFormatting sqref="R209">
    <cfRule type="cellIs" dxfId="0" priority="1189" operator="equal">
      <formula>0</formula>
    </cfRule>
  </conditionalFormatting>
  <conditionalFormatting sqref="R210">
    <cfRule type="cellIs" dxfId="0" priority="1188" operator="equal">
      <formula>0</formula>
    </cfRule>
  </conditionalFormatting>
  <conditionalFormatting sqref="R211">
    <cfRule type="cellIs" dxfId="0" priority="1187" operator="equal">
      <formula>0</formula>
    </cfRule>
  </conditionalFormatting>
  <conditionalFormatting sqref="R212">
    <cfRule type="cellIs" dxfId="0" priority="1186" operator="equal">
      <formula>0</formula>
    </cfRule>
  </conditionalFormatting>
  <conditionalFormatting sqref="R213">
    <cfRule type="cellIs" dxfId="0" priority="1185" operator="equal">
      <formula>0</formula>
    </cfRule>
  </conditionalFormatting>
  <conditionalFormatting sqref="R214">
    <cfRule type="cellIs" dxfId="0" priority="1184" operator="equal">
      <formula>0</formula>
    </cfRule>
  </conditionalFormatting>
  <conditionalFormatting sqref="R215">
    <cfRule type="cellIs" dxfId="0" priority="1183" operator="equal">
      <formula>0</formula>
    </cfRule>
  </conditionalFormatting>
  <conditionalFormatting sqref="R216">
    <cfRule type="cellIs" dxfId="0" priority="1182" operator="equal">
      <formula>0</formula>
    </cfRule>
  </conditionalFormatting>
  <conditionalFormatting sqref="R217">
    <cfRule type="cellIs" dxfId="0" priority="1181" operator="equal">
      <formula>0</formula>
    </cfRule>
  </conditionalFormatting>
  <conditionalFormatting sqref="R218">
    <cfRule type="cellIs" dxfId="0" priority="1180" operator="equal">
      <formula>0</formula>
    </cfRule>
  </conditionalFormatting>
  <conditionalFormatting sqref="R219">
    <cfRule type="cellIs" dxfId="0" priority="1179" operator="equal">
      <formula>0</formula>
    </cfRule>
  </conditionalFormatting>
  <conditionalFormatting sqref="R220">
    <cfRule type="cellIs" dxfId="0" priority="1178" operator="equal">
      <formula>0</formula>
    </cfRule>
  </conditionalFormatting>
  <conditionalFormatting sqref="R221">
    <cfRule type="cellIs" dxfId="0" priority="1177" operator="equal">
      <formula>0</formula>
    </cfRule>
  </conditionalFormatting>
  <conditionalFormatting sqref="R222">
    <cfRule type="cellIs" dxfId="0" priority="1176" operator="equal">
      <formula>0</formula>
    </cfRule>
  </conditionalFormatting>
  <conditionalFormatting sqref="R223">
    <cfRule type="cellIs" dxfId="0" priority="1175" operator="equal">
      <formula>0</formula>
    </cfRule>
  </conditionalFormatting>
  <conditionalFormatting sqref="R224">
    <cfRule type="cellIs" dxfId="0" priority="1174" operator="equal">
      <formula>0</formula>
    </cfRule>
  </conditionalFormatting>
  <conditionalFormatting sqref="R225">
    <cfRule type="cellIs" dxfId="0" priority="1173" operator="equal">
      <formula>0</formula>
    </cfRule>
  </conditionalFormatting>
  <conditionalFormatting sqref="R261">
    <cfRule type="cellIs" dxfId="0" priority="1230" operator="equal">
      <formula>0</formula>
    </cfRule>
  </conditionalFormatting>
  <conditionalFormatting sqref="R262">
    <cfRule type="cellIs" dxfId="0" priority="1227" operator="equal">
      <formula>0</formula>
    </cfRule>
  </conditionalFormatting>
  <conditionalFormatting sqref="R263">
    <cfRule type="cellIs" dxfId="0" priority="1228" operator="equal">
      <formula>0</formula>
    </cfRule>
  </conditionalFormatting>
  <conditionalFormatting sqref="R269">
    <cfRule type="cellIs" dxfId="0" priority="1267" operator="equal">
      <formula>0</formula>
    </cfRule>
  </conditionalFormatting>
  <conditionalFormatting sqref="R270">
    <cfRule type="cellIs" dxfId="0" priority="1222" operator="equal">
      <formula>0</formula>
    </cfRule>
  </conditionalFormatting>
  <conditionalFormatting sqref="R271">
    <cfRule type="cellIs" dxfId="0" priority="1221" operator="equal">
      <formula>0</formula>
    </cfRule>
  </conditionalFormatting>
  <conditionalFormatting sqref="R272">
    <cfRule type="cellIs" dxfId="0" priority="1220" operator="equal">
      <formula>0</formula>
    </cfRule>
  </conditionalFormatting>
  <conditionalFormatting sqref="R273">
    <cfRule type="cellIs" dxfId="0" priority="1219" operator="equal">
      <formula>0</formula>
    </cfRule>
  </conditionalFormatting>
  <conditionalFormatting sqref="R276">
    <cfRule type="cellIs" dxfId="0" priority="1261" operator="equal">
      <formula>0</formula>
    </cfRule>
  </conditionalFormatting>
  <conditionalFormatting sqref="R277">
    <cfRule type="cellIs" dxfId="0" priority="1260" operator="equal">
      <formula>0</formula>
    </cfRule>
  </conditionalFormatting>
  <conditionalFormatting sqref="R278">
    <cfRule type="cellIs" dxfId="0" priority="1259" operator="equal">
      <formula>0</formula>
    </cfRule>
  </conditionalFormatting>
  <conditionalFormatting sqref="R279">
    <cfRule type="cellIs" dxfId="0" priority="1258" operator="equal">
      <formula>0</formula>
    </cfRule>
  </conditionalFormatting>
  <conditionalFormatting sqref="R280">
    <cfRule type="cellIs" dxfId="0" priority="1257" operator="equal">
      <formula>0</formula>
    </cfRule>
  </conditionalFormatting>
  <conditionalFormatting sqref="R281">
    <cfRule type="cellIs" dxfId="0" priority="1256" operator="equal">
      <formula>0</formula>
    </cfRule>
  </conditionalFormatting>
  <conditionalFormatting sqref="R282">
    <cfRule type="cellIs" dxfId="0" priority="1255" operator="equal">
      <formula>0</formula>
    </cfRule>
  </conditionalFormatting>
  <conditionalFormatting sqref="R283">
    <cfRule type="cellIs" dxfId="0" priority="1254" operator="equal">
      <formula>0</formula>
    </cfRule>
  </conditionalFormatting>
  <conditionalFormatting sqref="R284">
    <cfRule type="cellIs" dxfId="0" priority="1253" operator="equal">
      <formula>0</formula>
    </cfRule>
  </conditionalFormatting>
  <conditionalFormatting sqref="D286">
    <cfRule type="cellIs" dxfId="1" priority="1046" operator="equal">
      <formula>"等款"</formula>
    </cfRule>
    <cfRule type="cellIs" dxfId="2" priority="1047" operator="equal">
      <formula>"单据"</formula>
    </cfRule>
    <cfRule type="cellIs" dxfId="3" priority="1048" operator="equal">
      <formula>"发货"</formula>
    </cfRule>
  </conditionalFormatting>
  <conditionalFormatting sqref="F286">
    <cfRule type="cellIs" dxfId="4" priority="1044" operator="equal">
      <formula>"/"</formula>
    </cfRule>
    <cfRule type="cellIs" dxfId="5" priority="1045" operator="equal">
      <formula>0</formula>
    </cfRule>
  </conditionalFormatting>
  <conditionalFormatting sqref="R287">
    <cfRule type="cellIs" dxfId="0" priority="1251" operator="equal">
      <formula>0</formula>
    </cfRule>
  </conditionalFormatting>
  <conditionalFormatting sqref="R288">
    <cfRule type="cellIs" dxfId="0" priority="1250" operator="equal">
      <formula>0</formula>
    </cfRule>
  </conditionalFormatting>
  <conditionalFormatting sqref="R289">
    <cfRule type="cellIs" dxfId="0" priority="1249" operator="equal">
      <formula>0</formula>
    </cfRule>
  </conditionalFormatting>
  <conditionalFormatting sqref="R290">
    <cfRule type="cellIs" dxfId="0" priority="1247" operator="equal">
      <formula>0</formula>
    </cfRule>
  </conditionalFormatting>
  <conditionalFormatting sqref="R291">
    <cfRule type="cellIs" dxfId="0" priority="1246" operator="equal">
      <formula>0</formula>
    </cfRule>
  </conditionalFormatting>
  <conditionalFormatting sqref="D293">
    <cfRule type="cellIs" dxfId="1" priority="1061" operator="equal">
      <formula>"等款"</formula>
    </cfRule>
    <cfRule type="cellIs" dxfId="2" priority="1062" operator="equal">
      <formula>"单据"</formula>
    </cfRule>
    <cfRule type="cellIs" dxfId="3" priority="1063" operator="equal">
      <formula>"发货"</formula>
    </cfRule>
  </conditionalFormatting>
  <conditionalFormatting sqref="F293">
    <cfRule type="cellIs" dxfId="4" priority="1059" operator="equal">
      <formula>"/"</formula>
    </cfRule>
    <cfRule type="cellIs" dxfId="5" priority="1060" operator="equal">
      <formula>0</formula>
    </cfRule>
  </conditionalFormatting>
  <conditionalFormatting sqref="R294">
    <cfRule type="cellIs" dxfId="0" priority="1244" operator="equal">
      <formula>0</formula>
    </cfRule>
  </conditionalFormatting>
  <conditionalFormatting sqref="D296">
    <cfRule type="cellIs" dxfId="1" priority="1094" operator="equal">
      <formula>"等款"</formula>
    </cfRule>
    <cfRule type="cellIs" dxfId="2" priority="1095" operator="equal">
      <formula>"单据"</formula>
    </cfRule>
    <cfRule type="cellIs" dxfId="3" priority="1096" operator="equal">
      <formula>"发货"</formula>
    </cfRule>
  </conditionalFormatting>
  <conditionalFormatting sqref="F296">
    <cfRule type="cellIs" dxfId="4" priority="1092" operator="equal">
      <formula>"/"</formula>
    </cfRule>
    <cfRule type="cellIs" dxfId="5" priority="1093" operator="equal">
      <formula>0</formula>
    </cfRule>
  </conditionalFormatting>
  <conditionalFormatting sqref="R297">
    <cfRule type="cellIs" dxfId="0" priority="1242" operator="equal">
      <formula>0</formula>
    </cfRule>
  </conditionalFormatting>
  <conditionalFormatting sqref="R298">
    <cfRule type="cellIs" dxfId="0" priority="1241" operator="equal">
      <formula>0</formula>
    </cfRule>
  </conditionalFormatting>
  <conditionalFormatting sqref="D300">
    <cfRule type="cellIs" dxfId="1" priority="1041" operator="equal">
      <formula>"等款"</formula>
    </cfRule>
    <cfRule type="cellIs" dxfId="2" priority="1042" operator="equal">
      <formula>"单据"</formula>
    </cfRule>
    <cfRule type="cellIs" dxfId="3" priority="1043" operator="equal">
      <formula>"发货"</formula>
    </cfRule>
  </conditionalFormatting>
  <conditionalFormatting sqref="F300">
    <cfRule type="cellIs" dxfId="4" priority="1039" operator="equal">
      <formula>"/"</formula>
    </cfRule>
    <cfRule type="cellIs" dxfId="5" priority="1040" operator="equal">
      <formula>0</formula>
    </cfRule>
  </conditionalFormatting>
  <conditionalFormatting sqref="D317">
    <cfRule type="cellIs" dxfId="1" priority="1010" operator="equal">
      <formula>"等款"</formula>
    </cfRule>
    <cfRule type="cellIs" dxfId="2" priority="1011" operator="equal">
      <formula>"单据"</formula>
    </cfRule>
    <cfRule type="cellIs" dxfId="3" priority="1012" operator="equal">
      <formula>"发货"</formula>
    </cfRule>
  </conditionalFormatting>
  <conditionalFormatting sqref="F317">
    <cfRule type="cellIs" dxfId="4" priority="1008" operator="equal">
      <formula>"/"</formula>
    </cfRule>
    <cfRule type="cellIs" dxfId="5" priority="1009" operator="equal">
      <formula>0</formula>
    </cfRule>
  </conditionalFormatting>
  <conditionalFormatting sqref="D346">
    <cfRule type="cellIs" dxfId="1" priority="925" operator="equal">
      <formula>"等款"</formula>
    </cfRule>
    <cfRule type="cellIs" dxfId="2" priority="926" operator="equal">
      <formula>"单据"</formula>
    </cfRule>
    <cfRule type="cellIs" dxfId="3" priority="927" operator="equal">
      <formula>"发货"</formula>
    </cfRule>
  </conditionalFormatting>
  <conditionalFormatting sqref="F346">
    <cfRule type="cellIs" dxfId="4" priority="923" operator="equal">
      <formula>"/"</formula>
    </cfRule>
    <cfRule type="cellIs" dxfId="5" priority="924" operator="equal">
      <formula>0</formula>
    </cfRule>
  </conditionalFormatting>
  <conditionalFormatting sqref="D347">
    <cfRule type="cellIs" dxfId="3" priority="902" operator="equal">
      <formula>"发货"</formula>
    </cfRule>
    <cfRule type="cellIs" dxfId="2" priority="901" operator="equal">
      <formula>"单据"</formula>
    </cfRule>
    <cfRule type="cellIs" dxfId="1" priority="900" operator="equal">
      <formula>"等款"</formula>
    </cfRule>
  </conditionalFormatting>
  <conditionalFormatting sqref="F347">
    <cfRule type="cellIs" dxfId="5" priority="899" operator="equal">
      <formula>0</formula>
    </cfRule>
    <cfRule type="cellIs" dxfId="4" priority="898" operator="equal">
      <formula>"/"</formula>
    </cfRule>
  </conditionalFormatting>
  <conditionalFormatting sqref="D349">
    <cfRule type="cellIs" dxfId="1" priority="948" operator="equal">
      <formula>"等款"</formula>
    </cfRule>
    <cfRule type="cellIs" dxfId="2" priority="949" operator="equal">
      <formula>"单据"</formula>
    </cfRule>
    <cfRule type="cellIs" dxfId="3" priority="950" operator="equal">
      <formula>"发货"</formula>
    </cfRule>
  </conditionalFormatting>
  <conditionalFormatting sqref="F349">
    <cfRule type="cellIs" dxfId="4" priority="946" operator="equal">
      <formula>"/"</formula>
    </cfRule>
    <cfRule type="cellIs" dxfId="5" priority="947" operator="equal">
      <formula>0</formula>
    </cfRule>
  </conditionalFormatting>
  <conditionalFormatting sqref="D351">
    <cfRule type="cellIs" dxfId="1" priority="890" operator="equal">
      <formula>"等款"</formula>
    </cfRule>
    <cfRule type="cellIs" dxfId="2" priority="891" operator="equal">
      <formula>"单据"</formula>
    </cfRule>
    <cfRule type="cellIs" dxfId="3" priority="892" operator="equal">
      <formula>"发货"</formula>
    </cfRule>
  </conditionalFormatting>
  <conditionalFormatting sqref="F351">
    <cfRule type="cellIs" dxfId="4" priority="888" operator="equal">
      <formula>"/"</formula>
    </cfRule>
    <cfRule type="cellIs" dxfId="5" priority="889" operator="equal">
      <formula>0</formula>
    </cfRule>
  </conditionalFormatting>
  <conditionalFormatting sqref="D352">
    <cfRule type="cellIs" dxfId="3" priority="884" operator="equal">
      <formula>"发货"</formula>
    </cfRule>
    <cfRule type="cellIs" dxfId="2" priority="883" operator="equal">
      <formula>"单据"</formula>
    </cfRule>
    <cfRule type="cellIs" dxfId="1" priority="882" operator="equal">
      <formula>"等款"</formula>
    </cfRule>
  </conditionalFormatting>
  <conditionalFormatting sqref="F352">
    <cfRule type="cellIs" dxfId="5" priority="881" operator="equal">
      <formula>0</formula>
    </cfRule>
    <cfRule type="cellIs" dxfId="4" priority="880" operator="equal">
      <formula>"/"</formula>
    </cfRule>
  </conditionalFormatting>
  <conditionalFormatting sqref="U355">
    <cfRule type="cellIs" dxfId="6" priority="885" operator="equal">
      <formula>0</formula>
    </cfRule>
  </conditionalFormatting>
  <conditionalFormatting sqref="D356">
    <cfRule type="cellIs" dxfId="1" priority="895" operator="equal">
      <formula>"等款"</formula>
    </cfRule>
    <cfRule type="cellIs" dxfId="2" priority="896" operator="equal">
      <formula>"单据"</formula>
    </cfRule>
    <cfRule type="cellIs" dxfId="3" priority="897" operator="equal">
      <formula>"发货"</formula>
    </cfRule>
  </conditionalFormatting>
  <conditionalFormatting sqref="F356">
    <cfRule type="cellIs" dxfId="4" priority="893" operator="equal">
      <formula>"/"</formula>
    </cfRule>
    <cfRule type="cellIs" dxfId="5" priority="894" operator="equal">
      <formula>0</formula>
    </cfRule>
  </conditionalFormatting>
  <conditionalFormatting sqref="D365">
    <cfRule type="cellIs" dxfId="3" priority="772" operator="equal">
      <formula>"发货"</formula>
    </cfRule>
    <cfRule type="cellIs" dxfId="2" priority="771" operator="equal">
      <formula>"单据"</formula>
    </cfRule>
    <cfRule type="cellIs" dxfId="1" priority="770" operator="equal">
      <formula>"等款"</formula>
    </cfRule>
  </conditionalFormatting>
  <conditionalFormatting sqref="F365">
    <cfRule type="cellIs" dxfId="5" priority="769" operator="equal">
      <formula>0</formula>
    </cfRule>
    <cfRule type="cellIs" dxfId="4" priority="768" operator="equal">
      <formula>"/"</formula>
    </cfRule>
  </conditionalFormatting>
  <conditionalFormatting sqref="F369">
    <cfRule type="cellIs" dxfId="4" priority="870" operator="equal">
      <formula>"/"</formula>
    </cfRule>
    <cfRule type="cellIs" dxfId="5" priority="871" operator="equal">
      <formula>0</formula>
    </cfRule>
  </conditionalFormatting>
  <conditionalFormatting sqref="F370">
    <cfRule type="cellIs" dxfId="4" priority="868" operator="equal">
      <formula>"/"</formula>
    </cfRule>
    <cfRule type="cellIs" dxfId="5" priority="869" operator="equal">
      <formula>0</formula>
    </cfRule>
  </conditionalFormatting>
  <conditionalFormatting sqref="F371">
    <cfRule type="cellIs" dxfId="4" priority="858" operator="equal">
      <formula>"/"</formula>
    </cfRule>
    <cfRule type="cellIs" dxfId="5" priority="859" operator="equal">
      <formula>0</formula>
    </cfRule>
  </conditionalFormatting>
  <conditionalFormatting sqref="F372">
    <cfRule type="cellIs" dxfId="4" priority="856" operator="equal">
      <formula>"/"</formula>
    </cfRule>
    <cfRule type="cellIs" dxfId="5" priority="857" operator="equal">
      <formula>0</formula>
    </cfRule>
  </conditionalFormatting>
  <conditionalFormatting sqref="F373">
    <cfRule type="cellIs" dxfId="4" priority="852" operator="equal">
      <formula>"/"</formula>
    </cfRule>
    <cfRule type="cellIs" dxfId="5" priority="853" operator="equal">
      <formula>0</formula>
    </cfRule>
  </conditionalFormatting>
  <conditionalFormatting sqref="F374">
    <cfRule type="cellIs" dxfId="4" priority="850" operator="equal">
      <formula>"/"</formula>
    </cfRule>
    <cfRule type="cellIs" dxfId="5" priority="851" operator="equal">
      <formula>0</formula>
    </cfRule>
  </conditionalFormatting>
  <conditionalFormatting sqref="F375">
    <cfRule type="cellIs" dxfId="4" priority="848" operator="equal">
      <formula>"/"</formula>
    </cfRule>
    <cfRule type="cellIs" dxfId="5" priority="849" operator="equal">
      <formula>0</formula>
    </cfRule>
  </conditionalFormatting>
  <conditionalFormatting sqref="D376">
    <cfRule type="cellIs" dxfId="3" priority="746" operator="equal">
      <formula>"发货"</formula>
    </cfRule>
    <cfRule type="cellIs" dxfId="2" priority="745" operator="equal">
      <formula>"单据"</formula>
    </cfRule>
    <cfRule type="cellIs" dxfId="1" priority="744" operator="equal">
      <formula>"等款"</formula>
    </cfRule>
  </conditionalFormatting>
  <conditionalFormatting sqref="F376">
    <cfRule type="cellIs" dxfId="5" priority="748" operator="equal">
      <formula>0</formula>
    </cfRule>
    <cfRule type="cellIs" dxfId="4" priority="747" operator="equal">
      <formula>"/"</formula>
    </cfRule>
  </conditionalFormatting>
  <conditionalFormatting sqref="F377">
    <cfRule type="cellIs" dxfId="4" priority="846" operator="equal">
      <formula>"/"</formula>
    </cfRule>
    <cfRule type="cellIs" dxfId="5" priority="847" operator="equal">
      <formula>0</formula>
    </cfRule>
  </conditionalFormatting>
  <conditionalFormatting sqref="F378">
    <cfRule type="cellIs" dxfId="4" priority="844" operator="equal">
      <formula>"/"</formula>
    </cfRule>
    <cfRule type="cellIs" dxfId="5" priority="845" operator="equal">
      <formula>0</formula>
    </cfRule>
  </conditionalFormatting>
  <conditionalFormatting sqref="F379">
    <cfRule type="cellIs" dxfId="4" priority="842" operator="equal">
      <formula>"/"</formula>
    </cfRule>
    <cfRule type="cellIs" dxfId="5" priority="843" operator="equal">
      <formula>0</formula>
    </cfRule>
  </conditionalFormatting>
  <conditionalFormatting sqref="F380">
    <cfRule type="cellIs" dxfId="4" priority="840" operator="equal">
      <formula>"/"</formula>
    </cfRule>
    <cfRule type="cellIs" dxfId="5" priority="841" operator="equal">
      <formula>0</formula>
    </cfRule>
  </conditionalFormatting>
  <conditionalFormatting sqref="D381">
    <cfRule type="cellIs" dxfId="1" priority="823" operator="equal">
      <formula>"等款"</formula>
    </cfRule>
    <cfRule type="cellIs" dxfId="2" priority="824" operator="equal">
      <formula>"单据"</formula>
    </cfRule>
    <cfRule type="cellIs" dxfId="3" priority="825" operator="equal">
      <formula>"发货"</formula>
    </cfRule>
  </conditionalFormatting>
  <conditionalFormatting sqref="F381">
    <cfRule type="cellIs" dxfId="4" priority="821" operator="equal">
      <formula>"/"</formula>
    </cfRule>
    <cfRule type="cellIs" dxfId="5" priority="822" operator="equal">
      <formula>0</formula>
    </cfRule>
  </conditionalFormatting>
  <conditionalFormatting sqref="F382">
    <cfRule type="cellIs" dxfId="4" priority="836" operator="equal">
      <formula>"/"</formula>
    </cfRule>
    <cfRule type="cellIs" dxfId="5" priority="837" operator="equal">
      <formula>0</formula>
    </cfRule>
  </conditionalFormatting>
  <conditionalFormatting sqref="F383">
    <cfRule type="cellIs" dxfId="4" priority="834" operator="equal">
      <formula>"/"</formula>
    </cfRule>
    <cfRule type="cellIs" dxfId="5" priority="835" operator="equal">
      <formula>0</formula>
    </cfRule>
  </conditionalFormatting>
  <conditionalFormatting sqref="F384">
    <cfRule type="cellIs" dxfId="4" priority="830" operator="equal">
      <formula>"/"</formula>
    </cfRule>
    <cfRule type="cellIs" dxfId="5" priority="831" operator="equal">
      <formula>0</formula>
    </cfRule>
  </conditionalFormatting>
  <conditionalFormatting sqref="F385">
    <cfRule type="cellIs" dxfId="4" priority="828" operator="equal">
      <formula>"/"</formula>
    </cfRule>
    <cfRule type="cellIs" dxfId="5" priority="829" operator="equal">
      <formula>0</formula>
    </cfRule>
  </conditionalFormatting>
  <conditionalFormatting sqref="F386">
    <cfRule type="cellIs" dxfId="4" priority="819" operator="equal">
      <formula>"/"</formula>
    </cfRule>
    <cfRule type="cellIs" dxfId="5" priority="820" operator="equal">
      <formula>0</formula>
    </cfRule>
  </conditionalFormatting>
  <conditionalFormatting sqref="F387">
    <cfRule type="cellIs" dxfId="4" priority="805" operator="equal">
      <formula>"/"</formula>
    </cfRule>
    <cfRule type="cellIs" dxfId="5" priority="806" operator="equal">
      <formula>0</formula>
    </cfRule>
  </conditionalFormatting>
  <conditionalFormatting sqref="F388">
    <cfRule type="cellIs" dxfId="4" priority="807" operator="equal">
      <formula>"/"</formula>
    </cfRule>
    <cfRule type="cellIs" dxfId="5" priority="808" operator="equal">
      <formula>0</formula>
    </cfRule>
  </conditionalFormatting>
  <conditionalFormatting sqref="F389">
    <cfRule type="cellIs" dxfId="4" priority="797" operator="equal">
      <formula>"/"</formula>
    </cfRule>
    <cfRule type="cellIs" dxfId="5" priority="798" operator="equal">
      <formula>0</formula>
    </cfRule>
  </conditionalFormatting>
  <conditionalFormatting sqref="F390">
    <cfRule type="cellIs" dxfId="4" priority="801" operator="equal">
      <formula>"/"</formula>
    </cfRule>
    <cfRule type="cellIs" dxfId="5" priority="802" operator="equal">
      <formula>0</formula>
    </cfRule>
  </conditionalFormatting>
  <conditionalFormatting sqref="F391">
    <cfRule type="cellIs" dxfId="4" priority="803" operator="equal">
      <formula>"/"</formula>
    </cfRule>
    <cfRule type="cellIs" dxfId="5" priority="804" operator="equal">
      <formula>0</formula>
    </cfRule>
  </conditionalFormatting>
  <conditionalFormatting sqref="F392">
    <cfRule type="cellIs" dxfId="4" priority="799" operator="equal">
      <formula>"/"</formula>
    </cfRule>
    <cfRule type="cellIs" dxfId="5" priority="800" operator="equal">
      <formula>0</formula>
    </cfRule>
  </conditionalFormatting>
  <conditionalFormatting sqref="F393">
    <cfRule type="cellIs" dxfId="4" priority="795" operator="equal">
      <formula>"/"</formula>
    </cfRule>
    <cfRule type="cellIs" dxfId="5" priority="796" operator="equal">
      <formula>0</formula>
    </cfRule>
  </conditionalFormatting>
  <conditionalFormatting sqref="D396">
    <cfRule type="cellIs" dxfId="1" priority="694" operator="equal">
      <formula>"等款"</formula>
    </cfRule>
    <cfRule type="cellIs" dxfId="2" priority="695" operator="equal">
      <formula>"单据"</formula>
    </cfRule>
    <cfRule type="cellIs" dxfId="3" priority="696" operator="equal">
      <formula>"发货"</formula>
    </cfRule>
  </conditionalFormatting>
  <conditionalFormatting sqref="F396">
    <cfRule type="cellIs" dxfId="4" priority="692" operator="equal">
      <formula>"/"</formula>
    </cfRule>
    <cfRule type="cellIs" dxfId="5" priority="693" operator="equal">
      <formula>0</formula>
    </cfRule>
  </conditionalFormatting>
  <conditionalFormatting sqref="D397">
    <cfRule type="cellIs" dxfId="1" priority="679" operator="equal">
      <formula>"等款"</formula>
    </cfRule>
    <cfRule type="cellIs" dxfId="2" priority="680" operator="equal">
      <formula>"单据"</formula>
    </cfRule>
    <cfRule type="cellIs" dxfId="3" priority="681" operator="equal">
      <formula>"发货"</formula>
    </cfRule>
  </conditionalFormatting>
  <conditionalFormatting sqref="F397">
    <cfRule type="cellIs" dxfId="4" priority="677" operator="equal">
      <formula>"/"</formula>
    </cfRule>
    <cfRule type="cellIs" dxfId="5" priority="678" operator="equal">
      <formula>0</formula>
    </cfRule>
  </conditionalFormatting>
  <conditionalFormatting sqref="D398">
    <cfRule type="cellIs" dxfId="3" priority="631" operator="equal">
      <formula>"发货"</formula>
    </cfRule>
    <cfRule type="cellIs" dxfId="2" priority="630" operator="equal">
      <formula>"单据"</formula>
    </cfRule>
    <cfRule type="cellIs" dxfId="1" priority="629" operator="equal">
      <formula>"等款"</formula>
    </cfRule>
  </conditionalFormatting>
  <conditionalFormatting sqref="F398">
    <cfRule type="cellIs" dxfId="5" priority="628" operator="equal">
      <formula>0</formula>
    </cfRule>
    <cfRule type="cellIs" dxfId="4" priority="627" operator="equal">
      <formula>"/"</formula>
    </cfRule>
  </conditionalFormatting>
  <conditionalFormatting sqref="F399">
    <cfRule type="cellIs" dxfId="4" priority="784" operator="equal">
      <formula>"/"</formula>
    </cfRule>
    <cfRule type="cellIs" dxfId="5" priority="785" operator="equal">
      <formula>0</formula>
    </cfRule>
  </conditionalFormatting>
  <conditionalFormatting sqref="F400">
    <cfRule type="cellIs" dxfId="4" priority="782" operator="equal">
      <formula>"/"</formula>
    </cfRule>
    <cfRule type="cellIs" dxfId="5" priority="783" operator="equal">
      <formula>0</formula>
    </cfRule>
  </conditionalFormatting>
  <conditionalFormatting sqref="F401">
    <cfRule type="cellIs" dxfId="4" priority="773" operator="equal">
      <formula>"/"</formula>
    </cfRule>
    <cfRule type="cellIs" dxfId="5" priority="774" operator="equal">
      <formula>0</formula>
    </cfRule>
  </conditionalFormatting>
  <conditionalFormatting sqref="F402">
    <cfRule type="cellIs" dxfId="4" priority="766" operator="equal">
      <formula>"/"</formula>
    </cfRule>
    <cfRule type="cellIs" dxfId="5" priority="767" operator="equal">
      <formula>0</formula>
    </cfRule>
  </conditionalFormatting>
  <conditionalFormatting sqref="F403">
    <cfRule type="cellIs" dxfId="4" priority="764" operator="equal">
      <formula>"/"</formula>
    </cfRule>
    <cfRule type="cellIs" dxfId="5" priority="765" operator="equal">
      <formula>0</formula>
    </cfRule>
  </conditionalFormatting>
  <conditionalFormatting sqref="F406">
    <cfRule type="cellIs" dxfId="4" priority="735" operator="equal">
      <formula>"/"</formula>
    </cfRule>
    <cfRule type="cellIs" dxfId="5" priority="736" operator="equal">
      <formula>0</formula>
    </cfRule>
  </conditionalFormatting>
  <conditionalFormatting sqref="F407">
    <cfRule type="cellIs" dxfId="4" priority="732" operator="equal">
      <formula>"/"</formula>
    </cfRule>
    <cfRule type="cellIs" dxfId="5" priority="733" operator="equal">
      <formula>0</formula>
    </cfRule>
  </conditionalFormatting>
  <conditionalFormatting sqref="F408">
    <cfRule type="cellIs" dxfId="4" priority="727" operator="equal">
      <formula>"/"</formula>
    </cfRule>
    <cfRule type="cellIs" dxfId="5" priority="728" operator="equal">
      <formula>0</formula>
    </cfRule>
  </conditionalFormatting>
  <conditionalFormatting sqref="F413">
    <cfRule type="cellIs" dxfId="4" priority="702" operator="equal">
      <formula>"/"</formula>
    </cfRule>
    <cfRule type="cellIs" dxfId="5" priority="703" operator="equal">
      <formula>0</formula>
    </cfRule>
  </conditionalFormatting>
  <conditionalFormatting sqref="F414">
    <cfRule type="cellIs" dxfId="4" priority="704" operator="equal">
      <formula>"/"</formula>
    </cfRule>
    <cfRule type="cellIs" dxfId="5" priority="705" operator="equal">
      <formula>0</formula>
    </cfRule>
  </conditionalFormatting>
  <conditionalFormatting sqref="D415">
    <cfRule type="cellIs" dxfId="1" priority="650" operator="equal">
      <formula>"等款"</formula>
    </cfRule>
    <cfRule type="cellIs" dxfId="2" priority="651" operator="equal">
      <formula>"单据"</formula>
    </cfRule>
    <cfRule type="cellIs" dxfId="3" priority="652" operator="equal">
      <formula>"发货"</formula>
    </cfRule>
  </conditionalFormatting>
  <conditionalFormatting sqref="F415">
    <cfRule type="cellIs" dxfId="4" priority="648" operator="equal">
      <formula>"/"</formula>
    </cfRule>
    <cfRule type="cellIs" dxfId="5" priority="649" operator="equal">
      <formula>0</formula>
    </cfRule>
  </conditionalFormatting>
  <conditionalFormatting sqref="F416">
    <cfRule type="cellIs" dxfId="4" priority="688" operator="equal">
      <formula>"/"</formula>
    </cfRule>
    <cfRule type="cellIs" dxfId="5" priority="689" operator="equal">
      <formula>0</formula>
    </cfRule>
  </conditionalFormatting>
  <conditionalFormatting sqref="F417">
    <cfRule type="cellIs" dxfId="4" priority="690" operator="equal">
      <formula>"/"</formula>
    </cfRule>
    <cfRule type="cellIs" dxfId="5" priority="691" operator="equal">
      <formula>0</formula>
    </cfRule>
  </conditionalFormatting>
  <conditionalFormatting sqref="F418">
    <cfRule type="cellIs" dxfId="4" priority="684" operator="equal">
      <formula>"/"</formula>
    </cfRule>
    <cfRule type="cellIs" dxfId="5" priority="685" operator="equal">
      <formula>0</formula>
    </cfRule>
  </conditionalFormatting>
  <conditionalFormatting sqref="F419">
    <cfRule type="cellIs" dxfId="4" priority="686" operator="equal">
      <formula>"/"</formula>
    </cfRule>
    <cfRule type="cellIs" dxfId="5" priority="687" operator="equal">
      <formula>0</formula>
    </cfRule>
  </conditionalFormatting>
  <conditionalFormatting sqref="F420">
    <cfRule type="cellIs" dxfId="4" priority="682" operator="equal">
      <formula>"/"</formula>
    </cfRule>
    <cfRule type="cellIs" dxfId="5" priority="683" operator="equal">
      <formula>0</formula>
    </cfRule>
  </conditionalFormatting>
  <conditionalFormatting sqref="F421">
    <cfRule type="cellIs" dxfId="4" priority="671" operator="equal">
      <formula>"/"</formula>
    </cfRule>
    <cfRule type="cellIs" dxfId="5" priority="672" operator="equal">
      <formula>0</formula>
    </cfRule>
  </conditionalFormatting>
  <conditionalFormatting sqref="F422">
    <cfRule type="cellIs" dxfId="4" priority="669" operator="equal">
      <formula>"/"</formula>
    </cfRule>
    <cfRule type="cellIs" dxfId="5" priority="670" operator="equal">
      <formula>0</formula>
    </cfRule>
  </conditionalFormatting>
  <conditionalFormatting sqref="F423">
    <cfRule type="cellIs" dxfId="4" priority="667" operator="equal">
      <formula>"/"</formula>
    </cfRule>
    <cfRule type="cellIs" dxfId="5" priority="668" operator="equal">
      <formula>0</formula>
    </cfRule>
  </conditionalFormatting>
  <conditionalFormatting sqref="D424">
    <cfRule type="cellIs" dxfId="3" priority="620" operator="equal">
      <formula>"发货"</formula>
    </cfRule>
    <cfRule type="cellIs" dxfId="2" priority="619" operator="equal">
      <formula>"单据"</formula>
    </cfRule>
    <cfRule type="cellIs" dxfId="1" priority="618" operator="equal">
      <formula>"等款"</formula>
    </cfRule>
  </conditionalFormatting>
  <conditionalFormatting sqref="F424">
    <cfRule type="cellIs" dxfId="5" priority="617" operator="equal">
      <formula>0</formula>
    </cfRule>
    <cfRule type="cellIs" dxfId="4" priority="616" operator="equal">
      <formula>"/"</formula>
    </cfRule>
  </conditionalFormatting>
  <conditionalFormatting sqref="F425">
    <cfRule type="cellIs" dxfId="4" priority="655" operator="equal">
      <formula>"/"</formula>
    </cfRule>
    <cfRule type="cellIs" dxfId="5" priority="656" operator="equal">
      <formula>0</formula>
    </cfRule>
  </conditionalFormatting>
  <conditionalFormatting sqref="F426">
    <cfRule type="cellIs" dxfId="4" priority="646" operator="equal">
      <formula>"/"</formula>
    </cfRule>
    <cfRule type="cellIs" dxfId="5" priority="647" operator="equal">
      <formula>0</formula>
    </cfRule>
  </conditionalFormatting>
  <conditionalFormatting sqref="F427">
    <cfRule type="cellIs" dxfId="4" priority="640" operator="equal">
      <formula>"/"</formula>
    </cfRule>
    <cfRule type="cellIs" dxfId="5" priority="641" operator="equal">
      <formula>0</formula>
    </cfRule>
  </conditionalFormatting>
  <conditionalFormatting sqref="F428">
    <cfRule type="cellIs" dxfId="4" priority="634" operator="equal">
      <formula>"/"</formula>
    </cfRule>
    <cfRule type="cellIs" dxfId="5" priority="635" operator="equal">
      <formula>0</formula>
    </cfRule>
  </conditionalFormatting>
  <conditionalFormatting sqref="F429">
    <cfRule type="cellIs" dxfId="4" priority="625" operator="equal">
      <formula>"/"</formula>
    </cfRule>
    <cfRule type="cellIs" dxfId="5" priority="626" operator="equal">
      <formula>0</formula>
    </cfRule>
  </conditionalFormatting>
  <conditionalFormatting sqref="F430">
    <cfRule type="cellIs" dxfId="4" priority="623" operator="equal">
      <formula>"/"</formula>
    </cfRule>
    <cfRule type="cellIs" dxfId="5" priority="624" operator="equal">
      <formula>0</formula>
    </cfRule>
  </conditionalFormatting>
  <conditionalFormatting sqref="D431">
    <cfRule type="cellIs" dxfId="3" priority="563" operator="equal">
      <formula>"发货"</formula>
    </cfRule>
    <cfRule type="cellIs" dxfId="2" priority="562" operator="equal">
      <formula>"单据"</formula>
    </cfRule>
    <cfRule type="cellIs" dxfId="1" priority="561" operator="equal">
      <formula>"等款"</formula>
    </cfRule>
  </conditionalFormatting>
  <conditionalFormatting sqref="F431">
    <cfRule type="cellIs" dxfId="5" priority="560" operator="equal">
      <formula>0</formula>
    </cfRule>
    <cfRule type="cellIs" dxfId="4" priority="559" operator="equal">
      <formula>"/"</formula>
    </cfRule>
  </conditionalFormatting>
  <conditionalFormatting sqref="F432">
    <cfRule type="cellIs" dxfId="4" priority="621" operator="equal">
      <formula>"/"</formula>
    </cfRule>
    <cfRule type="cellIs" dxfId="5" priority="622" operator="equal">
      <formula>0</formula>
    </cfRule>
  </conditionalFormatting>
  <conditionalFormatting sqref="F433">
    <cfRule type="cellIs" dxfId="4" priority="614" operator="equal">
      <formula>"/"</formula>
    </cfRule>
    <cfRule type="cellIs" dxfId="5" priority="615" operator="equal">
      <formula>0</formula>
    </cfRule>
  </conditionalFormatting>
  <conditionalFormatting sqref="F434">
    <cfRule type="cellIs" dxfId="4" priority="608" operator="equal">
      <formula>"/"</formula>
    </cfRule>
    <cfRule type="cellIs" dxfId="5" priority="609" operator="equal">
      <formula>0</formula>
    </cfRule>
  </conditionalFormatting>
  <conditionalFormatting sqref="F435">
    <cfRule type="cellIs" dxfId="4" priority="606" operator="equal">
      <formula>"/"</formula>
    </cfRule>
    <cfRule type="cellIs" dxfId="5" priority="607" operator="equal">
      <formula>0</formula>
    </cfRule>
  </conditionalFormatting>
  <conditionalFormatting sqref="F436">
    <cfRule type="cellIs" dxfId="4" priority="600" operator="equal">
      <formula>"/"</formula>
    </cfRule>
    <cfRule type="cellIs" dxfId="5" priority="601" operator="equal">
      <formula>0</formula>
    </cfRule>
  </conditionalFormatting>
  <conditionalFormatting sqref="D437">
    <cfRule type="cellIs" dxfId="3" priority="540" operator="equal">
      <formula>"发货"</formula>
    </cfRule>
    <cfRule type="cellIs" dxfId="2" priority="539" operator="equal">
      <formula>"单据"</formula>
    </cfRule>
    <cfRule type="cellIs" dxfId="1" priority="538" operator="equal">
      <formula>"等款"</formula>
    </cfRule>
  </conditionalFormatting>
  <conditionalFormatting sqref="F437">
    <cfRule type="cellIs" dxfId="5" priority="537" operator="equal">
      <formula>0</formula>
    </cfRule>
    <cfRule type="cellIs" dxfId="4" priority="536" operator="equal">
      <formula>"/"</formula>
    </cfRule>
  </conditionalFormatting>
  <conditionalFormatting sqref="F438">
    <cfRule type="cellIs" dxfId="4" priority="602" operator="equal">
      <formula>"/"</formula>
    </cfRule>
    <cfRule type="cellIs" dxfId="5" priority="603" operator="equal">
      <formula>0</formula>
    </cfRule>
  </conditionalFormatting>
  <conditionalFormatting sqref="F439">
    <cfRule type="cellIs" dxfId="4" priority="594" operator="equal">
      <formula>"/"</formula>
    </cfRule>
    <cfRule type="cellIs" dxfId="5" priority="595" operator="equal">
      <formula>0</formula>
    </cfRule>
  </conditionalFormatting>
  <conditionalFormatting sqref="F440">
    <cfRule type="cellIs" dxfId="4" priority="592" operator="equal">
      <formula>"/"</formula>
    </cfRule>
    <cfRule type="cellIs" dxfId="5" priority="593" operator="equal">
      <formula>0</formula>
    </cfRule>
  </conditionalFormatting>
  <conditionalFormatting sqref="F441">
    <cfRule type="cellIs" dxfId="4" priority="588" operator="equal">
      <formula>"/"</formula>
    </cfRule>
    <cfRule type="cellIs" dxfId="5" priority="589" operator="equal">
      <formula>0</formula>
    </cfRule>
  </conditionalFormatting>
  <conditionalFormatting sqref="F442">
    <cfRule type="cellIs" dxfId="4" priority="577" operator="equal">
      <formula>"/"</formula>
    </cfRule>
    <cfRule type="cellIs" dxfId="5" priority="578" operator="equal">
      <formula>0</formula>
    </cfRule>
  </conditionalFormatting>
  <conditionalFormatting sqref="F443">
    <cfRule type="cellIs" dxfId="4" priority="575" operator="equal">
      <formula>"/"</formula>
    </cfRule>
    <cfRule type="cellIs" dxfId="5" priority="576" operator="equal">
      <formula>0</formula>
    </cfRule>
  </conditionalFormatting>
  <conditionalFormatting sqref="F444">
    <cfRule type="cellIs" dxfId="4" priority="564" operator="equal">
      <formula>"/"</formula>
    </cfRule>
    <cfRule type="cellIs" dxfId="5" priority="565" operator="equal">
      <formula>0</formula>
    </cfRule>
  </conditionalFormatting>
  <conditionalFormatting sqref="D445">
    <cfRule type="cellIs" dxfId="3" priority="474" operator="equal">
      <formula>"发货"</formula>
    </cfRule>
    <cfRule type="cellIs" dxfId="2" priority="473" operator="equal">
      <formula>"单据"</formula>
    </cfRule>
    <cfRule type="cellIs" dxfId="1" priority="472" operator="equal">
      <formula>"等款"</formula>
    </cfRule>
  </conditionalFormatting>
  <conditionalFormatting sqref="F445">
    <cfRule type="cellIs" dxfId="5" priority="471" operator="equal">
      <formula>0</formula>
    </cfRule>
    <cfRule type="cellIs" dxfId="4" priority="470" operator="equal">
      <formula>"/"</formula>
    </cfRule>
  </conditionalFormatting>
  <conditionalFormatting sqref="F446">
    <cfRule type="cellIs" dxfId="4" priority="557" operator="equal">
      <formula>"/"</formula>
    </cfRule>
    <cfRule type="cellIs" dxfId="5" priority="558" operator="equal">
      <formula>0</formula>
    </cfRule>
  </conditionalFormatting>
  <conditionalFormatting sqref="F447">
    <cfRule type="cellIs" dxfId="4" priority="534" operator="equal">
      <formula>"/"</formula>
    </cfRule>
    <cfRule type="cellIs" dxfId="5" priority="535" operator="equal">
      <formula>0</formula>
    </cfRule>
  </conditionalFormatting>
  <conditionalFormatting sqref="F448">
    <cfRule type="cellIs" dxfId="4" priority="525" operator="equal">
      <formula>"/"</formula>
    </cfRule>
    <cfRule type="cellIs" dxfId="5" priority="526" operator="equal">
      <formula>0</formula>
    </cfRule>
  </conditionalFormatting>
  <conditionalFormatting sqref="F449">
    <cfRule type="cellIs" dxfId="4" priority="521" operator="equal">
      <formula>"/"</formula>
    </cfRule>
    <cfRule type="cellIs" dxfId="5" priority="522" operator="equal">
      <formula>0</formula>
    </cfRule>
  </conditionalFormatting>
  <conditionalFormatting sqref="D450">
    <cfRule type="cellIs" dxfId="3" priority="462" operator="equal">
      <formula>"发货"</formula>
    </cfRule>
    <cfRule type="cellIs" dxfId="2" priority="461" operator="equal">
      <formula>"单据"</formula>
    </cfRule>
    <cfRule type="cellIs" dxfId="1" priority="460" operator="equal">
      <formula>"等款"</formula>
    </cfRule>
  </conditionalFormatting>
  <conditionalFormatting sqref="F450">
    <cfRule type="cellIs" dxfId="5" priority="459" operator="equal">
      <formula>0</formula>
    </cfRule>
    <cfRule type="cellIs" dxfId="4" priority="458" operator="equal">
      <formula>"/"</formula>
    </cfRule>
  </conditionalFormatting>
  <conditionalFormatting sqref="F451">
    <cfRule type="cellIs" dxfId="4" priority="517" operator="equal">
      <formula>"/"</formula>
    </cfRule>
    <cfRule type="cellIs" dxfId="5" priority="518" operator="equal">
      <formula>0</formula>
    </cfRule>
  </conditionalFormatting>
  <conditionalFormatting sqref="F452">
    <cfRule type="cellIs" dxfId="4" priority="505" operator="equal">
      <formula>"/"</formula>
    </cfRule>
    <cfRule type="cellIs" dxfId="5" priority="506" operator="equal">
      <formula>0</formula>
    </cfRule>
  </conditionalFormatting>
  <conditionalFormatting sqref="F453">
    <cfRule type="cellIs" dxfId="4" priority="503" operator="equal">
      <formula>"/"</formula>
    </cfRule>
    <cfRule type="cellIs" dxfId="5" priority="504" operator="equal">
      <formula>0</formula>
    </cfRule>
  </conditionalFormatting>
  <conditionalFormatting sqref="F454">
    <cfRule type="cellIs" dxfId="4" priority="497" operator="equal">
      <formula>"/"</formula>
    </cfRule>
    <cfRule type="cellIs" dxfId="5" priority="498" operator="equal">
      <formula>0</formula>
    </cfRule>
  </conditionalFormatting>
  <conditionalFormatting sqref="D455">
    <cfRule type="cellIs" dxfId="3" priority="397" operator="equal">
      <formula>"发货"</formula>
    </cfRule>
    <cfRule type="cellIs" dxfId="2" priority="396" operator="equal">
      <formula>"单据"</formula>
    </cfRule>
    <cfRule type="cellIs" dxfId="1" priority="395" operator="equal">
      <formula>"等款"</formula>
    </cfRule>
  </conditionalFormatting>
  <conditionalFormatting sqref="F455">
    <cfRule type="cellIs" dxfId="5" priority="394" operator="equal">
      <formula>0</formula>
    </cfRule>
    <cfRule type="cellIs" dxfId="4" priority="393" operator="equal">
      <formula>"/"</formula>
    </cfRule>
  </conditionalFormatting>
  <conditionalFormatting sqref="F456">
    <cfRule type="cellIs" dxfId="4" priority="495" operator="equal">
      <formula>"/"</formula>
    </cfRule>
    <cfRule type="cellIs" dxfId="5" priority="496" operator="equal">
      <formula>0</formula>
    </cfRule>
  </conditionalFormatting>
  <conditionalFormatting sqref="F457">
    <cfRule type="cellIs" dxfId="4" priority="493" operator="equal">
      <formula>"/"</formula>
    </cfRule>
    <cfRule type="cellIs" dxfId="5" priority="494" operator="equal">
      <formula>0</formula>
    </cfRule>
  </conditionalFormatting>
  <conditionalFormatting sqref="F458">
    <cfRule type="cellIs" dxfId="4" priority="489" operator="equal">
      <formula>"/"</formula>
    </cfRule>
    <cfRule type="cellIs" dxfId="5" priority="490" operator="equal">
      <formula>0</formula>
    </cfRule>
  </conditionalFormatting>
  <conditionalFormatting sqref="D459">
    <cfRule type="cellIs" dxfId="1" priority="436" operator="equal">
      <formula>"等款"</formula>
    </cfRule>
    <cfRule type="cellIs" dxfId="2" priority="437" operator="equal">
      <formula>"单据"</formula>
    </cfRule>
    <cfRule type="cellIs" dxfId="3" priority="438" operator="equal">
      <formula>"发货"</formula>
    </cfRule>
  </conditionalFormatting>
  <conditionalFormatting sqref="F459">
    <cfRule type="cellIs" dxfId="4" priority="434" operator="equal">
      <formula>"/"</formula>
    </cfRule>
    <cfRule type="cellIs" dxfId="5" priority="435" operator="equal">
      <formula>0</formula>
    </cfRule>
  </conditionalFormatting>
  <conditionalFormatting sqref="F460">
    <cfRule type="cellIs" dxfId="4" priority="491" operator="equal">
      <formula>"/"</formula>
    </cfRule>
    <cfRule type="cellIs" dxfId="5" priority="492" operator="equal">
      <formula>0</formula>
    </cfRule>
  </conditionalFormatting>
  <conditionalFormatting sqref="D461">
    <cfRule type="cellIs" dxfId="1" priority="431" operator="equal">
      <formula>"等款"</formula>
    </cfRule>
    <cfRule type="cellIs" dxfId="2" priority="432" operator="equal">
      <formula>"单据"</formula>
    </cfRule>
    <cfRule type="cellIs" dxfId="3" priority="433" operator="equal">
      <formula>"发货"</formula>
    </cfRule>
  </conditionalFormatting>
  <conditionalFormatting sqref="F461">
    <cfRule type="cellIs" dxfId="4" priority="429" operator="equal">
      <formula>"/"</formula>
    </cfRule>
    <cfRule type="cellIs" dxfId="5" priority="430" operator="equal">
      <formula>0</formula>
    </cfRule>
  </conditionalFormatting>
  <conditionalFormatting sqref="D462">
    <cfRule type="cellIs" dxfId="3" priority="294" operator="equal">
      <formula>"发货"</formula>
    </cfRule>
    <cfRule type="cellIs" dxfId="2" priority="293" operator="equal">
      <formula>"单据"</formula>
    </cfRule>
    <cfRule type="cellIs" dxfId="1" priority="292" operator="equal">
      <formula>"等款"</formula>
    </cfRule>
  </conditionalFormatting>
  <conditionalFormatting sqref="F462">
    <cfRule type="cellIs" dxfId="5" priority="291" operator="equal">
      <formula>0</formula>
    </cfRule>
    <cfRule type="cellIs" dxfId="4" priority="290" operator="equal">
      <formula>"/"</formula>
    </cfRule>
  </conditionalFormatting>
  <conditionalFormatting sqref="F463">
    <cfRule type="cellIs" dxfId="4" priority="487" operator="equal">
      <formula>"/"</formula>
    </cfRule>
    <cfRule type="cellIs" dxfId="5" priority="488" operator="equal">
      <formula>0</formula>
    </cfRule>
  </conditionalFormatting>
  <conditionalFormatting sqref="F464">
    <cfRule type="cellIs" dxfId="4" priority="485" operator="equal">
      <formula>"/"</formula>
    </cfRule>
    <cfRule type="cellIs" dxfId="5" priority="486" operator="equal">
      <formula>0</formula>
    </cfRule>
  </conditionalFormatting>
  <conditionalFormatting sqref="D465">
    <cfRule type="cellIs" dxfId="1" priority="415" operator="equal">
      <formula>"等款"</formula>
    </cfRule>
    <cfRule type="cellIs" dxfId="2" priority="416" operator="equal">
      <formula>"单据"</formula>
    </cfRule>
    <cfRule type="cellIs" dxfId="3" priority="417" operator="equal">
      <formula>"发货"</formula>
    </cfRule>
  </conditionalFormatting>
  <conditionalFormatting sqref="F465">
    <cfRule type="cellIs" dxfId="4" priority="413" operator="equal">
      <formula>"/"</formula>
    </cfRule>
    <cfRule type="cellIs" dxfId="5" priority="414" operator="equal">
      <formula>0</formula>
    </cfRule>
  </conditionalFormatting>
  <conditionalFormatting sqref="F466">
    <cfRule type="cellIs" dxfId="4" priority="481" operator="equal">
      <formula>"/"</formula>
    </cfRule>
    <cfRule type="cellIs" dxfId="5" priority="482" operator="equal">
      <formula>0</formula>
    </cfRule>
  </conditionalFormatting>
  <conditionalFormatting sqref="D468">
    <cfRule type="cellIs" dxfId="1" priority="380" operator="equal">
      <formula>"等款"</formula>
    </cfRule>
    <cfRule type="cellIs" dxfId="2" priority="381" operator="equal">
      <formula>"单据"</formula>
    </cfRule>
    <cfRule type="cellIs" dxfId="3" priority="382" operator="equal">
      <formula>"发货"</formula>
    </cfRule>
  </conditionalFormatting>
  <conditionalFormatting sqref="F468">
    <cfRule type="cellIs" dxfId="4" priority="378" operator="equal">
      <formula>"/"</formula>
    </cfRule>
    <cfRule type="cellIs" dxfId="5" priority="379" operator="equal">
      <formula>0</formula>
    </cfRule>
  </conditionalFormatting>
  <conditionalFormatting sqref="D469">
    <cfRule type="cellIs" dxfId="1" priority="375" operator="equal">
      <formula>"等款"</formula>
    </cfRule>
    <cfRule type="cellIs" dxfId="2" priority="376" operator="equal">
      <formula>"单据"</formula>
    </cfRule>
    <cfRule type="cellIs" dxfId="3" priority="377" operator="equal">
      <formula>"发货"</formula>
    </cfRule>
  </conditionalFormatting>
  <conditionalFormatting sqref="F469">
    <cfRule type="cellIs" dxfId="4" priority="373" operator="equal">
      <formula>"/"</formula>
    </cfRule>
    <cfRule type="cellIs" dxfId="5" priority="374" operator="equal">
      <formula>0</formula>
    </cfRule>
  </conditionalFormatting>
  <conditionalFormatting sqref="F471">
    <cfRule type="cellIs" dxfId="4" priority="463" operator="equal">
      <formula>"/"</formula>
    </cfRule>
    <cfRule type="cellIs" dxfId="5" priority="464" operator="equal">
      <formula>0</formula>
    </cfRule>
  </conditionalFormatting>
  <conditionalFormatting sqref="F474">
    <cfRule type="cellIs" dxfId="4" priority="422" operator="equal">
      <formula>"/"</formula>
    </cfRule>
    <cfRule type="cellIs" dxfId="5" priority="423" operator="equal">
      <formula>0</formula>
    </cfRule>
  </conditionalFormatting>
  <conditionalFormatting sqref="F475">
    <cfRule type="cellIs" dxfId="4" priority="420" operator="equal">
      <formula>"/"</formula>
    </cfRule>
    <cfRule type="cellIs" dxfId="5" priority="421" operator="equal">
      <formula>0</formula>
    </cfRule>
  </conditionalFormatting>
  <conditionalFormatting sqref="F476">
    <cfRule type="cellIs" dxfId="4" priority="418" operator="equal">
      <formula>"/"</formula>
    </cfRule>
    <cfRule type="cellIs" dxfId="5" priority="419" operator="equal">
      <formula>0</formula>
    </cfRule>
  </conditionalFormatting>
  <conditionalFormatting sqref="F477">
    <cfRule type="cellIs" dxfId="4" priority="409" operator="equal">
      <formula>"/"</formula>
    </cfRule>
    <cfRule type="cellIs" dxfId="5" priority="410" operator="equal">
      <formula>0</formula>
    </cfRule>
  </conditionalFormatting>
  <conditionalFormatting sqref="F478">
    <cfRule type="cellIs" dxfId="4" priority="411" operator="equal">
      <formula>"/"</formula>
    </cfRule>
    <cfRule type="cellIs" dxfId="5" priority="412" operator="equal">
      <formula>0</formula>
    </cfRule>
  </conditionalFormatting>
  <conditionalFormatting sqref="F479">
    <cfRule type="cellIs" dxfId="4" priority="402" operator="equal">
      <formula>"/"</formula>
    </cfRule>
    <cfRule type="cellIs" dxfId="5" priority="403" operator="equal">
      <formula>0</formula>
    </cfRule>
  </conditionalFormatting>
  <conditionalFormatting sqref="F480">
    <cfRule type="cellIs" dxfId="4" priority="387" operator="equal">
      <formula>"/"</formula>
    </cfRule>
    <cfRule type="cellIs" dxfId="5" priority="388" operator="equal">
      <formula>0</formula>
    </cfRule>
  </conditionalFormatting>
  <conditionalFormatting sqref="F481">
    <cfRule type="cellIs" dxfId="4" priority="389" operator="equal">
      <formula>"/"</formula>
    </cfRule>
    <cfRule type="cellIs" dxfId="5" priority="390" operator="equal">
      <formula>0</formula>
    </cfRule>
  </conditionalFormatting>
  <conditionalFormatting sqref="F482">
    <cfRule type="cellIs" dxfId="4" priority="383" operator="equal">
      <formula>"/"</formula>
    </cfRule>
    <cfRule type="cellIs" dxfId="5" priority="384" operator="equal">
      <formula>0</formula>
    </cfRule>
  </conditionalFormatting>
  <conditionalFormatting sqref="F483">
    <cfRule type="cellIs" dxfId="4" priority="350" operator="equal">
      <formula>"/"</formula>
    </cfRule>
    <cfRule type="cellIs" dxfId="5" priority="351" operator="equal">
      <formula>0</formula>
    </cfRule>
  </conditionalFormatting>
  <conditionalFormatting sqref="F484">
    <cfRule type="cellIs" dxfId="4" priority="340" operator="equal">
      <formula>"/"</formula>
    </cfRule>
    <cfRule type="cellIs" dxfId="5" priority="341" operator="equal">
      <formula>0</formula>
    </cfRule>
  </conditionalFormatting>
  <conditionalFormatting sqref="F485">
    <cfRule type="cellIs" dxfId="4" priority="332" operator="equal">
      <formula>"/"</formula>
    </cfRule>
    <cfRule type="cellIs" dxfId="5" priority="333" operator="equal">
      <formula>0</formula>
    </cfRule>
  </conditionalFormatting>
  <conditionalFormatting sqref="F488">
    <cfRule type="cellIs" dxfId="4" priority="319" operator="equal">
      <formula>"/"</formula>
    </cfRule>
    <cfRule type="cellIs" dxfId="5" priority="320" operator="equal">
      <formula>0</formula>
    </cfRule>
  </conditionalFormatting>
  <conditionalFormatting sqref="F489">
    <cfRule type="cellIs" dxfId="4" priority="315" operator="equal">
      <formula>"/"</formula>
    </cfRule>
    <cfRule type="cellIs" dxfId="5" priority="316" operator="equal">
      <formula>0</formula>
    </cfRule>
  </conditionalFormatting>
  <conditionalFormatting sqref="F490">
    <cfRule type="cellIs" dxfId="4" priority="300" operator="equal">
      <formula>"/"</formula>
    </cfRule>
    <cfRule type="cellIs" dxfId="5" priority="301" operator="equal">
      <formula>0</formula>
    </cfRule>
  </conditionalFormatting>
  <conditionalFormatting sqref="F491">
    <cfRule type="cellIs" dxfId="4" priority="295" operator="equal">
      <formula>"/"</formula>
    </cfRule>
    <cfRule type="cellIs" dxfId="5" priority="296" operator="equal">
      <formula>0</formula>
    </cfRule>
  </conditionalFormatting>
  <conditionalFormatting sqref="F492">
    <cfRule type="cellIs" dxfId="4" priority="282" operator="equal">
      <formula>"/"</formula>
    </cfRule>
    <cfRule type="cellIs" dxfId="5" priority="283" operator="equal">
      <formula>0</formula>
    </cfRule>
  </conditionalFormatting>
  <conditionalFormatting sqref="F493">
    <cfRule type="cellIs" dxfId="4" priority="278" operator="equal">
      <formula>"/"</formula>
    </cfRule>
    <cfRule type="cellIs" dxfId="5" priority="279" operator="equal">
      <formula>0</formula>
    </cfRule>
  </conditionalFormatting>
  <conditionalFormatting sqref="F494">
    <cfRule type="cellIs" dxfId="4" priority="272" operator="equal">
      <formula>"/"</formula>
    </cfRule>
    <cfRule type="cellIs" dxfId="5" priority="273" operator="equal">
      <formula>0</formula>
    </cfRule>
  </conditionalFormatting>
  <conditionalFormatting sqref="D495">
    <cfRule type="cellIs" dxfId="3" priority="215" operator="equal">
      <formula>"发货"</formula>
    </cfRule>
    <cfRule type="cellIs" dxfId="2" priority="214" operator="equal">
      <formula>"单据"</formula>
    </cfRule>
    <cfRule type="cellIs" dxfId="1" priority="213" operator="equal">
      <formula>"等款"</formula>
    </cfRule>
  </conditionalFormatting>
  <conditionalFormatting sqref="F495">
    <cfRule type="cellIs" dxfId="5" priority="212" operator="equal">
      <formula>0</formula>
    </cfRule>
    <cfRule type="cellIs" dxfId="4" priority="211" operator="equal">
      <formula>"/"</formula>
    </cfRule>
  </conditionalFormatting>
  <conditionalFormatting sqref="F496">
    <cfRule type="cellIs" dxfId="4" priority="254" operator="equal">
      <formula>"/"</formula>
    </cfRule>
    <cfRule type="cellIs" dxfId="5" priority="255" operator="equal">
      <formula>0</formula>
    </cfRule>
  </conditionalFormatting>
  <conditionalFormatting sqref="F497">
    <cfRule type="cellIs" dxfId="4" priority="247" operator="equal">
      <formula>"/"</formula>
    </cfRule>
    <cfRule type="cellIs" dxfId="5" priority="248" operator="equal">
      <formula>0</formula>
    </cfRule>
  </conditionalFormatting>
  <conditionalFormatting sqref="F498">
    <cfRule type="cellIs" dxfId="4" priority="240" operator="equal">
      <formula>"/"</formula>
    </cfRule>
    <cfRule type="cellIs" dxfId="5" priority="241" operator="equal">
      <formula>0</formula>
    </cfRule>
  </conditionalFormatting>
  <conditionalFormatting sqref="F499">
    <cfRule type="cellIs" dxfId="4" priority="238" operator="equal">
      <formula>"/"</formula>
    </cfRule>
    <cfRule type="cellIs" dxfId="5" priority="239" operator="equal">
      <formula>0</formula>
    </cfRule>
  </conditionalFormatting>
  <conditionalFormatting sqref="F500">
    <cfRule type="cellIs" dxfId="5" priority="105" operator="equal">
      <formula>0</formula>
    </cfRule>
    <cfRule type="cellIs" dxfId="4" priority="104" operator="equal">
      <formula>"/"</formula>
    </cfRule>
  </conditionalFormatting>
  <conditionalFormatting sqref="F501">
    <cfRule type="cellIs" dxfId="4" priority="232" operator="equal">
      <formula>"/"</formula>
    </cfRule>
    <cfRule type="cellIs" dxfId="5" priority="233" operator="equal">
      <formula>0</formula>
    </cfRule>
  </conditionalFormatting>
  <conditionalFormatting sqref="D502">
    <cfRule type="cellIs" dxfId="3" priority="29" operator="equal">
      <formula>"发货"</formula>
    </cfRule>
    <cfRule type="cellIs" dxfId="2" priority="28" operator="equal">
      <formula>"单据"</formula>
    </cfRule>
    <cfRule type="cellIs" dxfId="1" priority="27" operator="equal">
      <formula>"等款"</formula>
    </cfRule>
  </conditionalFormatting>
  <conditionalFormatting sqref="F502">
    <cfRule type="cellIs" dxfId="5" priority="26" operator="equal">
      <formula>0</formula>
    </cfRule>
    <cfRule type="cellIs" dxfId="4" priority="25" operator="equal">
      <formula>"/"</formula>
    </cfRule>
  </conditionalFormatting>
  <conditionalFormatting sqref="F503">
    <cfRule type="cellIs" dxfId="4" priority="230" operator="equal">
      <formula>"/"</formula>
    </cfRule>
    <cfRule type="cellIs" dxfId="5" priority="231" operator="equal">
      <formula>0</formula>
    </cfRule>
  </conditionalFormatting>
  <conditionalFormatting sqref="F504">
    <cfRule type="cellIs" dxfId="4" priority="228" operator="equal">
      <formula>"/"</formula>
    </cfRule>
    <cfRule type="cellIs" dxfId="5" priority="229" operator="equal">
      <formula>0</formula>
    </cfRule>
  </conditionalFormatting>
  <conditionalFormatting sqref="F507">
    <cfRule type="cellIs" dxfId="4" priority="224" operator="equal">
      <formula>"/"</formula>
    </cfRule>
    <cfRule type="cellIs" dxfId="5" priority="225" operator="equal">
      <formula>0</formula>
    </cfRule>
  </conditionalFormatting>
  <conditionalFormatting sqref="F508">
    <cfRule type="cellIs" dxfId="4" priority="222" operator="equal">
      <formula>"/"</formula>
    </cfRule>
    <cfRule type="cellIs" dxfId="5" priority="223" operator="equal">
      <formula>0</formula>
    </cfRule>
  </conditionalFormatting>
  <conditionalFormatting sqref="F509">
    <cfRule type="cellIs" dxfId="4" priority="220" operator="equal">
      <formula>"/"</formula>
    </cfRule>
    <cfRule type="cellIs" dxfId="5" priority="221" operator="equal">
      <formula>0</formula>
    </cfRule>
  </conditionalFormatting>
  <conditionalFormatting sqref="F510">
    <cfRule type="cellIs" dxfId="4" priority="218" operator="equal">
      <formula>"/"</formula>
    </cfRule>
    <cfRule type="cellIs" dxfId="5" priority="219" operator="equal">
      <formula>0</formula>
    </cfRule>
  </conditionalFormatting>
  <conditionalFormatting sqref="F511">
    <cfRule type="cellIs" dxfId="4" priority="216" operator="equal">
      <formula>"/"</formula>
    </cfRule>
    <cfRule type="cellIs" dxfId="5" priority="217" operator="equal">
      <formula>0</formula>
    </cfRule>
  </conditionalFormatting>
  <conditionalFormatting sqref="F515">
    <cfRule type="cellIs" dxfId="4" priority="197" operator="equal">
      <formula>"/"</formula>
    </cfRule>
    <cfRule type="cellIs" dxfId="5" priority="198" operator="equal">
      <formula>0</formula>
    </cfRule>
  </conditionalFormatting>
  <conditionalFormatting sqref="F516">
    <cfRule type="cellIs" dxfId="4" priority="179" operator="equal">
      <formula>"/"</formula>
    </cfRule>
    <cfRule type="cellIs" dxfId="5" priority="180" operator="equal">
      <formula>0</formula>
    </cfRule>
  </conditionalFormatting>
  <conditionalFormatting sqref="F517">
    <cfRule type="cellIs" dxfId="4" priority="177" operator="equal">
      <formula>"/"</formula>
    </cfRule>
    <cfRule type="cellIs" dxfId="5" priority="178" operator="equal">
      <formula>0</formula>
    </cfRule>
  </conditionalFormatting>
  <conditionalFormatting sqref="F518">
    <cfRule type="cellIs" dxfId="4" priority="157" operator="equal">
      <formula>"/"</formula>
    </cfRule>
    <cfRule type="cellIs" dxfId="5" priority="158" operator="equal">
      <formula>0</formula>
    </cfRule>
  </conditionalFormatting>
  <conditionalFormatting sqref="F519">
    <cfRule type="cellIs" dxfId="4" priority="153" operator="equal">
      <formula>"/"</formula>
    </cfRule>
    <cfRule type="cellIs" dxfId="5" priority="154" operator="equal">
      <formula>0</formula>
    </cfRule>
  </conditionalFormatting>
  <conditionalFormatting sqref="F520">
    <cfRule type="cellIs" dxfId="4" priority="151" operator="equal">
      <formula>"/"</formula>
    </cfRule>
    <cfRule type="cellIs" dxfId="5" priority="152" operator="equal">
      <formula>0</formula>
    </cfRule>
  </conditionalFormatting>
  <conditionalFormatting sqref="F521">
    <cfRule type="cellIs" dxfId="4" priority="149" operator="equal">
      <formula>"/"</formula>
    </cfRule>
    <cfRule type="cellIs" dxfId="5" priority="150" operator="equal">
      <formula>0</formula>
    </cfRule>
  </conditionalFormatting>
  <conditionalFormatting sqref="F522">
    <cfRule type="cellIs" dxfId="4" priority="145" operator="equal">
      <formula>"/"</formula>
    </cfRule>
    <cfRule type="cellIs" dxfId="5" priority="146" operator="equal">
      <formula>0</formula>
    </cfRule>
  </conditionalFormatting>
  <conditionalFormatting sqref="F523">
    <cfRule type="cellIs" dxfId="4" priority="147" operator="equal">
      <formula>"/"</formula>
    </cfRule>
    <cfRule type="cellIs" dxfId="5" priority="148" operator="equal">
      <formula>0</formula>
    </cfRule>
  </conditionalFormatting>
  <conditionalFormatting sqref="F524">
    <cfRule type="cellIs" dxfId="4" priority="143" operator="equal">
      <formula>"/"</formula>
    </cfRule>
    <cfRule type="cellIs" dxfId="5" priority="144" operator="equal">
      <formula>0</formula>
    </cfRule>
  </conditionalFormatting>
  <conditionalFormatting sqref="F525">
    <cfRule type="cellIs" dxfId="4" priority="141" operator="equal">
      <formula>"/"</formula>
    </cfRule>
    <cfRule type="cellIs" dxfId="5" priority="142" operator="equal">
      <formula>0</formula>
    </cfRule>
  </conditionalFormatting>
  <conditionalFormatting sqref="F526">
    <cfRule type="cellIs" dxfId="4" priority="136" operator="equal">
      <formula>"/"</formula>
    </cfRule>
    <cfRule type="cellIs" dxfId="5" priority="137" operator="equal">
      <formula>0</formula>
    </cfRule>
  </conditionalFormatting>
  <conditionalFormatting sqref="F527">
    <cfRule type="cellIs" dxfId="4" priority="120" operator="equal">
      <formula>"/"</formula>
    </cfRule>
    <cfRule type="cellIs" dxfId="5" priority="121" operator="equal">
      <formula>0</formula>
    </cfRule>
  </conditionalFormatting>
  <conditionalFormatting sqref="F528">
    <cfRule type="cellIs" dxfId="4" priority="116" operator="equal">
      <formula>"/"</formula>
    </cfRule>
    <cfRule type="cellIs" dxfId="5" priority="117" operator="equal">
      <formula>0</formula>
    </cfRule>
  </conditionalFormatting>
  <conditionalFormatting sqref="F533">
    <cfRule type="cellIs" dxfId="4" priority="108" operator="equal">
      <formula>"/"</formula>
    </cfRule>
    <cfRule type="cellIs" dxfId="5" priority="109" operator="equal">
      <formula>0</formula>
    </cfRule>
  </conditionalFormatting>
  <conditionalFormatting sqref="F534">
    <cfRule type="cellIs" dxfId="4" priority="100" operator="equal">
      <formula>"/"</formula>
    </cfRule>
    <cfRule type="cellIs" dxfId="5" priority="101" operator="equal">
      <formula>0</formula>
    </cfRule>
  </conditionalFormatting>
  <conditionalFormatting sqref="F535">
    <cfRule type="cellIs" dxfId="4" priority="96" operator="equal">
      <formula>"/"</formula>
    </cfRule>
    <cfRule type="cellIs" dxfId="5" priority="97" operator="equal">
      <formula>0</formula>
    </cfRule>
  </conditionalFormatting>
  <conditionalFormatting sqref="F536">
    <cfRule type="cellIs" dxfId="4" priority="78" operator="equal">
      <formula>"/"</formula>
    </cfRule>
    <cfRule type="cellIs" dxfId="5" priority="79" operator="equal">
      <formula>0</formula>
    </cfRule>
  </conditionalFormatting>
  <conditionalFormatting sqref="F537">
    <cfRule type="cellIs" dxfId="4" priority="76" operator="equal">
      <formula>"/"</formula>
    </cfRule>
    <cfRule type="cellIs" dxfId="5" priority="77" operator="equal">
      <formula>0</formula>
    </cfRule>
  </conditionalFormatting>
  <conditionalFormatting sqref="F538">
    <cfRule type="cellIs" dxfId="4" priority="67" operator="equal">
      <formula>"/"</formula>
    </cfRule>
    <cfRule type="cellIs" dxfId="5" priority="68" operator="equal">
      <formula>0</formula>
    </cfRule>
  </conditionalFormatting>
  <conditionalFormatting sqref="F539">
    <cfRule type="cellIs" dxfId="4" priority="98" operator="equal">
      <formula>"/"</formula>
    </cfRule>
    <cfRule type="cellIs" dxfId="5" priority="99" operator="equal">
      <formula>0</formula>
    </cfRule>
  </conditionalFormatting>
  <conditionalFormatting sqref="F540">
    <cfRule type="cellIs" dxfId="4" priority="50" operator="equal">
      <formula>"/"</formula>
    </cfRule>
    <cfRule type="cellIs" dxfId="5" priority="51" operator="equal">
      <formula>0</formula>
    </cfRule>
  </conditionalFormatting>
  <conditionalFormatting sqref="F541">
    <cfRule type="cellIs" dxfId="4" priority="52" operator="equal">
      <formula>"/"</formula>
    </cfRule>
    <cfRule type="cellIs" dxfId="5" priority="53" operator="equal">
      <formula>0</formula>
    </cfRule>
  </conditionalFormatting>
  <conditionalFormatting sqref="F542">
    <cfRule type="cellIs" dxfId="4" priority="54" operator="equal">
      <formula>"/"</formula>
    </cfRule>
    <cfRule type="cellIs" dxfId="5" priority="55" operator="equal">
      <formula>0</formula>
    </cfRule>
  </conditionalFormatting>
  <conditionalFormatting sqref="F543">
    <cfRule type="cellIs" dxfId="4" priority="34" operator="equal">
      <formula>"/"</formula>
    </cfRule>
    <cfRule type="cellIs" dxfId="5" priority="35" operator="equal">
      <formula>0</formula>
    </cfRule>
  </conditionalFormatting>
  <conditionalFormatting sqref="F544">
    <cfRule type="cellIs" dxfId="4" priority="30" operator="equal">
      <formula>"/"</formula>
    </cfRule>
    <cfRule type="cellIs" dxfId="5" priority="31" operator="equal">
      <formula>0</formula>
    </cfRule>
  </conditionalFormatting>
  <conditionalFormatting sqref="F545">
    <cfRule type="cellIs" dxfId="4" priority="32" operator="equal">
      <formula>"/"</formula>
    </cfRule>
    <cfRule type="cellIs" dxfId="5" priority="33" operator="equal">
      <formula>0</formula>
    </cfRule>
  </conditionalFormatting>
  <conditionalFormatting sqref="F546">
    <cfRule type="cellIs" dxfId="4" priority="23" operator="equal">
      <formula>"/"</formula>
    </cfRule>
    <cfRule type="cellIs" dxfId="5" priority="24" operator="equal">
      <formula>0</formula>
    </cfRule>
  </conditionalFormatting>
  <conditionalFormatting sqref="F547">
    <cfRule type="cellIs" dxfId="4" priority="36" operator="equal">
      <formula>"/"</formula>
    </cfRule>
    <cfRule type="cellIs" dxfId="5" priority="37" operator="equal">
      <formula>0</formula>
    </cfRule>
  </conditionalFormatting>
  <conditionalFormatting sqref="F548">
    <cfRule type="cellIs" dxfId="4" priority="16" operator="equal">
      <formula>"/"</formula>
    </cfRule>
    <cfRule type="cellIs" dxfId="5" priority="17" operator="equal">
      <formula>0</formula>
    </cfRule>
  </conditionalFormatting>
  <conditionalFormatting sqref="F549">
    <cfRule type="cellIs" dxfId="5" priority="9" operator="equal">
      <formula>0</formula>
    </cfRule>
    <cfRule type="cellIs" dxfId="4" priority="8" operator="equal">
      <formula>"/"</formula>
    </cfRule>
  </conditionalFormatting>
  <conditionalFormatting sqref="F550">
    <cfRule type="cellIs" dxfId="4" priority="12" operator="equal">
      <formula>"/"</formula>
    </cfRule>
    <cfRule type="cellIs" dxfId="5" priority="13" operator="equal">
      <formula>0</formula>
    </cfRule>
  </conditionalFormatting>
  <conditionalFormatting sqref="F551">
    <cfRule type="cellIs" dxfId="4" priority="10" operator="equal">
      <formula>"/"</formula>
    </cfRule>
    <cfRule type="cellIs" dxfId="5" priority="11" operator="equal">
      <formula>0</formula>
    </cfRule>
  </conditionalFormatting>
  <conditionalFormatting sqref="F552">
    <cfRule type="cellIs" dxfId="4" priority="14" operator="equal">
      <formula>"/"</formula>
    </cfRule>
    <cfRule type="cellIs" dxfId="5" priority="15" operator="equal">
      <formula>0</formula>
    </cfRule>
  </conditionalFormatting>
  <conditionalFormatting sqref="F553">
    <cfRule type="cellIs" dxfId="4" priority="155" operator="equal">
      <formula>"/"</formula>
    </cfRule>
    <cfRule type="cellIs" dxfId="5" priority="156" operator="equal">
      <formula>0</formula>
    </cfRule>
  </conditionalFormatting>
  <conditionalFormatting sqref="R553">
    <cfRule type="cellIs" dxfId="0" priority="1237" operator="equal">
      <formula>0</formula>
    </cfRule>
  </conditionalFormatting>
  <conditionalFormatting sqref="R554">
    <cfRule type="cellIs" dxfId="0" priority="1236" operator="equal">
      <formula>0</formula>
    </cfRule>
  </conditionalFormatting>
  <conditionalFormatting sqref="R555">
    <cfRule type="cellIs" dxfId="0" priority="1235" operator="equal">
      <formula>0</formula>
    </cfRule>
  </conditionalFormatting>
  <conditionalFormatting sqref="R556">
    <cfRule type="cellIs" dxfId="0" priority="1234" operator="equal">
      <formula>0</formula>
    </cfRule>
  </conditionalFormatting>
  <conditionalFormatting sqref="R563">
    <cfRule type="cellIs" dxfId="0" priority="1324" operator="equal">
      <formula>0</formula>
    </cfRule>
  </conditionalFormatting>
  <conditionalFormatting sqref="R569">
    <cfRule type="cellIs" dxfId="0" priority="1330" operator="equal">
      <formula>0</formula>
    </cfRule>
  </conditionalFormatting>
  <conditionalFormatting sqref="R570">
    <cfRule type="cellIs" dxfId="0" priority="1329" operator="equal">
      <formula>0</formula>
    </cfRule>
  </conditionalFormatting>
  <conditionalFormatting sqref="F573">
    <cfRule type="cellIs" dxfId="4" priority="1124" operator="equal">
      <formula>"/"</formula>
    </cfRule>
    <cfRule type="cellIs" dxfId="5" priority="1125" operator="equal">
      <formula>0</formula>
    </cfRule>
  </conditionalFormatting>
  <conditionalFormatting sqref="F598">
    <cfRule type="cellIs" dxfId="4" priority="568" operator="equal">
      <formula>"/"</formula>
    </cfRule>
    <cfRule type="cellIs" dxfId="5" priority="569" operator="equal">
      <formula>0</formula>
    </cfRule>
  </conditionalFormatting>
  <conditionalFormatting sqref="F599">
    <cfRule type="cellIs" dxfId="4" priority="527" operator="equal">
      <formula>"/"</formula>
    </cfRule>
    <cfRule type="cellIs" dxfId="5" priority="528" operator="equal">
      <formula>0</formula>
    </cfRule>
  </conditionalFormatting>
  <conditionalFormatting sqref="F600">
    <cfRule type="cellIs" dxfId="4" priority="479" operator="equal">
      <formula>"/"</formula>
    </cfRule>
    <cfRule type="cellIs" dxfId="5" priority="480" operator="equal">
      <formula>0</formula>
    </cfRule>
  </conditionalFormatting>
  <conditionalFormatting sqref="F601">
    <cfRule type="cellIs" dxfId="4" priority="242" operator="equal">
      <formula>"/"</formula>
    </cfRule>
    <cfRule type="cellIs" dxfId="5" priority="243" operator="equal">
      <formula>0</formula>
    </cfRule>
  </conditionalFormatting>
  <conditionalFormatting sqref="F602">
    <cfRule type="cellIs" dxfId="4" priority="102" operator="equal">
      <formula>"/"</formula>
    </cfRule>
    <cfRule type="cellIs" dxfId="5" priority="103" operator="equal">
      <formula>0</formula>
    </cfRule>
  </conditionalFormatting>
  <conditionalFormatting sqref="F605">
    <cfRule type="cellIs" dxfId="4" priority="84" operator="equal">
      <formula>"/"</formula>
    </cfRule>
    <cfRule type="cellIs" dxfId="5" priority="85" operator="equal">
      <formula>0</formula>
    </cfRule>
  </conditionalFormatting>
  <conditionalFormatting sqref="R605">
    <cfRule type="cellIs" dxfId="0" priority="1327" operator="equal">
      <formula>0</formula>
    </cfRule>
  </conditionalFormatting>
  <conditionalFormatting sqref="R606">
    <cfRule type="cellIs" dxfId="0" priority="1326" operator="equal">
      <formula>0</formula>
    </cfRule>
  </conditionalFormatting>
  <conditionalFormatting sqref="T624">
    <cfRule type="cellIs" dxfId="0" priority="1148" operator="equal">
      <formula>0</formula>
    </cfRule>
  </conditionalFormatting>
  <conditionalFormatting sqref="R694">
    <cfRule type="cellIs" dxfId="0" priority="1347" operator="equal">
      <formula>0</formula>
    </cfRule>
  </conditionalFormatting>
  <conditionalFormatting sqref="R695">
    <cfRule type="cellIs" dxfId="0" priority="1346" operator="equal">
      <formula>0</formula>
    </cfRule>
  </conditionalFormatting>
  <conditionalFormatting sqref="R696">
    <cfRule type="cellIs" dxfId="0" priority="1345" operator="equal">
      <formula>0</formula>
    </cfRule>
  </conditionalFormatting>
  <conditionalFormatting sqref="R697">
    <cfRule type="cellIs" dxfId="0" priority="1344" operator="equal">
      <formula>0</formula>
    </cfRule>
  </conditionalFormatting>
  <conditionalFormatting sqref="R698">
    <cfRule type="cellIs" dxfId="0" priority="1343" operator="equal">
      <formula>0</formula>
    </cfRule>
  </conditionalFormatting>
  <conditionalFormatting sqref="R699">
    <cfRule type="cellIs" dxfId="0" priority="1342" operator="equal">
      <formula>0</formula>
    </cfRule>
  </conditionalFormatting>
  <conditionalFormatting sqref="R700">
    <cfRule type="cellIs" dxfId="0" priority="1341" operator="equal">
      <formula>0</formula>
    </cfRule>
  </conditionalFormatting>
  <conditionalFormatting sqref="R701">
    <cfRule type="cellIs" dxfId="0" priority="1340" operator="equal">
      <formula>0</formula>
    </cfRule>
  </conditionalFormatting>
  <conditionalFormatting sqref="R702">
    <cfRule type="cellIs" dxfId="0" priority="1339" operator="equal">
      <formula>0</formula>
    </cfRule>
  </conditionalFormatting>
  <conditionalFormatting sqref="R703">
    <cfRule type="cellIs" dxfId="0" priority="1338" operator="equal">
      <formula>0</formula>
    </cfRule>
  </conditionalFormatting>
  <conditionalFormatting sqref="D706">
    <cfRule type="cellIs" dxfId="1" priority="1051" operator="equal">
      <formula>"等款"</formula>
    </cfRule>
    <cfRule type="cellIs" dxfId="2" priority="1052" operator="equal">
      <formula>"单据"</formula>
    </cfRule>
    <cfRule type="cellIs" dxfId="3" priority="1053" operator="equal">
      <formula>"发货"</formula>
    </cfRule>
  </conditionalFormatting>
  <conditionalFormatting sqref="F706">
    <cfRule type="cellIs" dxfId="4" priority="1049" operator="equal">
      <formula>"/"</formula>
    </cfRule>
    <cfRule type="cellIs" dxfId="5" priority="1050" operator="equal">
      <formula>0</formula>
    </cfRule>
  </conditionalFormatting>
  <conditionalFormatting sqref="D707">
    <cfRule type="cellIs" dxfId="1" priority="1080" operator="equal">
      <formula>"等款"</formula>
    </cfRule>
    <cfRule type="cellIs" dxfId="2" priority="1081" operator="equal">
      <formula>"单据"</formula>
    </cfRule>
    <cfRule type="cellIs" dxfId="3" priority="1082" operator="equal">
      <formula>"发货"</formula>
    </cfRule>
  </conditionalFormatting>
  <conditionalFormatting sqref="F707">
    <cfRule type="cellIs" dxfId="4" priority="1078" operator="equal">
      <formula>"/"</formula>
    </cfRule>
    <cfRule type="cellIs" dxfId="5" priority="1079" operator="equal">
      <formula>0</formula>
    </cfRule>
  </conditionalFormatting>
  <conditionalFormatting sqref="D716">
    <cfRule type="cellIs" dxfId="1" priority="1025" operator="equal">
      <formula>"等款"</formula>
    </cfRule>
    <cfRule type="cellIs" dxfId="2" priority="1026" operator="equal">
      <formula>"单据"</formula>
    </cfRule>
    <cfRule type="cellIs" dxfId="3" priority="1027" operator="equal">
      <formula>"发货"</formula>
    </cfRule>
  </conditionalFormatting>
  <conditionalFormatting sqref="F716">
    <cfRule type="cellIs" dxfId="4" priority="1023" operator="equal">
      <formula>"/"</formula>
    </cfRule>
    <cfRule type="cellIs" dxfId="5" priority="1024" operator="equal">
      <formula>0</formula>
    </cfRule>
  </conditionalFormatting>
  <conditionalFormatting sqref="T718">
    <cfRule type="cellIs" dxfId="6" priority="998" operator="equal">
      <formula>0</formula>
    </cfRule>
  </conditionalFormatting>
  <conditionalFormatting sqref="U718">
    <cfRule type="cellIs" dxfId="6" priority="951" operator="equal">
      <formula>0</formula>
    </cfRule>
  </conditionalFormatting>
  <conditionalFormatting sqref="R730">
    <cfRule type="cellIs" dxfId="0" priority="1360" operator="equal">
      <formula>0</formula>
    </cfRule>
  </conditionalFormatting>
  <conditionalFormatting sqref="F738">
    <cfRule type="cellIs" dxfId="4" priority="1470" operator="equal">
      <formula>"/"</formula>
    </cfRule>
    <cfRule type="cellIs" dxfId="5" priority="1471" operator="equal">
      <formula>0</formula>
    </cfRule>
  </conditionalFormatting>
  <conditionalFormatting sqref="R743">
    <cfRule type="cellIs" dxfId="0" priority="1158" operator="equal">
      <formula>0</formula>
    </cfRule>
  </conditionalFormatting>
  <conditionalFormatting sqref="R744">
    <cfRule type="cellIs" dxfId="0" priority="1157" operator="equal">
      <formula>0</formula>
    </cfRule>
  </conditionalFormatting>
  <conditionalFormatting sqref="R745">
    <cfRule type="cellIs" dxfId="0" priority="1156" operator="equal">
      <formula>0</formula>
    </cfRule>
  </conditionalFormatting>
  <conditionalFormatting sqref="R746">
    <cfRule type="cellIs" dxfId="0" priority="1155" operator="equal">
      <formula>0</formula>
    </cfRule>
  </conditionalFormatting>
  <conditionalFormatting sqref="R747">
    <cfRule type="cellIs" dxfId="0" priority="1154" operator="equal">
      <formula>0</formula>
    </cfRule>
  </conditionalFormatting>
  <conditionalFormatting sqref="R748">
    <cfRule type="cellIs" dxfId="0" priority="1153" operator="equal">
      <formula>0</formula>
    </cfRule>
  </conditionalFormatting>
  <conditionalFormatting sqref="R749">
    <cfRule type="cellIs" dxfId="0" priority="1152" operator="equal">
      <formula>0</formula>
    </cfRule>
  </conditionalFormatting>
  <conditionalFormatting sqref="R750">
    <cfRule type="cellIs" dxfId="0" priority="1151" operator="equal">
      <formula>0</formula>
    </cfRule>
  </conditionalFormatting>
  <conditionalFormatting sqref="R820">
    <cfRule type="cellIs" dxfId="0" priority="1378" operator="equal">
      <formula>0</formula>
    </cfRule>
  </conditionalFormatting>
  <conditionalFormatting sqref="R821">
    <cfRule type="cellIs" dxfId="0" priority="1377" operator="equal">
      <formula>0</formula>
    </cfRule>
  </conditionalFormatting>
  <conditionalFormatting sqref="U821">
    <cfRule type="cellIs" dxfId="0" priority="1030" operator="equal">
      <formula>0</formula>
    </cfRule>
  </conditionalFormatting>
  <conditionalFormatting sqref="D822">
    <cfRule type="cellIs" dxfId="1" priority="1532" operator="equal">
      <formula>"等款"</formula>
    </cfRule>
    <cfRule type="cellIs" dxfId="2" priority="1533" operator="equal">
      <formula>"单据"</formula>
    </cfRule>
    <cfRule type="cellIs" dxfId="3" priority="1534" operator="equal">
      <formula>"发货"</formula>
    </cfRule>
  </conditionalFormatting>
  <conditionalFormatting sqref="F822">
    <cfRule type="cellIs" dxfId="4" priority="1530" operator="equal">
      <formula>"/"</formula>
    </cfRule>
    <cfRule type="cellIs" dxfId="5" priority="1531" operator="equal">
      <formula>0</formula>
    </cfRule>
  </conditionalFormatting>
  <conditionalFormatting sqref="D823">
    <cfRule type="cellIs" dxfId="1" priority="1075" operator="equal">
      <formula>"等款"</formula>
    </cfRule>
    <cfRule type="cellIs" dxfId="2" priority="1076" operator="equal">
      <formula>"单据"</formula>
    </cfRule>
    <cfRule type="cellIs" dxfId="3" priority="1077" operator="equal">
      <formula>"发货"</formula>
    </cfRule>
  </conditionalFormatting>
  <conditionalFormatting sqref="F823">
    <cfRule type="cellIs" dxfId="4" priority="1073" operator="equal">
      <formula>"/"</formula>
    </cfRule>
    <cfRule type="cellIs" dxfId="5" priority="1074" operator="equal">
      <formula>0</formula>
    </cfRule>
  </conditionalFormatting>
  <conditionalFormatting sqref="R824">
    <cfRule type="cellIs" dxfId="0" priority="1375" operator="equal">
      <formula>0</formula>
    </cfRule>
  </conditionalFormatting>
  <conditionalFormatting sqref="R825">
    <cfRule type="cellIs" dxfId="0" priority="1374" operator="equal">
      <formula>0</formula>
    </cfRule>
  </conditionalFormatting>
  <conditionalFormatting sqref="D827">
    <cfRule type="cellIs" dxfId="1" priority="1121" operator="equal">
      <formula>"等款"</formula>
    </cfRule>
    <cfRule type="cellIs" dxfId="2" priority="1122" operator="equal">
      <formula>"单据"</formula>
    </cfRule>
    <cfRule type="cellIs" dxfId="3" priority="1123" operator="equal">
      <formula>"发货"</formula>
    </cfRule>
  </conditionalFormatting>
  <conditionalFormatting sqref="F827">
    <cfRule type="cellIs" dxfId="4" priority="1117" operator="equal">
      <formula>"/"</formula>
    </cfRule>
    <cfRule type="cellIs" dxfId="5" priority="1118" operator="equal">
      <formula>0</formula>
    </cfRule>
  </conditionalFormatting>
  <conditionalFormatting sqref="D828">
    <cfRule type="cellIs" dxfId="1" priority="1056" operator="equal">
      <formula>"等款"</formula>
    </cfRule>
    <cfRule type="cellIs" dxfId="2" priority="1057" operator="equal">
      <formula>"单据"</formula>
    </cfRule>
    <cfRule type="cellIs" dxfId="3" priority="1058" operator="equal">
      <formula>"发货"</formula>
    </cfRule>
  </conditionalFormatting>
  <conditionalFormatting sqref="F828">
    <cfRule type="cellIs" dxfId="4" priority="1054" operator="equal">
      <formula>"/"</formula>
    </cfRule>
    <cfRule type="cellIs" dxfId="5" priority="1055" operator="equal">
      <formula>0</formula>
    </cfRule>
  </conditionalFormatting>
  <conditionalFormatting sqref="D830">
    <cfRule type="cellIs" dxfId="1" priority="1114" operator="equal">
      <formula>"等款"</formula>
    </cfRule>
    <cfRule type="cellIs" dxfId="2" priority="1115" operator="equal">
      <formula>"单据"</formula>
    </cfRule>
    <cfRule type="cellIs" dxfId="3" priority="1116" operator="equal">
      <formula>"发货"</formula>
    </cfRule>
  </conditionalFormatting>
  <conditionalFormatting sqref="R831">
    <cfRule type="cellIs" dxfId="0" priority="1392" operator="equal">
      <formula>0</formula>
    </cfRule>
  </conditionalFormatting>
  <conditionalFormatting sqref="R832">
    <cfRule type="cellIs" dxfId="0" priority="1391" operator="equal">
      <formula>0</formula>
    </cfRule>
  </conditionalFormatting>
  <conditionalFormatting sqref="F833">
    <cfRule type="cellIs" dxfId="4" priority="1544" operator="equal">
      <formula>"/"</formula>
    </cfRule>
    <cfRule type="cellIs" dxfId="5" priority="1545" operator="equal">
      <formula>0</formula>
    </cfRule>
  </conditionalFormatting>
  <conditionalFormatting sqref="R833">
    <cfRule type="cellIs" dxfId="0" priority="1390" operator="equal">
      <formula>0</formula>
    </cfRule>
  </conditionalFormatting>
  <conditionalFormatting sqref="F836">
    <cfRule type="cellIs" dxfId="4" priority="1090" operator="equal">
      <formula>"/"</formula>
    </cfRule>
    <cfRule type="cellIs" dxfId="5" priority="1091" operator="equal">
      <formula>0</formula>
    </cfRule>
  </conditionalFormatting>
  <conditionalFormatting sqref="F837">
    <cfRule type="cellIs" dxfId="4" priority="1537" operator="equal">
      <formula>"/"</formula>
    </cfRule>
    <cfRule type="cellIs" dxfId="5" priority="1538" operator="equal">
      <formula>0</formula>
    </cfRule>
  </conditionalFormatting>
  <conditionalFormatting sqref="F838">
    <cfRule type="cellIs" dxfId="4" priority="1083" operator="equal">
      <formula>"/"</formula>
    </cfRule>
    <cfRule type="cellIs" dxfId="5" priority="1084" operator="equal">
      <formula>0</formula>
    </cfRule>
  </conditionalFormatting>
  <conditionalFormatting sqref="F839">
    <cfRule type="cellIs" dxfId="4" priority="1071" operator="equal">
      <formula>"/"</formula>
    </cfRule>
    <cfRule type="cellIs" dxfId="5" priority="1072" operator="equal">
      <formula>0</formula>
    </cfRule>
  </conditionalFormatting>
  <conditionalFormatting sqref="F840">
    <cfRule type="cellIs" dxfId="4" priority="1064" operator="equal">
      <formula>"/"</formula>
    </cfRule>
    <cfRule type="cellIs" dxfId="5" priority="1065" operator="equal">
      <formula>0</formula>
    </cfRule>
  </conditionalFormatting>
  <conditionalFormatting sqref="F841">
    <cfRule type="cellIs" dxfId="4" priority="1037" operator="equal">
      <formula>"/"</formula>
    </cfRule>
    <cfRule type="cellIs" dxfId="5" priority="1038" operator="equal">
      <formula>0</formula>
    </cfRule>
  </conditionalFormatting>
  <conditionalFormatting sqref="F842">
    <cfRule type="cellIs" dxfId="4" priority="1028" operator="equal">
      <formula>"/"</formula>
    </cfRule>
    <cfRule type="cellIs" dxfId="5" priority="1029" operator="equal">
      <formula>0</formula>
    </cfRule>
  </conditionalFormatting>
  <conditionalFormatting sqref="D843">
    <cfRule type="cellIs" dxfId="1" priority="1003" operator="equal">
      <formula>"等款"</formula>
    </cfRule>
    <cfRule type="cellIs" dxfId="2" priority="1004" operator="equal">
      <formula>"单据"</formula>
    </cfRule>
    <cfRule type="cellIs" dxfId="3" priority="1005" operator="equal">
      <formula>"发货"</formula>
    </cfRule>
  </conditionalFormatting>
  <conditionalFormatting sqref="F843">
    <cfRule type="cellIs" dxfId="4" priority="1001" operator="equal">
      <formula>"/"</formula>
    </cfRule>
    <cfRule type="cellIs" dxfId="5" priority="1002" operator="equal">
      <formula>0</formula>
    </cfRule>
  </conditionalFormatting>
  <conditionalFormatting sqref="D849">
    <cfRule type="cellIs" dxfId="1" priority="974" operator="equal">
      <formula>"等款"</formula>
    </cfRule>
    <cfRule type="cellIs" dxfId="2" priority="975" operator="equal">
      <formula>"单据"</formula>
    </cfRule>
    <cfRule type="cellIs" dxfId="3" priority="976" operator="equal">
      <formula>"发货"</formula>
    </cfRule>
  </conditionalFormatting>
  <conditionalFormatting sqref="F849">
    <cfRule type="cellIs" dxfId="4" priority="972" operator="equal">
      <formula>"/"</formula>
    </cfRule>
    <cfRule type="cellIs" dxfId="5" priority="973" operator="equal">
      <formula>0</formula>
    </cfRule>
  </conditionalFormatting>
  <conditionalFormatting sqref="D851">
    <cfRule type="cellIs" dxfId="1" priority="969" operator="equal">
      <formula>"等款"</formula>
    </cfRule>
    <cfRule type="cellIs" dxfId="2" priority="970" operator="equal">
      <formula>"单据"</formula>
    </cfRule>
    <cfRule type="cellIs" dxfId="3" priority="971" operator="equal">
      <formula>"发货"</formula>
    </cfRule>
  </conditionalFormatting>
  <conditionalFormatting sqref="F851">
    <cfRule type="cellIs" dxfId="4" priority="967" operator="equal">
      <formula>"/"</formula>
    </cfRule>
    <cfRule type="cellIs" dxfId="5" priority="968" operator="equal">
      <formula>0</formula>
    </cfRule>
  </conditionalFormatting>
  <conditionalFormatting sqref="D859">
    <cfRule type="cellIs" dxfId="1" priority="920" operator="equal">
      <formula>"等款"</formula>
    </cfRule>
    <cfRule type="cellIs" dxfId="2" priority="921" operator="equal">
      <formula>"单据"</formula>
    </cfRule>
    <cfRule type="cellIs" dxfId="3" priority="922" operator="equal">
      <formula>"发货"</formula>
    </cfRule>
  </conditionalFormatting>
  <conditionalFormatting sqref="F859">
    <cfRule type="cellIs" dxfId="4" priority="918" operator="equal">
      <formula>"/"</formula>
    </cfRule>
    <cfRule type="cellIs" dxfId="5" priority="919" operator="equal">
      <formula>0</formula>
    </cfRule>
  </conditionalFormatting>
  <conditionalFormatting sqref="D874">
    <cfRule type="cellIs" dxfId="1" priority="741" operator="equal">
      <formula>"等款"</formula>
    </cfRule>
    <cfRule type="cellIs" dxfId="2" priority="742" operator="equal">
      <formula>"单据"</formula>
    </cfRule>
    <cfRule type="cellIs" dxfId="3" priority="743" operator="equal">
      <formula>"发货"</formula>
    </cfRule>
  </conditionalFormatting>
  <conditionalFormatting sqref="F874">
    <cfRule type="cellIs" dxfId="4" priority="739" operator="equal">
      <formula>"/"</formula>
    </cfRule>
    <cfRule type="cellIs" dxfId="5" priority="740" operator="equal">
      <formula>0</formula>
    </cfRule>
  </conditionalFormatting>
  <conditionalFormatting sqref="D875">
    <cfRule type="cellIs" dxfId="1" priority="724" operator="equal">
      <formula>"等款"</formula>
    </cfRule>
    <cfRule type="cellIs" dxfId="2" priority="725" operator="equal">
      <formula>"单据"</formula>
    </cfRule>
    <cfRule type="cellIs" dxfId="3" priority="726" operator="equal">
      <formula>"发货"</formula>
    </cfRule>
  </conditionalFormatting>
  <conditionalFormatting sqref="F875">
    <cfRule type="cellIs" dxfId="4" priority="722" operator="equal">
      <formula>"/"</formula>
    </cfRule>
    <cfRule type="cellIs" dxfId="5" priority="723" operator="equal">
      <formula>0</formula>
    </cfRule>
  </conditionalFormatting>
  <conditionalFormatting sqref="D876">
    <cfRule type="cellIs" dxfId="1" priority="699" operator="equal">
      <formula>"等款"</formula>
    </cfRule>
    <cfRule type="cellIs" dxfId="2" priority="700" operator="equal">
      <formula>"单据"</formula>
    </cfRule>
    <cfRule type="cellIs" dxfId="3" priority="701" operator="equal">
      <formula>"发货"</formula>
    </cfRule>
  </conditionalFormatting>
  <conditionalFormatting sqref="F876">
    <cfRule type="cellIs" dxfId="4" priority="697" operator="equal">
      <formula>"/"</formula>
    </cfRule>
    <cfRule type="cellIs" dxfId="5" priority="698" operator="equal">
      <formula>0</formula>
    </cfRule>
  </conditionalFormatting>
  <conditionalFormatting sqref="F883">
    <cfRule type="cellIs" dxfId="4" priority="583" operator="equal">
      <formula>"/"</formula>
    </cfRule>
    <cfRule type="cellIs" dxfId="5" priority="584" operator="equal">
      <formula>0</formula>
    </cfRule>
  </conditionalFormatting>
  <conditionalFormatting sqref="F884">
    <cfRule type="cellIs" dxfId="4" priority="551" operator="equal">
      <formula>"/"</formula>
    </cfRule>
    <cfRule type="cellIs" dxfId="5" priority="552" operator="equal">
      <formula>0</formula>
    </cfRule>
  </conditionalFormatting>
  <conditionalFormatting sqref="F885">
    <cfRule type="cellIs" dxfId="4" priority="553" operator="equal">
      <formula>"/"</formula>
    </cfRule>
    <cfRule type="cellIs" dxfId="5" priority="554" operator="equal">
      <formula>0</formula>
    </cfRule>
  </conditionalFormatting>
  <conditionalFormatting sqref="F886">
    <cfRule type="cellIs" dxfId="4" priority="545" operator="equal">
      <formula>"/"</formula>
    </cfRule>
    <cfRule type="cellIs" dxfId="5" priority="546" operator="equal">
      <formula>0</formula>
    </cfRule>
  </conditionalFormatting>
  <conditionalFormatting sqref="F889">
    <cfRule type="cellIs" dxfId="4" priority="507" operator="equal">
      <formula>"/"</formula>
    </cfRule>
    <cfRule type="cellIs" dxfId="5" priority="508" operator="equal">
      <formula>0</formula>
    </cfRule>
  </conditionalFormatting>
  <conditionalFormatting sqref="F890">
    <cfRule type="cellIs" dxfId="4" priority="501" operator="equal">
      <formula>"/"</formula>
    </cfRule>
    <cfRule type="cellIs" dxfId="5" priority="502" operator="equal">
      <formula>0</formula>
    </cfRule>
  </conditionalFormatting>
  <conditionalFormatting sqref="D891">
    <cfRule type="cellIs" dxfId="1" priority="467" operator="equal">
      <formula>"等款"</formula>
    </cfRule>
    <cfRule type="cellIs" dxfId="2" priority="468" operator="equal">
      <formula>"单据"</formula>
    </cfRule>
    <cfRule type="cellIs" dxfId="3" priority="469" operator="equal">
      <formula>"发货"</formula>
    </cfRule>
  </conditionalFormatting>
  <conditionalFormatting sqref="F891">
    <cfRule type="cellIs" dxfId="4" priority="465" operator="equal">
      <formula>"/"</formula>
    </cfRule>
    <cfRule type="cellIs" dxfId="5" priority="466" operator="equal">
      <formula>0</formula>
    </cfRule>
  </conditionalFormatting>
  <conditionalFormatting sqref="F892">
    <cfRule type="cellIs" dxfId="4" priority="499" operator="equal">
      <formula>"/"</formula>
    </cfRule>
    <cfRule type="cellIs" dxfId="5" priority="500" operator="equal">
      <formula>0</formula>
    </cfRule>
  </conditionalFormatting>
  <conditionalFormatting sqref="D893">
    <cfRule type="cellIs" dxfId="1" priority="406" operator="equal">
      <formula>"等款"</formula>
    </cfRule>
    <cfRule type="cellIs" dxfId="2" priority="407" operator="equal">
      <formula>"单据"</formula>
    </cfRule>
    <cfRule type="cellIs" dxfId="3" priority="408" operator="equal">
      <formula>"发货"</formula>
    </cfRule>
  </conditionalFormatting>
  <conditionalFormatting sqref="F893">
    <cfRule type="cellIs" dxfId="4" priority="404" operator="equal">
      <formula>"/"</formula>
    </cfRule>
    <cfRule type="cellIs" dxfId="5" priority="405" operator="equal">
      <formula>0</formula>
    </cfRule>
  </conditionalFormatting>
  <conditionalFormatting sqref="F896">
    <cfRule type="cellIs" dxfId="4" priority="400" operator="equal">
      <formula>"/"</formula>
    </cfRule>
    <cfRule type="cellIs" dxfId="5" priority="401" operator="equal">
      <formula>0</formula>
    </cfRule>
  </conditionalFormatting>
  <conditionalFormatting sqref="D897">
    <cfRule type="cellIs" dxfId="1" priority="267" operator="equal">
      <formula>"等款"</formula>
    </cfRule>
    <cfRule type="cellIs" dxfId="2" priority="268" operator="equal">
      <formula>"单据"</formula>
    </cfRule>
    <cfRule type="cellIs" dxfId="3" priority="269" operator="equal">
      <formula>"发货"</formula>
    </cfRule>
  </conditionalFormatting>
  <conditionalFormatting sqref="F897">
    <cfRule type="cellIs" dxfId="4" priority="265" operator="equal">
      <formula>"/"</formula>
    </cfRule>
    <cfRule type="cellIs" dxfId="5" priority="266" operator="equal">
      <formula>0</formula>
    </cfRule>
  </conditionalFormatting>
  <conditionalFormatting sqref="F898">
    <cfRule type="cellIs" dxfId="4" priority="356" operator="equal">
      <formula>"/"</formula>
    </cfRule>
    <cfRule type="cellIs" dxfId="5" priority="357" operator="equal">
      <formula>0</formula>
    </cfRule>
  </conditionalFormatting>
  <conditionalFormatting sqref="F899">
    <cfRule type="cellIs" dxfId="4" priority="338" operator="equal">
      <formula>"/"</formula>
    </cfRule>
    <cfRule type="cellIs" dxfId="5" priority="339" operator="equal">
      <formula>0</formula>
    </cfRule>
  </conditionalFormatting>
  <conditionalFormatting sqref="F900">
    <cfRule type="cellIs" dxfId="4" priority="334" operator="equal">
      <formula>"/"</formula>
    </cfRule>
    <cfRule type="cellIs" dxfId="5" priority="335" operator="equal">
      <formula>0</formula>
    </cfRule>
  </conditionalFormatting>
  <conditionalFormatting sqref="D903">
    <cfRule type="cellIs" dxfId="1" priority="260" operator="equal">
      <formula>"等款"</formula>
    </cfRule>
    <cfRule type="cellIs" dxfId="2" priority="261" operator="equal">
      <formula>"单据"</formula>
    </cfRule>
    <cfRule type="cellIs" dxfId="3" priority="262" operator="equal">
      <formula>"发货"</formula>
    </cfRule>
  </conditionalFormatting>
  <conditionalFormatting sqref="F903">
    <cfRule type="cellIs" dxfId="4" priority="258" operator="equal">
      <formula>"/"</formula>
    </cfRule>
    <cfRule type="cellIs" dxfId="5" priority="259" operator="equal">
      <formula>0</formula>
    </cfRule>
  </conditionalFormatting>
  <conditionalFormatting sqref="D904">
    <cfRule type="cellIs" dxfId="1" priority="194" operator="equal">
      <formula>"等款"</formula>
    </cfRule>
    <cfRule type="cellIs" dxfId="2" priority="195" operator="equal">
      <formula>"单据"</formula>
    </cfRule>
    <cfRule type="cellIs" dxfId="3" priority="196" operator="equal">
      <formula>"发货"</formula>
    </cfRule>
  </conditionalFormatting>
  <conditionalFormatting sqref="F904">
    <cfRule type="cellIs" dxfId="4" priority="192" operator="equal">
      <formula>"/"</formula>
    </cfRule>
    <cfRule type="cellIs" dxfId="5" priority="193" operator="equal">
      <formula>0</formula>
    </cfRule>
  </conditionalFormatting>
  <conditionalFormatting sqref="F905">
    <cfRule type="cellIs" dxfId="4" priority="308" operator="equal">
      <formula>"/"</formula>
    </cfRule>
    <cfRule type="cellIs" dxfId="5" priority="309" operator="equal">
      <formula>0</formula>
    </cfRule>
  </conditionalFormatting>
  <conditionalFormatting sqref="F906">
    <cfRule type="cellIs" dxfId="4" priority="286" operator="equal">
      <formula>"/"</formula>
    </cfRule>
    <cfRule type="cellIs" dxfId="5" priority="287" operator="equal">
      <formula>0</formula>
    </cfRule>
  </conditionalFormatting>
  <conditionalFormatting sqref="F907">
    <cfRule type="cellIs" dxfId="4" priority="288" operator="equal">
      <formula>"/"</formula>
    </cfRule>
    <cfRule type="cellIs" dxfId="5" priority="289" operator="equal">
      <formula>0</formula>
    </cfRule>
  </conditionalFormatting>
  <conditionalFormatting sqref="F908">
    <cfRule type="cellIs" dxfId="4" priority="263" operator="equal">
      <formula>"/"</formula>
    </cfRule>
    <cfRule type="cellIs" dxfId="5" priority="264" operator="equal">
      <formula>0</formula>
    </cfRule>
  </conditionalFormatting>
  <conditionalFormatting sqref="F909">
    <cfRule type="cellIs" dxfId="4" priority="199" operator="equal">
      <formula>"/"</formula>
    </cfRule>
    <cfRule type="cellIs" dxfId="5" priority="200" operator="equal">
      <formula>0</formula>
    </cfRule>
  </conditionalFormatting>
  <conditionalFormatting sqref="D912">
    <cfRule type="cellIs" dxfId="1" priority="40" operator="equal">
      <formula>"等款"</formula>
    </cfRule>
    <cfRule type="cellIs" dxfId="2" priority="41" operator="equal">
      <formula>"单据"</formula>
    </cfRule>
    <cfRule type="cellIs" dxfId="3" priority="42" operator="equal">
      <formula>"发货"</formula>
    </cfRule>
  </conditionalFormatting>
  <conditionalFormatting sqref="F912">
    <cfRule type="cellIs" dxfId="4" priority="38" operator="equal">
      <formula>"/"</formula>
    </cfRule>
    <cfRule type="cellIs" dxfId="5" priority="39" operator="equal">
      <formula>0</formula>
    </cfRule>
  </conditionalFormatting>
  <conditionalFormatting sqref="F913">
    <cfRule type="cellIs" dxfId="4" priority="175" operator="equal">
      <formula>"/"</formula>
    </cfRule>
    <cfRule type="cellIs" dxfId="5" priority="176" operator="equal">
      <formula>0</formula>
    </cfRule>
  </conditionalFormatting>
  <conditionalFormatting sqref="F914">
    <cfRule type="cellIs" dxfId="4" priority="165" operator="equal">
      <formula>"/"</formula>
    </cfRule>
    <cfRule type="cellIs" dxfId="5" priority="166" operator="equal">
      <formula>0</formula>
    </cfRule>
  </conditionalFormatting>
  <conditionalFormatting sqref="F915">
    <cfRule type="cellIs" dxfId="4" priority="134" operator="equal">
      <formula>"/"</formula>
    </cfRule>
    <cfRule type="cellIs" dxfId="5" priority="135" operator="equal">
      <formula>0</formula>
    </cfRule>
  </conditionalFormatting>
  <conditionalFormatting sqref="F916">
    <cfRule type="cellIs" dxfId="4" priority="132" operator="equal">
      <formula>"/"</formula>
    </cfRule>
    <cfRule type="cellIs" dxfId="5" priority="133" operator="equal">
      <formula>0</formula>
    </cfRule>
  </conditionalFormatting>
  <conditionalFormatting sqref="F917">
    <cfRule type="cellIs" dxfId="4" priority="130" operator="equal">
      <formula>"/"</formula>
    </cfRule>
    <cfRule type="cellIs" dxfId="5" priority="131" operator="equal">
      <formula>0</formula>
    </cfRule>
  </conditionalFormatting>
  <conditionalFormatting sqref="F918">
    <cfRule type="cellIs" dxfId="4" priority="128" operator="equal">
      <formula>"/"</formula>
    </cfRule>
    <cfRule type="cellIs" dxfId="5" priority="129" operator="equal">
      <formula>0</formula>
    </cfRule>
  </conditionalFormatting>
  <conditionalFormatting sqref="F919">
    <cfRule type="cellIs" dxfId="4" priority="114" operator="equal">
      <formula>"/"</formula>
    </cfRule>
    <cfRule type="cellIs" dxfId="5" priority="115" operator="equal">
      <formula>0</formula>
    </cfRule>
  </conditionalFormatting>
  <conditionalFormatting sqref="D920">
    <cfRule type="cellIs" dxfId="1" priority="20" operator="equal">
      <formula>"等款"</formula>
    </cfRule>
    <cfRule type="cellIs" dxfId="2" priority="21" operator="equal">
      <formula>"单据"</formula>
    </cfRule>
    <cfRule type="cellIs" dxfId="3" priority="22" operator="equal">
      <formula>"发货"</formula>
    </cfRule>
  </conditionalFormatting>
  <conditionalFormatting sqref="F920">
    <cfRule type="cellIs" dxfId="4" priority="18" operator="equal">
      <formula>"/"</formula>
    </cfRule>
    <cfRule type="cellIs" dxfId="5" priority="19" operator="equal">
      <formula>0</formula>
    </cfRule>
  </conditionalFormatting>
  <conditionalFormatting sqref="F921">
    <cfRule type="cellIs" dxfId="4" priority="106" operator="equal">
      <formula>"/"</formula>
    </cfRule>
    <cfRule type="cellIs" dxfId="5" priority="107" operator="equal">
      <formula>0</formula>
    </cfRule>
  </conditionalFormatting>
  <conditionalFormatting sqref="F922">
    <cfRule type="cellIs" dxfId="4" priority="90" operator="equal">
      <formula>"/"</formula>
    </cfRule>
    <cfRule type="cellIs" dxfId="5" priority="91" operator="equal">
      <formula>0</formula>
    </cfRule>
  </conditionalFormatting>
  <conditionalFormatting sqref="D923">
    <cfRule type="cellIs" dxfId="3" priority="7" operator="equal">
      <formula>"发货"</formula>
    </cfRule>
    <cfRule type="cellIs" dxfId="2" priority="6" operator="equal">
      <formula>"单据"</formula>
    </cfRule>
    <cfRule type="cellIs" dxfId="1" priority="5" operator="equal">
      <formula>"等款"</formula>
    </cfRule>
  </conditionalFormatting>
  <conditionalFormatting sqref="F923">
    <cfRule type="cellIs" dxfId="5" priority="4" operator="equal">
      <formula>0</formula>
    </cfRule>
    <cfRule type="cellIs" dxfId="4" priority="3" operator="equal">
      <formula>"/"</formula>
    </cfRule>
  </conditionalFormatting>
  <conditionalFormatting sqref="F924">
    <cfRule type="cellIs" dxfId="4" priority="58" operator="equal">
      <formula>"/"</formula>
    </cfRule>
    <cfRule type="cellIs" dxfId="5" priority="59" operator="equal">
      <formula>0</formula>
    </cfRule>
  </conditionalFormatting>
  <conditionalFormatting sqref="F925">
    <cfRule type="cellIs" dxfId="4" priority="56" operator="equal">
      <formula>"/"</formula>
    </cfRule>
    <cfRule type="cellIs" dxfId="5" priority="57" operator="equal">
      <formula>0</formula>
    </cfRule>
  </conditionalFormatting>
  <conditionalFormatting sqref="F926">
    <cfRule type="cellIs" dxfId="4" priority="92" operator="equal">
      <formula>"/"</formula>
    </cfRule>
    <cfRule type="cellIs" dxfId="5" priority="93" operator="equal">
      <formula>0</formula>
    </cfRule>
  </conditionalFormatting>
  <conditionalFormatting sqref="F927">
    <cfRule type="cellIs" dxfId="5" priority="2" operator="equal">
      <formula>0</formula>
    </cfRule>
    <cfRule type="cellIs" dxfId="4" priority="1" operator="equal">
      <formula>"/"</formula>
    </cfRule>
  </conditionalFormatting>
  <conditionalFormatting sqref="F928">
    <cfRule type="cellIs" dxfId="4" priority="185" operator="equal">
      <formula>"/"</formula>
    </cfRule>
    <cfRule type="cellIs" dxfId="5" priority="186" operator="equal">
      <formula>0</formula>
    </cfRule>
  </conditionalFormatting>
  <conditionalFormatting sqref="R928">
    <cfRule type="cellIs" dxfId="0" priority="1386" operator="equal">
      <formula>0</formula>
    </cfRule>
  </conditionalFormatting>
  <conditionalFormatting sqref="R932">
    <cfRule type="cellIs" dxfId="0" priority="1403" operator="equal">
      <formula>0</formula>
    </cfRule>
  </conditionalFormatting>
  <conditionalFormatting sqref="F933">
    <cfRule type="cellIs" dxfId="4" priority="1535" operator="equal">
      <formula>"/"</formula>
    </cfRule>
    <cfRule type="cellIs" dxfId="5" priority="1536" operator="equal">
      <formula>0</formula>
    </cfRule>
  </conditionalFormatting>
  <conditionalFormatting sqref="R935">
    <cfRule type="cellIs" dxfId="0" priority="1401" operator="equal">
      <formula>0</formula>
    </cfRule>
  </conditionalFormatting>
  <conditionalFormatting sqref="R936">
    <cfRule type="cellIs" dxfId="0" priority="1400" operator="equal">
      <formula>0</formula>
    </cfRule>
  </conditionalFormatting>
  <conditionalFormatting sqref="R970">
    <cfRule type="cellIs" dxfId="0" priority="1408" operator="equal">
      <formula>0</formula>
    </cfRule>
  </conditionalFormatting>
  <conditionalFormatting sqref="R977">
    <cfRule type="cellIs" dxfId="0" priority="1410" operator="equal">
      <formula>0</formula>
    </cfRule>
  </conditionalFormatting>
  <conditionalFormatting sqref="R981">
    <cfRule type="cellIs" dxfId="0" priority="1418" operator="equal">
      <formula>0</formula>
    </cfRule>
  </conditionalFormatting>
  <conditionalFormatting sqref="R982">
    <cfRule type="cellIs" dxfId="0" priority="1417" operator="equal">
      <formula>0</formula>
    </cfRule>
  </conditionalFormatting>
  <conditionalFormatting sqref="D984">
    <cfRule type="cellIs" dxfId="1" priority="1068" operator="equal">
      <formula>"等款"</formula>
    </cfRule>
    <cfRule type="cellIs" dxfId="2" priority="1069" operator="equal">
      <formula>"单据"</formula>
    </cfRule>
    <cfRule type="cellIs" dxfId="3" priority="1070" operator="equal">
      <formula>"发货"</formula>
    </cfRule>
  </conditionalFormatting>
  <conditionalFormatting sqref="F984">
    <cfRule type="cellIs" dxfId="4" priority="1066" operator="equal">
      <formula>"/"</formula>
    </cfRule>
    <cfRule type="cellIs" dxfId="5" priority="1067" operator="equal">
      <formula>0</formula>
    </cfRule>
  </conditionalFormatting>
  <conditionalFormatting sqref="D985">
    <cfRule type="cellIs" dxfId="1" priority="1103" operator="equal">
      <formula>"等款"</formula>
    </cfRule>
    <cfRule type="cellIs" dxfId="2" priority="1104" operator="equal">
      <formula>"单据"</formula>
    </cfRule>
    <cfRule type="cellIs" dxfId="3" priority="1105" operator="equal">
      <formula>"发货"</formula>
    </cfRule>
  </conditionalFormatting>
  <conditionalFormatting sqref="F985">
    <cfRule type="cellIs" dxfId="4" priority="1101" operator="equal">
      <formula>"/"</formula>
    </cfRule>
    <cfRule type="cellIs" dxfId="5" priority="1102" operator="equal">
      <formula>0</formula>
    </cfRule>
  </conditionalFormatting>
  <conditionalFormatting sqref="R986">
    <cfRule type="cellIs" dxfId="0" priority="1415" operator="equal">
      <formula>0</formula>
    </cfRule>
  </conditionalFormatting>
  <conditionalFormatting sqref="R987">
    <cfRule type="cellIs" dxfId="0" priority="1414" operator="equal">
      <formula>0</formula>
    </cfRule>
  </conditionalFormatting>
  <conditionalFormatting sqref="R988">
    <cfRule type="cellIs" dxfId="0" priority="1413" operator="equal">
      <formula>0</formula>
    </cfRule>
  </conditionalFormatting>
  <conditionalFormatting sqref="D993">
    <cfRule type="cellIs" dxfId="1" priority="1087" operator="equal">
      <formula>"等款"</formula>
    </cfRule>
    <cfRule type="cellIs" dxfId="2" priority="1088" operator="equal">
      <formula>"单据"</formula>
    </cfRule>
    <cfRule type="cellIs" dxfId="3" priority="1089" operator="equal">
      <formula>"发货"</formula>
    </cfRule>
  </conditionalFormatting>
  <conditionalFormatting sqref="F993">
    <cfRule type="cellIs" dxfId="4" priority="1085" operator="equal">
      <formula>"/"</formula>
    </cfRule>
    <cfRule type="cellIs" dxfId="5" priority="1086" operator="equal">
      <formula>0</formula>
    </cfRule>
  </conditionalFormatting>
  <conditionalFormatting sqref="D1003">
    <cfRule type="cellIs" dxfId="1" priority="1020" operator="equal">
      <formula>"等款"</formula>
    </cfRule>
    <cfRule type="cellIs" dxfId="2" priority="1021" operator="equal">
      <formula>"单据"</formula>
    </cfRule>
    <cfRule type="cellIs" dxfId="3" priority="1022" operator="equal">
      <formula>"发货"</formula>
    </cfRule>
  </conditionalFormatting>
  <conditionalFormatting sqref="F1003">
    <cfRule type="cellIs" dxfId="4" priority="1018" operator="equal">
      <formula>"/"</formula>
    </cfRule>
    <cfRule type="cellIs" dxfId="5" priority="1019" operator="equal">
      <formula>0</formula>
    </cfRule>
  </conditionalFormatting>
  <conditionalFormatting sqref="F1007">
    <cfRule type="cellIs" dxfId="4" priority="1013" operator="equal">
      <formula>"/"</formula>
    </cfRule>
    <cfRule type="cellIs" dxfId="5" priority="1014" operator="equal">
      <formula>0</formula>
    </cfRule>
  </conditionalFormatting>
  <conditionalFormatting sqref="T1009">
    <cfRule type="cellIs" dxfId="6" priority="988" operator="equal">
      <formula>0</formula>
    </cfRule>
  </conditionalFormatting>
  <conditionalFormatting sqref="F1010">
    <cfRule type="cellIs" dxfId="4" priority="996" operator="equal">
      <formula>"/"</formula>
    </cfRule>
    <cfRule type="cellIs" dxfId="5" priority="997" operator="equal">
      <formula>0</formula>
    </cfRule>
  </conditionalFormatting>
  <conditionalFormatting sqref="F1011">
    <cfRule type="cellIs" dxfId="4" priority="994" operator="equal">
      <formula>"/"</formula>
    </cfRule>
    <cfRule type="cellIs" dxfId="5" priority="995" operator="equal">
      <formula>0</formula>
    </cfRule>
  </conditionalFormatting>
  <conditionalFormatting sqref="F1012">
    <cfRule type="cellIs" dxfId="4" priority="992" operator="equal">
      <formula>"/"</formula>
    </cfRule>
    <cfRule type="cellIs" dxfId="5" priority="993" operator="equal">
      <formula>0</formula>
    </cfRule>
  </conditionalFormatting>
  <conditionalFormatting sqref="F1013">
    <cfRule type="cellIs" dxfId="4" priority="989" operator="equal">
      <formula>"/"</formula>
    </cfRule>
    <cfRule type="cellIs" dxfId="5" priority="990" operator="equal">
      <formula>0</formula>
    </cfRule>
  </conditionalFormatting>
  <conditionalFormatting sqref="F1014">
    <cfRule type="cellIs" dxfId="4" priority="986" operator="equal">
      <formula>"/"</formula>
    </cfRule>
    <cfRule type="cellIs" dxfId="5" priority="987" operator="equal">
      <formula>0</formula>
    </cfRule>
  </conditionalFormatting>
  <conditionalFormatting sqref="F1017">
    <cfRule type="cellIs" dxfId="4" priority="965" operator="equal">
      <formula>"/"</formula>
    </cfRule>
    <cfRule type="cellIs" dxfId="5" priority="966" operator="equal">
      <formula>0</formula>
    </cfRule>
  </conditionalFormatting>
  <conditionalFormatting sqref="F1018">
    <cfRule type="cellIs" dxfId="4" priority="963" operator="equal">
      <formula>"/"</formula>
    </cfRule>
    <cfRule type="cellIs" dxfId="5" priority="964" operator="equal">
      <formula>0</formula>
    </cfRule>
  </conditionalFormatting>
  <conditionalFormatting sqref="F1019">
    <cfRule type="cellIs" dxfId="4" priority="961" operator="equal">
      <formula>"/"</formula>
    </cfRule>
    <cfRule type="cellIs" dxfId="5" priority="962" operator="equal">
      <formula>0</formula>
    </cfRule>
  </conditionalFormatting>
  <conditionalFormatting sqref="F1020">
    <cfRule type="cellIs" dxfId="4" priority="959" operator="equal">
      <formula>"/"</formula>
    </cfRule>
    <cfRule type="cellIs" dxfId="5" priority="960" operator="equal">
      <formula>0</formula>
    </cfRule>
  </conditionalFormatting>
  <conditionalFormatting sqref="F1021">
    <cfRule type="cellIs" dxfId="4" priority="956" operator="equal">
      <formula>"/"</formula>
    </cfRule>
    <cfRule type="cellIs" dxfId="5" priority="957" operator="equal">
      <formula>0</formula>
    </cfRule>
  </conditionalFormatting>
  <conditionalFormatting sqref="F1022">
    <cfRule type="cellIs" dxfId="4" priority="954" operator="equal">
      <formula>"/"</formula>
    </cfRule>
    <cfRule type="cellIs" dxfId="5" priority="955" operator="equal">
      <formula>0</formula>
    </cfRule>
  </conditionalFormatting>
  <conditionalFormatting sqref="F1023">
    <cfRule type="cellIs" dxfId="4" priority="952" operator="equal">
      <formula>"/"</formula>
    </cfRule>
    <cfRule type="cellIs" dxfId="5" priority="953" operator="equal">
      <formula>0</formula>
    </cfRule>
  </conditionalFormatting>
  <conditionalFormatting sqref="F1024">
    <cfRule type="cellIs" dxfId="4" priority="905" operator="equal">
      <formula>"/"</formula>
    </cfRule>
    <cfRule type="cellIs" dxfId="5" priority="906" operator="equal">
      <formula>0</formula>
    </cfRule>
  </conditionalFormatting>
  <conditionalFormatting sqref="F1025">
    <cfRule type="cellIs" dxfId="4" priority="939" operator="equal">
      <formula>"/"</formula>
    </cfRule>
    <cfRule type="cellIs" dxfId="5" priority="940" operator="equal">
      <formula>0</formula>
    </cfRule>
  </conditionalFormatting>
  <conditionalFormatting sqref="F1026">
    <cfRule type="cellIs" dxfId="4" priority="937" operator="equal">
      <formula>"/"</formula>
    </cfRule>
    <cfRule type="cellIs" dxfId="5" priority="938" operator="equal">
      <formula>0</formula>
    </cfRule>
  </conditionalFormatting>
  <conditionalFormatting sqref="F1027">
    <cfRule type="cellIs" dxfId="4" priority="935" operator="equal">
      <formula>"/"</formula>
    </cfRule>
    <cfRule type="cellIs" dxfId="5" priority="936" operator="equal">
      <formula>0</formula>
    </cfRule>
  </conditionalFormatting>
  <conditionalFormatting sqref="F1028">
    <cfRule type="cellIs" dxfId="4" priority="930" operator="equal">
      <formula>"/"</formula>
    </cfRule>
    <cfRule type="cellIs" dxfId="5" priority="931" operator="equal">
      <formula>0</formula>
    </cfRule>
  </conditionalFormatting>
  <conditionalFormatting sqref="D1029">
    <cfRule type="cellIs" dxfId="1" priority="877" operator="equal">
      <formula>"等款"</formula>
    </cfRule>
    <cfRule type="cellIs" dxfId="2" priority="878" operator="equal">
      <formula>"单据"</formula>
    </cfRule>
    <cfRule type="cellIs" dxfId="3" priority="879" operator="equal">
      <formula>"发货"</formula>
    </cfRule>
  </conditionalFormatting>
  <conditionalFormatting sqref="F1029">
    <cfRule type="cellIs" dxfId="4" priority="875" operator="equal">
      <formula>"/"</formula>
    </cfRule>
    <cfRule type="cellIs" dxfId="5" priority="876" operator="equal">
      <formula>0</formula>
    </cfRule>
  </conditionalFormatting>
  <conditionalFormatting sqref="F1030">
    <cfRule type="cellIs" dxfId="4" priority="916" operator="equal">
      <formula>"/"</formula>
    </cfRule>
    <cfRule type="cellIs" dxfId="5" priority="917" operator="equal">
      <formula>0</formula>
    </cfRule>
  </conditionalFormatting>
  <conditionalFormatting sqref="F1031">
    <cfRule type="cellIs" dxfId="4" priority="909" operator="equal">
      <formula>"/"</formula>
    </cfRule>
    <cfRule type="cellIs" dxfId="5" priority="910" operator="equal">
      <formula>0</formula>
    </cfRule>
  </conditionalFormatting>
  <conditionalFormatting sqref="F1032">
    <cfRule type="cellIs" dxfId="4" priority="907" operator="equal">
      <formula>"/"</formula>
    </cfRule>
    <cfRule type="cellIs" dxfId="5" priority="908" operator="equal">
      <formula>0</formula>
    </cfRule>
  </conditionalFormatting>
  <conditionalFormatting sqref="F1033">
    <cfRule type="cellIs" dxfId="4" priority="903" operator="equal">
      <formula>"/"</formula>
    </cfRule>
    <cfRule type="cellIs" dxfId="5" priority="904" operator="equal">
      <formula>0</formula>
    </cfRule>
  </conditionalFormatting>
  <conditionalFormatting sqref="T1033">
    <cfRule type="cellIs" dxfId="0" priority="734" operator="equal">
      <formula>0</formula>
    </cfRule>
  </conditionalFormatting>
  <conditionalFormatting sqref="F1034">
    <cfRule type="cellIs" dxfId="4" priority="886" operator="equal">
      <formula>"/"</formula>
    </cfRule>
    <cfRule type="cellIs" dxfId="5" priority="887" operator="equal">
      <formula>0</formula>
    </cfRule>
  </conditionalFormatting>
  <conditionalFormatting sqref="F1035">
    <cfRule type="cellIs" dxfId="4" priority="865" operator="equal">
      <formula>"/"</formula>
    </cfRule>
    <cfRule type="cellIs" dxfId="5" priority="866" operator="equal">
      <formula>0</formula>
    </cfRule>
  </conditionalFormatting>
  <conditionalFormatting sqref="F1036">
    <cfRule type="cellIs" dxfId="4" priority="854" operator="equal">
      <formula>"/"</formula>
    </cfRule>
    <cfRule type="cellIs" dxfId="5" priority="855" operator="equal">
      <formula>0</formula>
    </cfRule>
  </conditionalFormatting>
  <conditionalFormatting sqref="D1037">
    <cfRule type="cellIs" dxfId="1" priority="664" operator="equal">
      <formula>"等款"</formula>
    </cfRule>
    <cfRule type="cellIs" dxfId="2" priority="665" operator="equal">
      <formula>"单据"</formula>
    </cfRule>
    <cfRule type="cellIs" dxfId="3" priority="666" operator="equal">
      <formula>"发货"</formula>
    </cfRule>
  </conditionalFormatting>
  <conditionalFormatting sqref="F1037">
    <cfRule type="cellIs" dxfId="4" priority="662" operator="equal">
      <formula>"/"</formula>
    </cfRule>
    <cfRule type="cellIs" dxfId="5" priority="663" operator="equal">
      <formula>0</formula>
    </cfRule>
  </conditionalFormatting>
  <conditionalFormatting sqref="D1038">
    <cfRule type="cellIs" dxfId="1" priority="761" operator="equal">
      <formula>"等款"</formula>
    </cfRule>
    <cfRule type="cellIs" dxfId="2" priority="762" operator="equal">
      <formula>"单据"</formula>
    </cfRule>
    <cfRule type="cellIs" dxfId="3" priority="763" operator="equal">
      <formula>"发货"</formula>
    </cfRule>
  </conditionalFormatting>
  <conditionalFormatting sqref="F1038">
    <cfRule type="cellIs" dxfId="4" priority="759" operator="equal">
      <formula>"/"</formula>
    </cfRule>
    <cfRule type="cellIs" dxfId="5" priority="760" operator="equal">
      <formula>0</formula>
    </cfRule>
  </conditionalFormatting>
  <conditionalFormatting sqref="F1039">
    <cfRule type="cellIs" dxfId="4" priority="838" operator="equal">
      <formula>"/"</formula>
    </cfRule>
    <cfRule type="cellIs" dxfId="5" priority="839" operator="equal">
      <formula>0</formula>
    </cfRule>
  </conditionalFormatting>
  <conditionalFormatting sqref="F1040">
    <cfRule type="cellIs" dxfId="4" priority="832" operator="equal">
      <formula>"/"</formula>
    </cfRule>
    <cfRule type="cellIs" dxfId="5" priority="833" operator="equal">
      <formula>0</formula>
    </cfRule>
  </conditionalFormatting>
  <conditionalFormatting sqref="F1041">
    <cfRule type="cellIs" dxfId="4" priority="826" operator="equal">
      <formula>"/"</formula>
    </cfRule>
    <cfRule type="cellIs" dxfId="5" priority="827" operator="equal">
      <formula>0</formula>
    </cfRule>
  </conditionalFormatting>
  <conditionalFormatting sqref="F1042">
    <cfRule type="cellIs" dxfId="4" priority="812" operator="equal">
      <formula>"/"</formula>
    </cfRule>
    <cfRule type="cellIs" dxfId="5" priority="813" operator="equal">
      <formula>0</formula>
    </cfRule>
  </conditionalFormatting>
  <conditionalFormatting sqref="F1043">
    <cfRule type="cellIs" dxfId="4" priority="810" operator="equal">
      <formula>"/"</formula>
    </cfRule>
    <cfRule type="cellIs" dxfId="5" priority="811" operator="equal">
      <formula>0</formula>
    </cfRule>
  </conditionalFormatting>
  <conditionalFormatting sqref="F1044">
    <cfRule type="cellIs" dxfId="4" priority="791" operator="equal">
      <formula>"/"</formula>
    </cfRule>
    <cfRule type="cellIs" dxfId="5" priority="792" operator="equal">
      <formula>0</formula>
    </cfRule>
  </conditionalFormatting>
  <conditionalFormatting sqref="F1045">
    <cfRule type="cellIs" dxfId="4" priority="789" operator="equal">
      <formula>"/"</formula>
    </cfRule>
    <cfRule type="cellIs" dxfId="5" priority="790" operator="equal">
      <formula>0</formula>
    </cfRule>
  </conditionalFormatting>
  <conditionalFormatting sqref="F1046">
    <cfRule type="cellIs" dxfId="4" priority="786" operator="equal">
      <formula>"/"</formula>
    </cfRule>
    <cfRule type="cellIs" dxfId="5" priority="787" operator="equal">
      <formula>0</formula>
    </cfRule>
  </conditionalFormatting>
  <conditionalFormatting sqref="D1047">
    <cfRule type="cellIs" dxfId="1" priority="712" operator="equal">
      <formula>"等款"</formula>
    </cfRule>
    <cfRule type="cellIs" dxfId="2" priority="713" operator="equal">
      <formula>"单据"</formula>
    </cfRule>
    <cfRule type="cellIs" dxfId="3" priority="714" operator="equal">
      <formula>"发货"</formula>
    </cfRule>
  </conditionalFormatting>
  <conditionalFormatting sqref="F1047">
    <cfRule type="cellIs" dxfId="4" priority="710" operator="equal">
      <formula>"/"</formula>
    </cfRule>
    <cfRule type="cellIs" dxfId="5" priority="711" operator="equal">
      <formula>0</formula>
    </cfRule>
  </conditionalFormatting>
  <conditionalFormatting sqref="F1052">
    <cfRule type="cellIs" dxfId="4" priority="737" operator="equal">
      <formula>"/"</formula>
    </cfRule>
    <cfRule type="cellIs" dxfId="5" priority="738" operator="equal">
      <formula>0</formula>
    </cfRule>
  </conditionalFormatting>
  <conditionalFormatting sqref="F1053">
    <cfRule type="cellIs" dxfId="4" priority="729" operator="equal">
      <formula>"/"</formula>
    </cfRule>
    <cfRule type="cellIs" dxfId="5" priority="730" operator="equal">
      <formula>0</formula>
    </cfRule>
  </conditionalFormatting>
  <conditionalFormatting sqref="F1054">
    <cfRule type="cellIs" dxfId="4" priority="706" operator="equal">
      <formula>"/"</formula>
    </cfRule>
    <cfRule type="cellIs" dxfId="5" priority="707" operator="equal">
      <formula>0</formula>
    </cfRule>
  </conditionalFormatting>
  <conditionalFormatting sqref="F1055">
    <cfRule type="cellIs" dxfId="4" priority="708" operator="equal">
      <formula>"/"</formula>
    </cfRule>
    <cfRule type="cellIs" dxfId="5" priority="709" operator="equal">
      <formula>0</formula>
    </cfRule>
  </conditionalFormatting>
  <conditionalFormatting sqref="F1056">
    <cfRule type="cellIs" dxfId="4" priority="673" operator="equal">
      <formula>"/"</formula>
    </cfRule>
    <cfRule type="cellIs" dxfId="5" priority="674" operator="equal">
      <formula>0</formula>
    </cfRule>
  </conditionalFormatting>
  <conditionalFormatting sqref="F1057">
    <cfRule type="cellIs" dxfId="4" priority="675" operator="equal">
      <formula>"/"</formula>
    </cfRule>
    <cfRule type="cellIs" dxfId="5" priority="676" operator="equal">
      <formula>0</formula>
    </cfRule>
  </conditionalFormatting>
  <conditionalFormatting sqref="F1058">
    <cfRule type="cellIs" dxfId="4" priority="653" operator="equal">
      <formula>"/"</formula>
    </cfRule>
    <cfRule type="cellIs" dxfId="5" priority="654" operator="equal">
      <formula>0</formula>
    </cfRule>
  </conditionalFormatting>
  <conditionalFormatting sqref="F1059">
    <cfRule type="cellIs" dxfId="4" priority="644" operator="equal">
      <formula>"/"</formula>
    </cfRule>
    <cfRule type="cellIs" dxfId="5" priority="645" operator="equal">
      <formula>0</formula>
    </cfRule>
  </conditionalFormatting>
  <conditionalFormatting sqref="F1060">
    <cfRule type="cellIs" dxfId="4" priority="642" operator="equal">
      <formula>"/"</formula>
    </cfRule>
    <cfRule type="cellIs" dxfId="5" priority="643" operator="equal">
      <formula>0</formula>
    </cfRule>
  </conditionalFormatting>
  <conditionalFormatting sqref="F1061">
    <cfRule type="cellIs" dxfId="4" priority="638" operator="equal">
      <formula>"/"</formula>
    </cfRule>
    <cfRule type="cellIs" dxfId="5" priority="639" operator="equal">
      <formula>0</formula>
    </cfRule>
  </conditionalFormatting>
  <conditionalFormatting sqref="F1062">
    <cfRule type="cellIs" dxfId="4" priority="636" operator="equal">
      <formula>"/"</formula>
    </cfRule>
    <cfRule type="cellIs" dxfId="5" priority="637" operator="equal">
      <formula>0</formula>
    </cfRule>
  </conditionalFormatting>
  <conditionalFormatting sqref="F1063">
    <cfRule type="cellIs" dxfId="4" priority="632" operator="equal">
      <formula>"/"</formula>
    </cfRule>
    <cfRule type="cellIs" dxfId="5" priority="633" operator="equal">
      <formula>0</formula>
    </cfRule>
  </conditionalFormatting>
  <conditionalFormatting sqref="F1064">
    <cfRule type="cellIs" dxfId="4" priority="612" operator="equal">
      <formula>"/"</formula>
    </cfRule>
    <cfRule type="cellIs" dxfId="5" priority="613" operator="equal">
      <formula>0</formula>
    </cfRule>
  </conditionalFormatting>
  <conditionalFormatting sqref="F1065">
    <cfRule type="cellIs" dxfId="4" priority="610" operator="equal">
      <formula>"/"</formula>
    </cfRule>
    <cfRule type="cellIs" dxfId="5" priority="611" operator="equal">
      <formula>0</formula>
    </cfRule>
  </conditionalFormatting>
  <conditionalFormatting sqref="F1066">
    <cfRule type="cellIs" dxfId="4" priority="596" operator="equal">
      <formula>"/"</formula>
    </cfRule>
    <cfRule type="cellIs" dxfId="5" priority="597" operator="equal">
      <formula>0</formula>
    </cfRule>
  </conditionalFormatting>
  <conditionalFormatting sqref="F1067">
    <cfRule type="cellIs" dxfId="4" priority="590" operator="equal">
      <formula>"/"</formula>
    </cfRule>
    <cfRule type="cellIs" dxfId="5" priority="591" operator="equal">
      <formula>0</formula>
    </cfRule>
  </conditionalFormatting>
  <conditionalFormatting sqref="F1068">
    <cfRule type="cellIs" dxfId="4" priority="581" operator="equal">
      <formula>"/"</formula>
    </cfRule>
    <cfRule type="cellIs" dxfId="5" priority="582" operator="equal">
      <formula>0</formula>
    </cfRule>
  </conditionalFormatting>
  <conditionalFormatting sqref="F1069">
    <cfRule type="cellIs" dxfId="4" priority="579" operator="equal">
      <formula>"/"</formula>
    </cfRule>
    <cfRule type="cellIs" dxfId="5" priority="580" operator="equal">
      <formula>0</formula>
    </cfRule>
  </conditionalFormatting>
  <conditionalFormatting sqref="F1072">
    <cfRule type="cellIs" dxfId="4" priority="555" operator="equal">
      <formula>"/"</formula>
    </cfRule>
    <cfRule type="cellIs" dxfId="5" priority="556" operator="equal">
      <formula>0</formula>
    </cfRule>
  </conditionalFormatting>
  <conditionalFormatting sqref="F1073">
    <cfRule type="cellIs" dxfId="4" priority="547" operator="equal">
      <formula>"/"</formula>
    </cfRule>
    <cfRule type="cellIs" dxfId="5" priority="548" operator="equal">
      <formula>0</formula>
    </cfRule>
  </conditionalFormatting>
  <conditionalFormatting sqref="F1074">
    <cfRule type="cellIs" dxfId="4" priority="549" operator="equal">
      <formula>"/"</formula>
    </cfRule>
    <cfRule type="cellIs" dxfId="5" priority="550" operator="equal">
      <formula>0</formula>
    </cfRule>
  </conditionalFormatting>
  <conditionalFormatting sqref="F1075">
    <cfRule type="cellIs" dxfId="4" priority="541" operator="equal">
      <formula>"/"</formula>
    </cfRule>
    <cfRule type="cellIs" dxfId="5" priority="542" operator="equal">
      <formula>0</formula>
    </cfRule>
  </conditionalFormatting>
  <conditionalFormatting sqref="F1076">
    <cfRule type="cellIs" dxfId="4" priority="519" operator="equal">
      <formula>"/"</formula>
    </cfRule>
    <cfRule type="cellIs" dxfId="5" priority="520" operator="equal">
      <formula>0</formula>
    </cfRule>
  </conditionalFormatting>
  <conditionalFormatting sqref="F1077">
    <cfRule type="cellIs" dxfId="4" priority="513" operator="equal">
      <formula>"/"</formula>
    </cfRule>
    <cfRule type="cellIs" dxfId="5" priority="514" operator="equal">
      <formula>0</formula>
    </cfRule>
  </conditionalFormatting>
  <conditionalFormatting sqref="D1078">
    <cfRule type="cellIs" dxfId="1" priority="451" operator="equal">
      <formula>"等款"</formula>
    </cfRule>
    <cfRule type="cellIs" dxfId="2" priority="452" operator="equal">
      <formula>"单据"</formula>
    </cfRule>
    <cfRule type="cellIs" dxfId="3" priority="453" operator="equal">
      <formula>"发货"</formula>
    </cfRule>
  </conditionalFormatting>
  <conditionalFormatting sqref="F1078">
    <cfRule type="cellIs" dxfId="4" priority="449" operator="equal">
      <formula>"/"</formula>
    </cfRule>
    <cfRule type="cellIs" dxfId="5" priority="450" operator="equal">
      <formula>0</formula>
    </cfRule>
  </conditionalFormatting>
  <conditionalFormatting sqref="F1079">
    <cfRule type="cellIs" dxfId="4" priority="454" operator="equal">
      <formula>"/"</formula>
    </cfRule>
    <cfRule type="cellIs" dxfId="5" priority="455" operator="equal">
      <formula>0</formula>
    </cfRule>
  </conditionalFormatting>
  <conditionalFormatting sqref="F1080">
    <cfRule type="cellIs" dxfId="4" priority="456" operator="equal">
      <formula>"/"</formula>
    </cfRule>
    <cfRule type="cellIs" dxfId="5" priority="457" operator="equal">
      <formula>0</formula>
    </cfRule>
  </conditionalFormatting>
  <conditionalFormatting sqref="F1081">
    <cfRule type="cellIs" dxfId="4" priority="445" operator="equal">
      <formula>"/"</formula>
    </cfRule>
    <cfRule type="cellIs" dxfId="5" priority="446" operator="equal">
      <formula>0</formula>
    </cfRule>
  </conditionalFormatting>
  <conditionalFormatting sqref="F1082">
    <cfRule type="cellIs" dxfId="4" priority="443" operator="equal">
      <formula>"/"</formula>
    </cfRule>
    <cfRule type="cellIs" dxfId="5" priority="444" operator="equal">
      <formula>0</formula>
    </cfRule>
  </conditionalFormatting>
  <conditionalFormatting sqref="F1083">
    <cfRule type="cellIs" dxfId="4" priority="439" operator="equal">
      <formula>"/"</formula>
    </cfRule>
    <cfRule type="cellIs" dxfId="5" priority="440" operator="equal">
      <formula>0</formula>
    </cfRule>
  </conditionalFormatting>
  <conditionalFormatting sqref="D1085">
    <cfRule type="cellIs" dxfId="1" priority="312" operator="equal">
      <formula>"等款"</formula>
    </cfRule>
    <cfRule type="cellIs" dxfId="2" priority="313" operator="equal">
      <formula>"单据"</formula>
    </cfRule>
    <cfRule type="cellIs" dxfId="3" priority="314" operator="equal">
      <formula>"发货"</formula>
    </cfRule>
  </conditionalFormatting>
  <conditionalFormatting sqref="F1086">
    <cfRule type="cellIs" dxfId="4" priority="364" operator="equal">
      <formula>"/"</formula>
    </cfRule>
    <cfRule type="cellIs" dxfId="5" priority="365" operator="equal">
      <formula>0</formula>
    </cfRule>
  </conditionalFormatting>
  <conditionalFormatting sqref="F1087">
    <cfRule type="cellIs" dxfId="4" priority="360" operator="equal">
      <formula>"/"</formula>
    </cfRule>
    <cfRule type="cellIs" dxfId="5" priority="361" operator="equal">
      <formula>0</formula>
    </cfRule>
  </conditionalFormatting>
  <conditionalFormatting sqref="F1088">
    <cfRule type="cellIs" dxfId="4" priority="358" operator="equal">
      <formula>"/"</formula>
    </cfRule>
    <cfRule type="cellIs" dxfId="5" priority="359" operator="equal">
      <formula>0</formula>
    </cfRule>
  </conditionalFormatting>
  <conditionalFormatting sqref="F1089">
    <cfRule type="cellIs" dxfId="4" priority="352" operator="equal">
      <formula>"/"</formula>
    </cfRule>
    <cfRule type="cellIs" dxfId="5" priority="353" operator="equal">
      <formula>0</formula>
    </cfRule>
  </conditionalFormatting>
  <conditionalFormatting sqref="F1090">
    <cfRule type="cellIs" dxfId="4" priority="354" operator="equal">
      <formula>"/"</formula>
    </cfRule>
    <cfRule type="cellIs" dxfId="5" priority="355" operator="equal">
      <formula>0</formula>
    </cfRule>
  </conditionalFormatting>
  <conditionalFormatting sqref="F1091">
    <cfRule type="cellIs" dxfId="4" priority="346" operator="equal">
      <formula>"/"</formula>
    </cfRule>
    <cfRule type="cellIs" dxfId="5" priority="347" operator="equal">
      <formula>0</formula>
    </cfRule>
  </conditionalFormatting>
  <conditionalFormatting sqref="F1092">
    <cfRule type="cellIs" dxfId="4" priority="344" operator="equal">
      <formula>"/"</formula>
    </cfRule>
    <cfRule type="cellIs" dxfId="5" priority="345" operator="equal">
      <formula>0</formula>
    </cfRule>
  </conditionalFormatting>
  <conditionalFormatting sqref="F1095">
    <cfRule type="cellIs" dxfId="4" priority="310" operator="equal">
      <formula>"/"</formula>
    </cfRule>
    <cfRule type="cellIs" dxfId="5" priority="311" operator="equal">
      <formula>0</formula>
    </cfRule>
  </conditionalFormatting>
  <conditionalFormatting sqref="F1096">
    <cfRule type="cellIs" dxfId="4" priority="280" operator="equal">
      <formula>"/"</formula>
    </cfRule>
    <cfRule type="cellIs" dxfId="5" priority="281" operator="equal">
      <formula>0</formula>
    </cfRule>
  </conditionalFormatting>
  <conditionalFormatting sqref="F1097">
    <cfRule type="cellIs" dxfId="4" priority="274" operator="equal">
      <formula>"/"</formula>
    </cfRule>
    <cfRule type="cellIs" dxfId="5" priority="275" operator="equal">
      <formula>0</formula>
    </cfRule>
  </conditionalFormatting>
  <conditionalFormatting sqref="F1098">
    <cfRule type="cellIs" dxfId="4" priority="270" operator="equal">
      <formula>"/"</formula>
    </cfRule>
    <cfRule type="cellIs" dxfId="5" priority="271" operator="equal">
      <formula>0</formula>
    </cfRule>
  </conditionalFormatting>
  <conditionalFormatting sqref="F1099">
    <cfRule type="cellIs" dxfId="4" priority="236" operator="equal">
      <formula>"/"</formula>
    </cfRule>
    <cfRule type="cellIs" dxfId="5" priority="237" operator="equal">
      <formula>0</formula>
    </cfRule>
  </conditionalFormatting>
  <conditionalFormatting sqref="D1100">
    <cfRule type="cellIs" dxfId="1" priority="189" operator="equal">
      <formula>"等款"</formula>
    </cfRule>
    <cfRule type="cellIs" dxfId="2" priority="190" operator="equal">
      <formula>"单据"</formula>
    </cfRule>
    <cfRule type="cellIs" dxfId="3" priority="191" operator="equal">
      <formula>"发货"</formula>
    </cfRule>
  </conditionalFormatting>
  <conditionalFormatting sqref="F1100">
    <cfRule type="cellIs" dxfId="4" priority="187" operator="equal">
      <formula>"/"</formula>
    </cfRule>
    <cfRule type="cellIs" dxfId="5" priority="188" operator="equal">
      <formula>0</formula>
    </cfRule>
  </conditionalFormatting>
  <conditionalFormatting sqref="F1101">
    <cfRule type="cellIs" dxfId="4" priority="234" operator="equal">
      <formula>"/"</formula>
    </cfRule>
    <cfRule type="cellIs" dxfId="5" priority="235" operator="equal">
      <formula>0</formula>
    </cfRule>
  </conditionalFormatting>
  <conditionalFormatting sqref="F1104">
    <cfRule type="cellIs" dxfId="4" priority="205" operator="equal">
      <formula>"/"</formula>
    </cfRule>
    <cfRule type="cellIs" dxfId="5" priority="206" operator="equal">
      <formula>0</formula>
    </cfRule>
  </conditionalFormatting>
  <conditionalFormatting sqref="D1105">
    <cfRule type="cellIs" dxfId="1" priority="62" operator="equal">
      <formula>"等款"</formula>
    </cfRule>
    <cfRule type="cellIs" dxfId="2" priority="63" operator="equal">
      <formula>"单据"</formula>
    </cfRule>
    <cfRule type="cellIs" dxfId="3" priority="64" operator="equal">
      <formula>"发货"</formula>
    </cfRule>
  </conditionalFormatting>
  <conditionalFormatting sqref="F1105">
    <cfRule type="cellIs" dxfId="4" priority="60" operator="equal">
      <formula>"/"</formula>
    </cfRule>
    <cfRule type="cellIs" dxfId="5" priority="61" operator="equal">
      <formula>0</formula>
    </cfRule>
  </conditionalFormatting>
  <conditionalFormatting sqref="F1106">
    <cfRule type="cellIs" dxfId="4" priority="203" operator="equal">
      <formula>"/"</formula>
    </cfRule>
    <cfRule type="cellIs" dxfId="5" priority="204" operator="equal">
      <formula>0</formula>
    </cfRule>
  </conditionalFormatting>
  <conditionalFormatting sqref="F1107">
    <cfRule type="cellIs" dxfId="4" priority="201" operator="equal">
      <formula>"/"</formula>
    </cfRule>
    <cfRule type="cellIs" dxfId="5" priority="202" operator="equal">
      <formula>0</formula>
    </cfRule>
  </conditionalFormatting>
  <conditionalFormatting sqref="F1108">
    <cfRule type="cellIs" dxfId="4" priority="181" operator="equal">
      <formula>"/"</formula>
    </cfRule>
    <cfRule type="cellIs" dxfId="5" priority="182" operator="equal">
      <formula>0</formula>
    </cfRule>
  </conditionalFormatting>
  <conditionalFormatting sqref="F1109">
    <cfRule type="cellIs" dxfId="4" priority="171" operator="equal">
      <formula>"/"</formula>
    </cfRule>
    <cfRule type="cellIs" dxfId="5" priority="172" operator="equal">
      <formula>0</formula>
    </cfRule>
  </conditionalFormatting>
  <conditionalFormatting sqref="F1110">
    <cfRule type="cellIs" dxfId="4" priority="169" operator="equal">
      <formula>"/"</formula>
    </cfRule>
    <cfRule type="cellIs" dxfId="5" priority="170" operator="equal">
      <formula>0</formula>
    </cfRule>
  </conditionalFormatting>
  <conditionalFormatting sqref="F1111">
    <cfRule type="cellIs" dxfId="4" priority="167" operator="equal">
      <formula>"/"</formula>
    </cfRule>
    <cfRule type="cellIs" dxfId="5" priority="168" operator="equal">
      <formula>0</formula>
    </cfRule>
  </conditionalFormatting>
  <conditionalFormatting sqref="F1112">
    <cfRule type="cellIs" dxfId="4" priority="161" operator="equal">
      <formula>"/"</formula>
    </cfRule>
    <cfRule type="cellIs" dxfId="5" priority="162" operator="equal">
      <formula>0</formula>
    </cfRule>
  </conditionalFormatting>
  <conditionalFormatting sqref="F1113">
    <cfRule type="cellIs" dxfId="4" priority="159" operator="equal">
      <formula>"/"</formula>
    </cfRule>
    <cfRule type="cellIs" dxfId="5" priority="160" operator="equal">
      <formula>0</formula>
    </cfRule>
  </conditionalFormatting>
  <conditionalFormatting sqref="F1114">
    <cfRule type="cellIs" dxfId="4" priority="48" operator="equal">
      <formula>"/"</formula>
    </cfRule>
    <cfRule type="cellIs" dxfId="5" priority="49" operator="equal">
      <formula>0</formula>
    </cfRule>
  </conditionalFormatting>
  <conditionalFormatting sqref="F1115">
    <cfRule type="cellIs" dxfId="4" priority="126" operator="equal">
      <formula>"/"</formula>
    </cfRule>
    <cfRule type="cellIs" dxfId="5" priority="127" operator="equal">
      <formula>0</formula>
    </cfRule>
  </conditionalFormatting>
  <conditionalFormatting sqref="F1116">
    <cfRule type="cellIs" dxfId="4" priority="122" operator="equal">
      <formula>"/"</formula>
    </cfRule>
    <cfRule type="cellIs" dxfId="5" priority="123" operator="equal">
      <formula>0</formula>
    </cfRule>
  </conditionalFormatting>
  <conditionalFormatting sqref="F1117">
    <cfRule type="cellIs" dxfId="4" priority="124" operator="equal">
      <formula>"/"</formula>
    </cfRule>
    <cfRule type="cellIs" dxfId="5" priority="125" operator="equal">
      <formula>0</formula>
    </cfRule>
  </conditionalFormatting>
  <conditionalFormatting sqref="F1120">
    <cfRule type="cellIs" dxfId="4" priority="110" operator="equal">
      <formula>"/"</formula>
    </cfRule>
    <cfRule type="cellIs" dxfId="5" priority="111" operator="equal">
      <formula>0</formula>
    </cfRule>
  </conditionalFormatting>
  <conditionalFormatting sqref="F1121">
    <cfRule type="cellIs" dxfId="4" priority="86" operator="equal">
      <formula>"/"</formula>
    </cfRule>
    <cfRule type="cellIs" dxfId="5" priority="87" operator="equal">
      <formula>0</formula>
    </cfRule>
  </conditionalFormatting>
  <conditionalFormatting sqref="F1122">
    <cfRule type="cellIs" dxfId="4" priority="69" operator="equal">
      <formula>"/"</formula>
    </cfRule>
    <cfRule type="cellIs" dxfId="5" priority="70" operator="equal">
      <formula>0</formula>
    </cfRule>
  </conditionalFormatting>
  <conditionalFormatting sqref="F1123">
    <cfRule type="cellIs" dxfId="4" priority="65" operator="equal">
      <formula>"/"</formula>
    </cfRule>
    <cfRule type="cellIs" dxfId="5" priority="66" operator="equal">
      <formula>0</formula>
    </cfRule>
  </conditionalFormatting>
  <conditionalFormatting sqref="F1124">
    <cfRule type="cellIs" dxfId="4" priority="88" operator="equal">
      <formula>"/"</formula>
    </cfRule>
    <cfRule type="cellIs" dxfId="5" priority="89" operator="equal">
      <formula>0</formula>
    </cfRule>
  </conditionalFormatting>
  <conditionalFormatting sqref="F1125">
    <cfRule type="cellIs" dxfId="4" priority="163" operator="equal">
      <formula>"/"</formula>
    </cfRule>
    <cfRule type="cellIs" dxfId="5" priority="164" operator="equal">
      <formula>0</formula>
    </cfRule>
  </conditionalFormatting>
  <conditionalFormatting sqref="R1125">
    <cfRule type="cellIs" dxfId="0" priority="1432" operator="equal">
      <formula>0</formula>
    </cfRule>
  </conditionalFormatting>
  <conditionalFormatting sqref="R1126">
    <cfRule type="cellIs" dxfId="0" priority="1431" operator="equal">
      <formula>0</formula>
    </cfRule>
  </conditionalFormatting>
  <conditionalFormatting sqref="R1127">
    <cfRule type="cellIs" dxfId="0" priority="1430" operator="equal">
      <formula>0</formula>
    </cfRule>
  </conditionalFormatting>
  <conditionalFormatting sqref="D1128">
    <cfRule type="cellIs" dxfId="1" priority="1133" operator="equal">
      <formula>"等款"</formula>
    </cfRule>
    <cfRule type="cellIs" dxfId="2" priority="1134" operator="equal">
      <formula>"单据"</formula>
    </cfRule>
    <cfRule type="cellIs" dxfId="3" priority="1135" operator="equal">
      <formula>"发货"</formula>
    </cfRule>
  </conditionalFormatting>
  <conditionalFormatting sqref="F1128">
    <cfRule type="cellIs" dxfId="4" priority="1131" operator="equal">
      <formula>"/"</formula>
    </cfRule>
    <cfRule type="cellIs" dxfId="5" priority="1132" operator="equal">
      <formula>0</formula>
    </cfRule>
  </conditionalFormatting>
  <conditionalFormatting sqref="S1128">
    <cfRule type="cellIs" dxfId="6" priority="1129" operator="equal">
      <formula>0</formula>
    </cfRule>
  </conditionalFormatting>
  <conditionalFormatting sqref="T1131">
    <cfRule type="cellIs" dxfId="0" priority="958" operator="equal">
      <formula>0</formula>
    </cfRule>
  </conditionalFormatting>
  <conditionalFormatting sqref="D1132">
    <cfRule type="cellIs" dxfId="1" priority="983" operator="equal">
      <formula>"等款"</formula>
    </cfRule>
    <cfRule type="cellIs" dxfId="2" priority="984" operator="equal">
      <formula>"单据"</formula>
    </cfRule>
    <cfRule type="cellIs" dxfId="3" priority="985" operator="equal">
      <formula>"发货"</formula>
    </cfRule>
  </conditionalFormatting>
  <conditionalFormatting sqref="F1132">
    <cfRule type="cellIs" dxfId="4" priority="979" operator="equal">
      <formula>"/"</formula>
    </cfRule>
    <cfRule type="cellIs" dxfId="5" priority="980" operator="equal">
      <formula>0</formula>
    </cfRule>
  </conditionalFormatting>
  <conditionalFormatting sqref="R1135">
    <cfRule type="cellIs" dxfId="0" priority="1427" operator="equal">
      <formula>0</formula>
    </cfRule>
  </conditionalFormatting>
  <conditionalFormatting sqref="R1136">
    <cfRule type="cellIs" dxfId="0" priority="1426" operator="equal">
      <formula>0</formula>
    </cfRule>
  </conditionalFormatting>
  <conditionalFormatting sqref="F1138">
    <cfRule type="cellIs" dxfId="4" priority="1520" operator="equal">
      <formula>"/"</formula>
    </cfRule>
    <cfRule type="cellIs" dxfId="5" priority="1521" operator="equal">
      <formula>0</formula>
    </cfRule>
  </conditionalFormatting>
  <conditionalFormatting sqref="R1138">
    <cfRule type="cellIs" dxfId="0" priority="1449" operator="equal">
      <formula>0</formula>
    </cfRule>
  </conditionalFormatting>
  <conditionalFormatting sqref="F1139">
    <cfRule type="cellIs" dxfId="4" priority="1522" operator="equal">
      <formula>"/"</formula>
    </cfRule>
    <cfRule type="cellIs" dxfId="5" priority="1523" operator="equal">
      <formula>0</formula>
    </cfRule>
  </conditionalFormatting>
  <conditionalFormatting sqref="R1139">
    <cfRule type="cellIs" dxfId="0" priority="1448" operator="equal">
      <formula>0</formula>
    </cfRule>
  </conditionalFormatting>
  <conditionalFormatting sqref="F1140">
    <cfRule type="cellIs" dxfId="4" priority="1524" operator="equal">
      <formula>"/"</formula>
    </cfRule>
    <cfRule type="cellIs" dxfId="5" priority="1525" operator="equal">
      <formula>0</formula>
    </cfRule>
  </conditionalFormatting>
  <conditionalFormatting sqref="R1140">
    <cfRule type="cellIs" dxfId="0" priority="1447" operator="equal">
      <formula>0</formula>
    </cfRule>
  </conditionalFormatting>
  <conditionalFormatting sqref="F1141">
    <cfRule type="cellIs" dxfId="4" priority="1526" operator="equal">
      <formula>"/"</formula>
    </cfRule>
    <cfRule type="cellIs" dxfId="5" priority="1527" operator="equal">
      <formula>0</formula>
    </cfRule>
  </conditionalFormatting>
  <conditionalFormatting sqref="R1141">
    <cfRule type="cellIs" dxfId="0" priority="1100" operator="equal">
      <formula>0</formula>
    </cfRule>
  </conditionalFormatting>
  <conditionalFormatting sqref="T1141">
    <cfRule type="cellIs" dxfId="0" priority="1031" operator="equal">
      <formula>0</formula>
    </cfRule>
  </conditionalFormatting>
  <conditionalFormatting sqref="F1142">
    <cfRule type="cellIs" dxfId="4" priority="1528" operator="equal">
      <formula>"/"</formula>
    </cfRule>
    <cfRule type="cellIs" dxfId="5" priority="1529" operator="equal">
      <formula>0</formula>
    </cfRule>
  </conditionalFormatting>
  <conditionalFormatting sqref="R1142">
    <cfRule type="cellIs" dxfId="0" priority="1445" operator="equal">
      <formula>0</formula>
    </cfRule>
  </conditionalFormatting>
  <conditionalFormatting sqref="R1143">
    <cfRule type="cellIs" dxfId="0" priority="1444" operator="equal">
      <formula>0</formula>
    </cfRule>
  </conditionalFormatting>
  <conditionalFormatting sqref="R1144">
    <cfRule type="cellIs" dxfId="0" priority="1443" operator="equal">
      <formula>0</formula>
    </cfRule>
  </conditionalFormatting>
  <conditionalFormatting sqref="R1145">
    <cfRule type="cellIs" dxfId="0" priority="1442" operator="equal">
      <formula>0</formula>
    </cfRule>
  </conditionalFormatting>
  <conditionalFormatting sqref="R1168">
    <cfRule type="cellIs" dxfId="0" priority="1167" operator="equal">
      <formula>0</formula>
    </cfRule>
  </conditionalFormatting>
  <conditionalFormatting sqref="R1178">
    <cfRule type="cellIs" dxfId="0" priority="1459" operator="equal">
      <formula>0</formula>
    </cfRule>
  </conditionalFormatting>
  <conditionalFormatting sqref="R1179">
    <cfRule type="cellIs" dxfId="0" priority="1458" operator="equal">
      <formula>0</formula>
    </cfRule>
  </conditionalFormatting>
  <conditionalFormatting sqref="T1197">
    <cfRule type="cellIs" dxfId="0" priority="1137" operator="equal">
      <formula>0</formula>
    </cfRule>
  </conditionalFormatting>
  <conditionalFormatting sqref="T1200">
    <cfRule type="cellIs" dxfId="0" priority="1136" operator="equal">
      <formula>0</formula>
    </cfRule>
  </conditionalFormatting>
  <conditionalFormatting sqref="R1202">
    <cfRule type="cellIs" dxfId="0" priority="1464" operator="equal">
      <formula>0</formula>
    </cfRule>
  </conditionalFormatting>
  <conditionalFormatting sqref="D1206">
    <cfRule type="cellIs" dxfId="1" priority="251" operator="equal">
      <formula>"等款"</formula>
    </cfRule>
    <cfRule type="cellIs" dxfId="2" priority="252" operator="equal">
      <formula>"单据"</formula>
    </cfRule>
    <cfRule type="cellIs" dxfId="3" priority="253" operator="equal">
      <formula>"发货"</formula>
    </cfRule>
  </conditionalFormatting>
  <conditionalFormatting sqref="F1206">
    <cfRule type="cellIs" dxfId="4" priority="249" operator="equal">
      <formula>"/"</formula>
    </cfRule>
    <cfRule type="cellIs" dxfId="5" priority="250" operator="equal">
      <formula>0</formula>
    </cfRule>
  </conditionalFormatting>
  <conditionalFormatting sqref="D247:D271">
    <cfRule type="cellIs" dxfId="1" priority="1561" operator="equal">
      <formula>"等款"</formula>
    </cfRule>
    <cfRule type="cellIs" dxfId="2" priority="1562" operator="equal">
      <formula>"单据"</formula>
    </cfRule>
    <cfRule type="cellIs" dxfId="3" priority="1563" operator="equal">
      <formula>"发货"</formula>
    </cfRule>
  </conditionalFormatting>
  <conditionalFormatting sqref="D306:D310">
    <cfRule type="cellIs" dxfId="1" priority="1106" operator="equal">
      <formula>"等款"</formula>
    </cfRule>
    <cfRule type="cellIs" dxfId="2" priority="1107" operator="equal">
      <formula>"单据"</formula>
    </cfRule>
    <cfRule type="cellIs" dxfId="3" priority="1108" operator="equal">
      <formula>"发货"</formula>
    </cfRule>
  </conditionalFormatting>
  <conditionalFormatting sqref="D525:D552">
    <cfRule type="cellIs" dxfId="1" priority="138" operator="equal">
      <formula>"等款"</formula>
    </cfRule>
    <cfRule type="cellIs" dxfId="2" priority="139" operator="equal">
      <formula>"单据"</formula>
    </cfRule>
    <cfRule type="cellIs" dxfId="3" priority="140" operator="equal">
      <formula>"发货"</formula>
    </cfRule>
  </conditionalFormatting>
  <conditionalFormatting sqref="D599:D600">
    <cfRule type="cellIs" dxfId="1" priority="529" operator="equal">
      <formula>"等款"</formula>
    </cfRule>
    <cfRule type="cellIs" dxfId="2" priority="530" operator="equal">
      <formula>"单据"</formula>
    </cfRule>
    <cfRule type="cellIs" dxfId="3" priority="531" operator="equal">
      <formula>"发货"</formula>
    </cfRule>
  </conditionalFormatting>
  <conditionalFormatting sqref="D601:D604">
    <cfRule type="cellIs" dxfId="1" priority="244" operator="equal">
      <formula>"等款"</formula>
    </cfRule>
    <cfRule type="cellIs" dxfId="2" priority="245" operator="equal">
      <formula>"单据"</formula>
    </cfRule>
    <cfRule type="cellIs" dxfId="3" priority="246" operator="equal">
      <formula>"发货"</formula>
    </cfRule>
  </conditionalFormatting>
  <conditionalFormatting sqref="D835:D836">
    <cfRule type="cellIs" dxfId="1" priority="1097" operator="equal">
      <formula>"等款"</formula>
    </cfRule>
    <cfRule type="cellIs" dxfId="2" priority="1098" operator="equal">
      <formula>"单据"</formula>
    </cfRule>
    <cfRule type="cellIs" dxfId="3" priority="1099" operator="equal">
      <formula>"发货"</formula>
    </cfRule>
  </conditionalFormatting>
  <conditionalFormatting sqref="D837:D842">
    <cfRule type="cellIs" dxfId="1" priority="1539" operator="equal">
      <formula>"等款"</formula>
    </cfRule>
    <cfRule type="cellIs" dxfId="2" priority="1540" operator="equal">
      <formula>"单据"</formula>
    </cfRule>
    <cfRule type="cellIs" dxfId="3" priority="1541" operator="equal">
      <formula>"发货"</formula>
    </cfRule>
  </conditionalFormatting>
  <conditionalFormatting sqref="D991:D992">
    <cfRule type="cellIs" dxfId="1" priority="1111" operator="equal">
      <formula>"等款"</formula>
    </cfRule>
    <cfRule type="cellIs" dxfId="2" priority="1112" operator="equal">
      <formula>"单据"</formula>
    </cfRule>
    <cfRule type="cellIs" dxfId="3" priority="1113" operator="equal">
      <formula>"发货"</formula>
    </cfRule>
  </conditionalFormatting>
  <conditionalFormatting sqref="D1007:D1027">
    <cfRule type="cellIs" dxfId="1" priority="1015" operator="equal">
      <formula>"等款"</formula>
    </cfRule>
    <cfRule type="cellIs" dxfId="2" priority="1016" operator="equal">
      <formula>"单据"</formula>
    </cfRule>
    <cfRule type="cellIs" dxfId="3" priority="1017" operator="equal">
      <formula>"发货"</formula>
    </cfRule>
  </conditionalFormatting>
  <conditionalFormatting sqref="D1050:D1069">
    <cfRule type="cellIs" dxfId="1" priority="749" operator="equal">
      <formula>"等款"</formula>
    </cfRule>
    <cfRule type="cellIs" dxfId="2" priority="750" operator="equal">
      <formula>"单据"</formula>
    </cfRule>
    <cfRule type="cellIs" dxfId="3" priority="751" operator="equal">
      <formula>"发货"</formula>
    </cfRule>
  </conditionalFormatting>
  <conditionalFormatting sqref="D1122:D1123">
    <cfRule type="cellIs" dxfId="1" priority="71" operator="equal">
      <formula>"等款"</formula>
    </cfRule>
    <cfRule type="cellIs" dxfId="2" priority="72" operator="equal">
      <formula>"单据"</formula>
    </cfRule>
    <cfRule type="cellIs" dxfId="3" priority="73" operator="equal">
      <formula>"发货"</formula>
    </cfRule>
  </conditionalFormatting>
  <conditionalFormatting sqref="F394:F395">
    <cfRule type="cellIs" dxfId="4" priority="793" operator="equal">
      <formula>"/"</formula>
    </cfRule>
    <cfRule type="cellIs" dxfId="5" priority="794" operator="equal">
      <formula>0</formula>
    </cfRule>
  </conditionalFormatting>
  <conditionalFormatting sqref="F404:F405">
    <cfRule type="cellIs" dxfId="4" priority="757" operator="equal">
      <formula>"/"</formula>
    </cfRule>
    <cfRule type="cellIs" dxfId="5" priority="758" operator="equal">
      <formula>0</formula>
    </cfRule>
  </conditionalFormatting>
  <conditionalFormatting sqref="F409:F412">
    <cfRule type="cellIs" dxfId="4" priority="715" operator="equal">
      <formula>"/"</formula>
    </cfRule>
    <cfRule type="cellIs" dxfId="5" priority="716" operator="equal">
      <formula>0</formula>
    </cfRule>
  </conditionalFormatting>
  <conditionalFormatting sqref="F472:F473">
    <cfRule type="cellIs" dxfId="4" priority="441" operator="equal">
      <formula>"/"</formula>
    </cfRule>
    <cfRule type="cellIs" dxfId="5" priority="442" operator="equal">
      <formula>0</formula>
    </cfRule>
  </conditionalFormatting>
  <conditionalFormatting sqref="F486:F487">
    <cfRule type="cellIs" dxfId="4" priority="321" operator="equal">
      <formula>"/"</formula>
    </cfRule>
    <cfRule type="cellIs" dxfId="5" priority="322" operator="equal">
      <formula>0</formula>
    </cfRule>
  </conditionalFormatting>
  <conditionalFormatting sqref="F505:F506">
    <cfRule type="cellIs" dxfId="4" priority="226" operator="equal">
      <formula>"/"</formula>
    </cfRule>
    <cfRule type="cellIs" dxfId="5" priority="227" operator="equal">
      <formula>0</formula>
    </cfRule>
  </conditionalFormatting>
  <conditionalFormatting sqref="F512:F514">
    <cfRule type="cellIs" dxfId="4" priority="207" operator="equal">
      <formula>"/"</formula>
    </cfRule>
    <cfRule type="cellIs" dxfId="5" priority="208" operator="equal">
      <formula>0</formula>
    </cfRule>
  </conditionalFormatting>
  <conditionalFormatting sqref="F529:F532">
    <cfRule type="cellIs" dxfId="4" priority="112" operator="equal">
      <formula>"/"</formula>
    </cfRule>
    <cfRule type="cellIs" dxfId="5" priority="113" operator="equal">
      <formula>0</formula>
    </cfRule>
  </conditionalFormatting>
  <conditionalFormatting sqref="F603:F604">
    <cfRule type="cellIs" dxfId="4" priority="82" operator="equal">
      <formula>"/"</formula>
    </cfRule>
    <cfRule type="cellIs" dxfId="5" priority="83" operator="equal">
      <formula>0</formula>
    </cfRule>
  </conditionalFormatting>
  <conditionalFormatting sqref="F834:F835">
    <cfRule type="cellIs" dxfId="4" priority="1542" operator="equal">
      <formula>"/"</formula>
    </cfRule>
    <cfRule type="cellIs" dxfId="5" priority="1543" operator="equal">
      <formula>0</formula>
    </cfRule>
  </conditionalFormatting>
  <conditionalFormatting sqref="F887:F888">
    <cfRule type="cellIs" dxfId="4" priority="511" operator="equal">
      <formula>"/"</formula>
    </cfRule>
    <cfRule type="cellIs" dxfId="5" priority="512" operator="equal">
      <formula>0</formula>
    </cfRule>
  </conditionalFormatting>
  <conditionalFormatting sqref="F894:F895">
    <cfRule type="cellIs" dxfId="4" priority="424" operator="equal">
      <formula>"/"</formula>
    </cfRule>
    <cfRule type="cellIs" dxfId="5" priority="425" operator="equal">
      <formula>0</formula>
    </cfRule>
  </conditionalFormatting>
  <conditionalFormatting sqref="F901:F902">
    <cfRule type="cellIs" dxfId="4" priority="323" operator="equal">
      <formula>"/"</formula>
    </cfRule>
    <cfRule type="cellIs" dxfId="5" priority="324" operator="equal">
      <formula>0</formula>
    </cfRule>
  </conditionalFormatting>
  <conditionalFormatting sqref="F910:F911">
    <cfRule type="cellIs" dxfId="4" priority="183" operator="equal">
      <formula>"/"</formula>
    </cfRule>
    <cfRule type="cellIs" dxfId="5" priority="184" operator="equal">
      <formula>0</formula>
    </cfRule>
  </conditionalFormatting>
  <conditionalFormatting sqref="F991:F992">
    <cfRule type="cellIs" dxfId="4" priority="1109" operator="equal">
      <formula>"/"</formula>
    </cfRule>
    <cfRule type="cellIs" dxfId="5" priority="1110" operator="equal">
      <formula>0</formula>
    </cfRule>
  </conditionalFormatting>
  <conditionalFormatting sqref="F1008:F1009">
    <cfRule type="cellIs" dxfId="4" priority="1006" operator="equal">
      <formula>"/"</formula>
    </cfRule>
    <cfRule type="cellIs" dxfId="5" priority="1007" operator="equal">
      <formula>0</formula>
    </cfRule>
  </conditionalFormatting>
  <conditionalFormatting sqref="F1015:F1016">
    <cfRule type="cellIs" dxfId="4" priority="977" operator="equal">
      <formula>"/"</formula>
    </cfRule>
    <cfRule type="cellIs" dxfId="5" priority="978" operator="equal">
      <formula>0</formula>
    </cfRule>
  </conditionalFormatting>
  <conditionalFormatting sqref="F1048:F1049">
    <cfRule type="cellIs" dxfId="4" priority="780" operator="equal">
      <formula>"/"</formula>
    </cfRule>
    <cfRule type="cellIs" dxfId="5" priority="781" operator="equal">
      <formula>0</formula>
    </cfRule>
  </conditionalFormatting>
  <conditionalFormatting sqref="F1050:F1051">
    <cfRule type="cellIs" dxfId="4" priority="752" operator="equal">
      <formula>"/"</formula>
    </cfRule>
    <cfRule type="cellIs" dxfId="5" priority="753" operator="equal">
      <formula>0</formula>
    </cfRule>
  </conditionalFormatting>
  <conditionalFormatting sqref="F1070:F1071">
    <cfRule type="cellIs" dxfId="4" priority="573" operator="equal">
      <formula>"/"</formula>
    </cfRule>
    <cfRule type="cellIs" dxfId="5" priority="574" operator="equal">
      <formula>0</formula>
    </cfRule>
  </conditionalFormatting>
  <conditionalFormatting sqref="F1084:F1085">
    <cfRule type="cellIs" dxfId="4" priority="398" operator="equal">
      <formula>"/"</formula>
    </cfRule>
    <cfRule type="cellIs" dxfId="5" priority="399" operator="equal">
      <formula>0</formula>
    </cfRule>
  </conditionalFormatting>
  <conditionalFormatting sqref="F1093:F1094">
    <cfRule type="cellIs" dxfId="4" priority="336" operator="equal">
      <formula>"/"</formula>
    </cfRule>
    <cfRule type="cellIs" dxfId="5" priority="337" operator="equal">
      <formula>0</formula>
    </cfRule>
  </conditionalFormatting>
  <conditionalFormatting sqref="F1102:F1103">
    <cfRule type="cellIs" dxfId="4" priority="209" operator="equal">
      <formula>"/"</formula>
    </cfRule>
    <cfRule type="cellIs" dxfId="5" priority="210" operator="equal">
      <formula>0</formula>
    </cfRule>
  </conditionalFormatting>
  <conditionalFormatting sqref="F1118:F1119">
    <cfRule type="cellIs" dxfId="4" priority="118" operator="equal">
      <formula>"/"</formula>
    </cfRule>
    <cfRule type="cellIs" dxfId="5" priority="119" operator="equal">
      <formula>0</formula>
    </cfRule>
  </conditionalFormatting>
  <conditionalFormatting sqref="R274:R275">
    <cfRule type="cellIs" dxfId="0" priority="1262" operator="equal">
      <formula>0</formula>
    </cfRule>
  </conditionalFormatting>
  <conditionalFormatting sqref="R285:R286">
    <cfRule type="cellIs" dxfId="0" priority="1252" operator="equal">
      <formula>0</formula>
    </cfRule>
  </conditionalFormatting>
  <conditionalFormatting sqref="R292:R293">
    <cfRule type="cellIs" dxfId="0" priority="1245" operator="equal">
      <formula>0</formula>
    </cfRule>
  </conditionalFormatting>
  <conditionalFormatting sqref="R295:R296">
    <cfRule type="cellIs" dxfId="0" priority="1243" operator="equal">
      <formula>0</formula>
    </cfRule>
  </conditionalFormatting>
  <conditionalFormatting sqref="R299:R310">
    <cfRule type="cellIs" dxfId="0" priority="1240" operator="equal">
      <formula>0</formula>
    </cfRule>
  </conditionalFormatting>
  <conditionalFormatting sqref="R311:R324">
    <cfRule type="cellIs" dxfId="0" priority="1239" operator="equal">
      <formula>0</formula>
    </cfRule>
  </conditionalFormatting>
  <conditionalFormatting sqref="R571:R579">
    <cfRule type="cellIs" dxfId="0" priority="1328" operator="equal">
      <formula>0</formula>
    </cfRule>
  </conditionalFormatting>
  <conditionalFormatting sqref="R704:R713">
    <cfRule type="cellIs" dxfId="0" priority="1337" operator="equal">
      <formula>0</formula>
    </cfRule>
  </conditionalFormatting>
  <conditionalFormatting sqref="R714:R725">
    <cfRule type="cellIs" dxfId="0" priority="1336" operator="equal">
      <formula>0</formula>
    </cfRule>
  </conditionalFormatting>
  <conditionalFormatting sqref="R726:R729">
    <cfRule type="cellIs" dxfId="0" priority="1361" operator="equal">
      <formula>0</formula>
    </cfRule>
  </conditionalFormatting>
  <conditionalFormatting sqref="R822:R823">
    <cfRule type="cellIs" dxfId="0" priority="1376" operator="equal">
      <formula>0</formula>
    </cfRule>
  </conditionalFormatting>
  <conditionalFormatting sqref="R829:R830">
    <cfRule type="cellIs" dxfId="0" priority="1372" operator="equal">
      <formula>0</formula>
    </cfRule>
  </conditionalFormatting>
  <conditionalFormatting sqref="R834:R836">
    <cfRule type="cellIs" dxfId="0" priority="1389" operator="equal">
      <formula>0</formula>
    </cfRule>
  </conditionalFormatting>
  <conditionalFormatting sqref="R837:R843">
    <cfRule type="cellIs" dxfId="0" priority="1388" operator="equal">
      <formula>0</formula>
    </cfRule>
  </conditionalFormatting>
  <conditionalFormatting sqref="R844:R927">
    <cfRule type="cellIs" dxfId="0" priority="1387" operator="equal">
      <formula>0</formula>
    </cfRule>
  </conditionalFormatting>
  <conditionalFormatting sqref="R933:R934">
    <cfRule type="cellIs" dxfId="0" priority="1402" operator="equal">
      <formula>0</formula>
    </cfRule>
  </conditionalFormatting>
  <conditionalFormatting sqref="R983:R985">
    <cfRule type="cellIs" dxfId="0" priority="1416" operator="equal">
      <formula>0</formula>
    </cfRule>
  </conditionalFormatting>
  <conditionalFormatting sqref="R989:R993">
    <cfRule type="cellIs" dxfId="0" priority="1412" operator="equal">
      <formula>0</formula>
    </cfRule>
  </conditionalFormatting>
  <conditionalFormatting sqref="R1129:R1130">
    <cfRule type="cellIs" dxfId="0" priority="1429" operator="equal">
      <formula>0</formula>
    </cfRule>
  </conditionalFormatting>
  <conditionalFormatting sqref="R1131:R1134">
    <cfRule type="cellIs" dxfId="0" priority="1428" operator="equal">
      <formula>0</formula>
    </cfRule>
  </conditionalFormatting>
  <conditionalFormatting sqref="R1176:R1177">
    <cfRule type="cellIs" dxfId="0" priority="1460" operator="equal">
      <formula>0</formula>
    </cfRule>
  </conditionalFormatting>
  <conditionalFormatting sqref="T1036:T1037">
    <cfRule type="cellIs" dxfId="6" priority="756" operator="equal">
      <formula>0</formula>
    </cfRule>
  </conditionalFormatting>
  <conditionalFormatting sqref="F1:F2 F301:F316 F318:F345 F294:F295 F287:F292 F4:F285 F297:F299 F348 F350 F353:F355 F357:F364 F366:F368 F554:F597 F877:F882 F824:F826 F708:F715 F844:F848 F850 F852:F858 F606:F705 F717:F821 F860:F873 F829:F835 F994:F1002 F1129:F1131 F1133:F1202 F1126:F1127 F929:F983 F1004:F1006 F986:F990">
    <cfRule type="cellIs" dxfId="4" priority="1546" operator="equal">
      <formula>"/"</formula>
    </cfRule>
    <cfRule type="cellIs" dxfId="5" priority="1547" operator="equal">
      <formula>0</formula>
    </cfRule>
  </conditionalFormatting>
  <conditionalFormatting sqref="R1 R3:R181 R184:R202 R263:R268 R226:R261 R557:R562 R564:R568 R751:R819 R731:R742 R607:R693 R929:R931 R937:R969 R1137 R1180:R1201 R1169:R1175 R1146:R1167 R978:R980 R971:R976">
    <cfRule type="cellIs" dxfId="0" priority="1466" operator="equal">
      <formula>0</formula>
    </cfRule>
  </conditionalFormatting>
  <conditionalFormatting sqref="S1 S3:S996 S1129:S1048576 S998:S1127">
    <cfRule type="cellIs" dxfId="6" priority="1149" operator="equal">
      <formula>0</formula>
    </cfRule>
  </conditionalFormatting>
  <conditionalFormatting sqref="D272:D285 D294:D295 D311:D316 D318:D345 D287:D292 D301:D305 D297:D299 D348 D350 D353:D355 D357:D364 D366:D368 D553:D598 D824:D826 D708:D715 D877:D882 D850 D831:D834 D829 D844:D848 D717:D821 D605:D705 D852:D858 D860:D873 D986:D990 D1133:D1202 D1125:D1127 D1129:D1131 D928:D983 D1004:D1006 D994:D1002">
    <cfRule type="cellIs" dxfId="1" priority="1558" operator="equal">
      <formula>"等款"</formula>
    </cfRule>
    <cfRule type="cellIs" dxfId="2" priority="1559" operator="equal">
      <formula>"单据"</formula>
    </cfRule>
    <cfRule type="cellIs" dxfId="3" priority="1560" operator="equal">
      <formula>"发货"</formula>
    </cfRule>
  </conditionalFormatting>
  <conditionalFormatting sqref="R325:R520 R522:R525 R527:R552">
    <cfRule type="cellIs" dxfId="0" priority="1238" operator="equal">
      <formula>0</formula>
    </cfRule>
  </conditionalFormatting>
  <conditionalFormatting sqref="D369:D375 D377:D380 D382:D395 D399:D414 D416:D423 D425:D430 D432:D436 D438:D444 D446:D449 D451:D454 D456:D458 D460 D466:D467 D463:D464 D470:D490">
    <cfRule type="cellIs" dxfId="1" priority="872" operator="equal">
      <formula>"等款"</formula>
    </cfRule>
    <cfRule type="cellIs" dxfId="2" priority="873" operator="equal">
      <formula>"单据"</formula>
    </cfRule>
    <cfRule type="cellIs" dxfId="3" priority="874" operator="equal">
      <formula>"发货"</formula>
    </cfRule>
  </conditionalFormatting>
  <conditionalFormatting sqref="F467 F470">
    <cfRule type="cellIs" dxfId="4" priority="475" operator="equal">
      <formula>"/"</formula>
    </cfRule>
    <cfRule type="cellIs" dxfId="5" priority="476" operator="equal">
      <formula>0</formula>
    </cfRule>
  </conditionalFormatting>
  <conditionalFormatting sqref="D491:D494 D496:D501 D503:D524">
    <cfRule type="cellIs" dxfId="1" priority="297" operator="equal">
      <formula>"等款"</formula>
    </cfRule>
    <cfRule type="cellIs" dxfId="2" priority="298" operator="equal">
      <formula>"单据"</formula>
    </cfRule>
    <cfRule type="cellIs" dxfId="3" priority="299" operator="equal">
      <formula>"发货"</formula>
    </cfRule>
  </conditionalFormatting>
  <conditionalFormatting sqref="R826:R828 R1128">
    <cfRule type="cellIs" dxfId="0" priority="1373" operator="equal">
      <formula>0</formula>
    </cfRule>
  </conditionalFormatting>
  <conditionalFormatting sqref="D883:D890 D892">
    <cfRule type="cellIs" dxfId="1" priority="585" operator="equal">
      <formula>"等款"</formula>
    </cfRule>
    <cfRule type="cellIs" dxfId="2" priority="586" operator="equal">
      <formula>"单据"</formula>
    </cfRule>
    <cfRule type="cellIs" dxfId="3" priority="587" operator="equal">
      <formula>"发货"</formula>
    </cfRule>
  </conditionalFormatting>
  <conditionalFormatting sqref="D894:D896 D898:D902 D905:D911 D913:D919 D921:D922 D924:D927">
    <cfRule type="cellIs" dxfId="1" priority="426" operator="equal">
      <formula>"等款"</formula>
    </cfRule>
    <cfRule type="cellIs" dxfId="2" priority="427" operator="equal">
      <formula>"单据"</formula>
    </cfRule>
    <cfRule type="cellIs" dxfId="3" priority="428" operator="equal">
      <formula>"发货"</formula>
    </cfRule>
  </conditionalFormatting>
  <conditionalFormatting sqref="R994:R1061 R1063:R1124">
    <cfRule type="cellIs" dxfId="0" priority="1433" operator="equal">
      <formula>0</formula>
    </cfRule>
  </conditionalFormatting>
  <conditionalFormatting sqref="D1028 D1030:D1036 D1039:D1046 D1048:D1049">
    <cfRule type="cellIs" dxfId="1" priority="932" operator="equal">
      <formula>"等款"</formula>
    </cfRule>
    <cfRule type="cellIs" dxfId="2" priority="933" operator="equal">
      <formula>"单据"</formula>
    </cfRule>
    <cfRule type="cellIs" dxfId="3" priority="934" operator="equal">
      <formula>"发货"</formula>
    </cfRule>
  </conditionalFormatting>
  <conditionalFormatting sqref="D1070:D1077 D1124 D1106:D1121 D1101:D1104 D1086:D1099 D1079:D1084">
    <cfRule type="cellIs" dxfId="1" priority="570" operator="equal">
      <formula>"等款"</formula>
    </cfRule>
    <cfRule type="cellIs" dxfId="2" priority="571" operator="equal">
      <formula>"单据"</formula>
    </cfRule>
    <cfRule type="cellIs" dxfId="3" priority="572" operator="equal">
      <formula>"发货"</formula>
    </cfRule>
  </conditionalFormatting>
  <dataValidations count="15">
    <dataValidation type="list" allowBlank="1" showInputMessage="1" showErrorMessage="1" sqref="B4 C4 B1136 C1136 B1137 C1137 B1177 C1177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38:B1139 B1140:B1142 B1174:B1176 B1178:B1202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38:C1139 C1140:C1142 C1174:C1176 C1178:C1202">
      <formula1>"T,E,C,A,B"</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64 O565 O566 O567 O568 O569 O570 O571 O572 O573 O574 O575 O576 O577 O578 O579 O580 O581 O582 O583 O584 O585 O586 O587 O588 O589 O590 O591 O592 O593 O594 O595 O596 O597 O598 O599 O600 O601 O602 O603 O604 O605 O683 O686 O687 O688 O689 O690 O691 O692 O693 O694 O695 O696 O697 O698 O699 O700 O701 O702 O703 O704 O705 O706 O707 O708 O709 O710 O711 O712 O713 O714 O715 O716 O717 O718 O719 O720 O721 O722 O723 O724 O725 O726 O727 O728 O729 O741 O742 O743 O744 O745 O746 O747 O748 O813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32 O933 O934 O972 O973 O974 O975 O977 O979 O980 O981 O982 O983 O984 O985 O986 O987 O988 O989 O990 O991 O992 O993 O994 O995 O996 O997 O998 O999 O1000 O1001 O1002 O1003 O1004 O1005 O1006 O1007 O1011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30 O1131 O1132 O1133 O1134 O1135 O1136 O1137 O1141 O1142 O1166 O1176 O1177 O1206 O6:O20 O30:O61 O62:O79 O80:O232 O237:O238 O244:O263 O553:O563 O606:O682 O684:O685 O730:O740 O749:O812 O928:O931 O935:O971 O1138:O1140 O1143:O1144 O1145:O1165 O1167:O1175">
      <formula1>"DP,出厂,到港,LC,信保"</formula1>
    </dataValidation>
    <dataValidation type="list" allowBlank="1" showInputMessage="1" showErrorMessage="1" sqref="D144 D147 D229 D230 D231 D232 D233 D234 D235 D236 D237 D238 D239 D240 D241 D242 D243 D244 D245 D246 D247 D261 D262 D263 D264 D265 D266 D267 D268 D269 D270 D271 D272 D273 D274 D275 D276 D277 D278 D279 D280 D281 D282 D283 D284 D285 D286 D287 D288 D289 D290 D291 D292 D293 D294 D295 D296 D297 D298 D299 D300 D301 D302 D303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62 D563 D564 D565 D566 D567 D568 D569 D570 D571 D572 D573 D574 D575 D576 D577 D578 D579 D580 D581 D582 D583 D584 D585 D586 D587 D588 D589 D590 D591 D592 D593 D594 D595 D596 D597 D598 D599 D600 D601 D602 D603 D604 D605 D606 D616 D641 D684 D685 D686 D687 D688 D689 D690 D691 D692 D693 D694 D695 D696 D697 D698 D699 D700 D701 D702 D703 D704 D705 D706 D709 D710 D711 D712 D713 D714 D715 D716 D717 D718 D719 D720 D721 D722 D723 D724 D725 D726 D727 D728 D729 D740 D741 D742 D743 D744 D745 D746 D747 D748 D805 D806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32 D933 D934 D969 D970 D971 D973 D974 D975 D976 D977 D978 D979 D980 D981 D982 D983 D984 D985 D986 D987 D988 D989 D990 D991 D992 D993 D994 D995 D996 D997 D998 D999 D1000 D1001 D1002 D1003 D1004 D1005 D1006 D1007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41 D1142 D1166 D1177 D1196 D1198 D1206 D107:D108 D149:D228 D251:D260 D304:D305 D553:D561 D643:D683 D707:D708 D730:D731 D734:D739 D749:D804 D807:D808 D928:D931 D935:D938 D954:D966 D967:D968 D1008:D1009 D1138:D1140 D1143:D1144 D1145:D1165 D1167:D1176 D1178:D1179">
      <formula1>"备货,发货,单据,等款,完成"</formula1>
    </dataValidation>
    <dataValidation type="list" allowBlank="1" showInputMessage="1" showErrorMessage="1" sqref="D148 D642 D1197 D4:D106 D109:D143 D145:D146 D248:D250 D607:D615 D617:D640 D732:D733 D939:D953 D1180:D1195 D1199:D1202">
      <formula1>"备货,发货,单据,完成"</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65 C665 B681 C681 B684 C684 B685 C685 B686 C686 B687 C687 B688 C688 B689 C689 B690 C690 B691 C691 B692 C692 B693 C693 B694 C694 B695 C695 B696 C696 B697 C697 B698 C698 B699 C699 B700 C700 B701 C701 C702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40 C740 B741 C741 B742 C742 B743 C743 B744 C744 B745 C745 B746 C746 B747 C747 B748 C748 B788 C788 B789 C789 B790 C790 B804 C804 B805 C805 B806 C806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32 C932 B933 C933 B934 C934 B968 C968 B969 C969 B970 C970 B971 C971 B974 C974 B975 C975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66 C1166 B1206 C1206 B164:B166 B193:B194 B205:B220 B226:B228 B553:B561 B606:B607 B608:B627 B628:B650 B651:B653 B654:B664 B666:B667 B668:B669 B670:B680 B682:B683 B702:B703 B737:B739 B749:B751 B752:B785 B786:B787 B791:B803 B807:B808 B928:B931 B935:B937 B938:B963 B964:B967 B1008:B1009 B1143:B1144 B1145:B1165 B1167:B1173 C164:C166 C193:C194 C205:C220 C226:C228 C553:C561 C606:C607 C608:C627 C628:C650 C651:C653 C654:C664 C666:C667 C668:C669 C670:C680 C682:C683 C737:C739 C749:C751 C752:C785 C786:C787 C791:C803 C807:C808 C928:C931 C935:C937 C938:C963 C964:C967 C1008:C1009 C1143:C1144 C1145:C1165 C1167:C1173">
      <formula1>"T,E,C,A,B,S"</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0 E563 E564 E565 E566 E567 E568 E569 E570 E616 E660 E700 E701 E702 E731 E733 E734 E735 E736 E737 E738 E739 E740 E741 E742 E743 E812 E821 E822 E823 E824 E825 E826 E828 E829 E830 E831 E982 E983 E984 E985 E986 E987 E988 E1126 E1145 E1177 E146:E147 E149:E150 E156:E157 E174:E177 E181:E184 E196:E198 E204:E206 E217:E219 E227:E228 E698:E699 E1143:E1144 E1175:E1176">
      <formula1>客户!B$2:B$114</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74 A575 A576 A577 A578 A579 A580 A581 A582 A583 A584 A585 A586 A587 A588 A589 A590 A591 A592 A593 A594 A595 A596 A597 A598 A599 A600 A601 A602 A603 A604 A605 A705 A706 A707 A708 A709 A710 A711 A712 A713 A714 A715 A716 A717 A718 A719 A720 A721 A722 A723 A724 A725 A726 A727 A728 A729 A823 A828 A829 A830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34 A984 A985 A991 A992 A993 A994 A995 A996 A997 A998 A999 A1000 A1001 A1002 A1003 A1004 A1005 A1006 A1007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30 A1131 A1132 A1133 A1134 A1206 A4:A274 A276:A285 A287:A289 A290:A292 A294:A295 A297:A299 A301:A302 A553:A573 A606:A704 A730:A822 A824:A826 A831:A834 A928:A933 A935:A983 A986:A990 A1008:A1009 A1125:A1129 A1135:A1205 A1207:A1259">
      <formula1>SUBSTITUTE(A4," ","")=A4</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72 F573 F574 F575 F576 F577 F578 F579 F580 F581 F582 F583 F584 F585 F586 F587 F588 F589 F590 F591 F592 F593 F594 F595 F596 F597 F598 F599 F600 F601 F602 F603 F604 F605 F606 F705 F706 F707 F708 F709 F710 F711 F712 F713 F714 F715 F716 F717 F718 F719 F720 F721 F722 F723 F724 F725 F726 F727 F728 F729 F738 F746 F747 F748 F822 F823 F827 F828 F829 F830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33 F934 F984 F985 F990 F991 F992 F993 F994 F995 F996 F997 F998 F999 F1000 F1001 F1002 F1003 F1004 F1005 F1006 F1007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8 F1129 F1130 F1131 F1132 F1133 F1134 F1138 F1139 F1140 F1141 F1142 F1177 F1206 F1:F3 F4:F274 F276:F280 F281:F285 F287:F289 F290:F292 F294:F295 F297:F298 F323:F324 F554:F571 F607:F617 F618:F628 F629:F704 F730:F737 F739:F745 F749:F821 F824:F826 F831:F832 F929:F932 F935:F983 F986:F989 F1008:F1009 F1126:F1127 F1135:F1137 F1143:F1144 F1145:F1176 F1178:F1202"/>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72 S572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T624 R705 S705 R706 S706 R707 S707 R708 S708 R709 S709 R710 S710 R711 S711 R712 S712 R713 S713 R714 S714 R715 S715 R716 S716 R717 S717 R718 S718 R719 S719 R720 S720 R721 S721 R722 S722 R723 S723 R724 S724 R725 S725 R726 S726 R727 S727 R728 S728 R729 S729 T731 T751 T755 T760 T776 R823 S823 R827 S827 R828 S828 S829 S830 S835 R836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34 S934 T937 T943 R984 S984 R985 S985 S990 R991 S991 S992 S993 S994 S995 R996 S996 R997 S997 R998 S998 R999 S999 R1000 S1000 R1001 S1001 R1002 S1002 R1003 S1003 R1004 S1004 R1005 S1005 R1006 S1006 R1007 S1007 R1010 S1010 R1011 S1011 R1012 S1012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T1036 R1037 S1037 T1037 R1038 S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S1128 R1129 S1129 R1130 S1130 R1131 S1131 R1132 S1132 R1133 S1133 R1134 S1134 R1141 T1172 R1177 S1177 T1197 T1200 R4:R274 R276:R285 R287:R289 R290:R292 R294:R295 R297:R299 R553:R571 R606:R704 R730:R822 R824:R826 R829:R833 R834:R835 R928:R933 R935:R983 R986:R990 R992:R993 R994:R995 R1008:R1009 R1125:R1128 R1135:R1140 R1142:R1176 R1178:R1424 S4:S274 S276:S285 S287:S289 S290:S292 S294:S295 S297:S299 S553:S571 S606:S704 S730:S822 S824:S826 S831:S834 S928:S933 S935:S983 S986:S989 S1008:S1009 S1125:S1127 S1135:S1176 S1178:S1424 T938:T941 T946:T948">
      <formula1>-100000</formula1>
      <formula2>10000000</formula2>
    </dataValidation>
    <dataValidation type="list" allowBlank="1" showInputMessage="1" showErrorMessage="1" sqref="E298 E301 E302 E303 E304 E305 E306 E307 E308 E309 E310 E571 E572 E573 E574 E575 E576 E577 E578 E579 E580 E581 E582 E583 E584 E585 E586 E587 E588 E589 E590 E591 E592 E593 E594 E595 E596 E597 E598 E599 E600 E601 E602 E603 E604 E694 E695 E697 E703 E704 E705 E706 E707 E708 E709 E710 E711 E712 E713 E714 E715 E716 E717 E718 E719 E720 E721 E722 E723 E724 E725 E726 E727 E728 E729 E730 E744 E817 E820 E832 E833 E834 E835 E836 E931 E932 E933 E934 E970 E972 E973 E974 E975 E977 E978 E979 E981 E989 E990 E991 E992 E993 E994 E995 E996 E997 E998 E999 E1000 E1001 E1002 E1003 E1004 E1005 E1006 E1007 E1010 E1011 E1012 E1013 E1014 E1015 E1016 E1017 E1018 E1019 E1020 E1021 E1022 E1023 E1024 E1025 E1026 E1027 E1125 E1127 E1128 E1129 E1130 E1131 E1132 E1133 E1134 E1137 E1138 E1139 E1140 E1141 E1142 E1168 E299:E300 E1008:E1009 E1135:E1136">
      <formula1>客户!B$2:B$397</formula1>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605 E606 E745 E746 E747 E748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35 E936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202 E1206 E749:E750 E1178:E1179">
      <formula1>客户!B$2:B$297</formula1>
    </dataValidation>
    <dataValidation type="list" allowBlank="1" showInputMessage="1" showErrorMessage="1" sqref="E827">
      <formula1>[2]客户!#REF!</formula1>
    </dataValidation>
    <dataValidation allowBlank="1" showInputMessage="1" showErrorMessage="1" promptTitle="不留空格" prompt="前面不留空格" sqref="A1:A3 A1528:A1048576"/>
    <dataValidation type="custom" allowBlank="1" showInputMessage="1" showErrorMessage="1" errorTitle="不能含空格" error="请去掉空格" promptTitle="不留空格" prompt="前面不留空格" sqref="A1260:A1513 A1514:A1527" errorStyle="information">
      <formula1>SUBSTITUTE(A1260," ","")=A1260</formula1>
    </dataValidation>
    <dataValidation type="decimal" operator="between" allowBlank="1" showInputMessage="1" showErrorMessage="1" sqref="R1425:R1470">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76"/>
  <sheetViews>
    <sheetView zoomScale="130" zoomScaleNormal="130" workbookViewId="0">
      <selection activeCell="D10" sqref="D10"/>
    </sheetView>
  </sheetViews>
  <sheetFormatPr defaultColWidth="11" defaultRowHeight="17.6"/>
  <cols>
    <col min="2" max="2" width="28.625" customWidth="1"/>
    <col min="4" max="4" width="40" customWidth="1"/>
    <col min="5" max="5" width="14" customWidth="1"/>
  </cols>
  <sheetData>
    <row r="1" ht="30.75" customHeight="1" spans="1:6">
      <c r="A1" s="22" t="s">
        <v>4611</v>
      </c>
      <c r="B1" s="23" t="s">
        <v>4612</v>
      </c>
      <c r="C1" s="24" t="s">
        <v>4613</v>
      </c>
      <c r="D1" s="25" t="s">
        <v>4614</v>
      </c>
      <c r="E1" s="29"/>
      <c r="F1" s="30"/>
    </row>
    <row r="2" ht="23.1" customHeight="1" spans="1:11">
      <c r="A2" s="22">
        <v>1</v>
      </c>
      <c r="B2" s="23" t="s">
        <v>4615</v>
      </c>
      <c r="C2" s="24">
        <v>0</v>
      </c>
      <c r="D2" s="25" t="s">
        <v>4616</v>
      </c>
      <c r="E2" s="29" t="s">
        <v>4617</v>
      </c>
      <c r="F2" s="31"/>
      <c r="G2" s="32"/>
      <c r="H2" s="33"/>
      <c r="I2" s="33"/>
      <c r="J2" s="31"/>
      <c r="K2" s="35"/>
    </row>
    <row r="3" ht="23.1" customHeight="1" spans="1:5">
      <c r="A3" s="22">
        <v>2</v>
      </c>
      <c r="B3" s="23" t="s">
        <v>4618</v>
      </c>
      <c r="C3" s="24">
        <v>10000</v>
      </c>
      <c r="D3" s="26" t="s">
        <v>4619</v>
      </c>
      <c r="E3" t="s">
        <v>4620</v>
      </c>
    </row>
    <row r="4" ht="23.1" customHeight="1" spans="1:5">
      <c r="A4" s="22">
        <v>3</v>
      </c>
      <c r="B4" s="26" t="s">
        <v>4621</v>
      </c>
      <c r="C4" s="24">
        <v>2429</v>
      </c>
      <c r="D4" s="27" t="s">
        <v>4622</v>
      </c>
      <c r="E4" s="34"/>
    </row>
    <row r="5" ht="23.1" customHeight="1" spans="1:4">
      <c r="A5" s="22">
        <v>4</v>
      </c>
      <c r="B5" s="26" t="s">
        <v>4623</v>
      </c>
      <c r="C5" s="26" t="s">
        <v>4624</v>
      </c>
      <c r="D5" s="26"/>
    </row>
    <row r="6" ht="23.1" customHeight="1" spans="1:4">
      <c r="A6" s="22">
        <v>5</v>
      </c>
      <c r="B6" s="26" t="s">
        <v>1083</v>
      </c>
      <c r="C6" s="24">
        <v>5000</v>
      </c>
      <c r="D6" s="28" t="s">
        <v>4625</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492"/>
  <sheetViews>
    <sheetView zoomScale="130" zoomScaleNormal="130" topLeftCell="A151" workbookViewId="0">
      <selection activeCell="B170" sqref="B170"/>
    </sheetView>
  </sheetViews>
  <sheetFormatPr defaultColWidth="9.125" defaultRowHeight="17.6" outlineLevelCol="7"/>
  <cols>
    <col min="2" max="2" width="25.125" style="1" customWidth="1"/>
    <col min="3" max="3" width="9.125" style="2"/>
  </cols>
  <sheetData>
    <row r="1" spans="2:3">
      <c r="B1" s="3" t="s">
        <v>4626</v>
      </c>
      <c r="C1" s="2" t="s">
        <v>4627</v>
      </c>
    </row>
    <row r="2" spans="2:2">
      <c r="B2" s="4" t="s">
        <v>4628</v>
      </c>
    </row>
    <row r="3" spans="2:2">
      <c r="B3" s="4" t="s">
        <v>4629</v>
      </c>
    </row>
    <row r="4" spans="2:3">
      <c r="B4" s="4" t="s">
        <v>4630</v>
      </c>
      <c r="C4" s="2" t="s">
        <v>4631</v>
      </c>
    </row>
    <row r="5" spans="2:2">
      <c r="B5" s="4" t="s">
        <v>4632</v>
      </c>
    </row>
    <row r="6" spans="2:2">
      <c r="B6" s="4" t="s">
        <v>4633</v>
      </c>
    </row>
    <row r="7" spans="2:2">
      <c r="B7" s="4" t="s">
        <v>4634</v>
      </c>
    </row>
    <row r="8" spans="2:3">
      <c r="B8" s="4" t="s">
        <v>4635</v>
      </c>
      <c r="C8" s="2" t="s">
        <v>4636</v>
      </c>
    </row>
    <row r="9" spans="2:2">
      <c r="B9" s="4" t="s">
        <v>4637</v>
      </c>
    </row>
    <row r="10" spans="2:2">
      <c r="B10" s="4" t="s">
        <v>4638</v>
      </c>
    </row>
    <row r="11" spans="2:2">
      <c r="B11" s="5" t="s">
        <v>4639</v>
      </c>
    </row>
    <row r="12" spans="2:2">
      <c r="B12" s="4" t="s">
        <v>4640</v>
      </c>
    </row>
    <row r="13" spans="2:2">
      <c r="B13" s="4" t="s">
        <v>4641</v>
      </c>
    </row>
    <row r="14" spans="2:2">
      <c r="B14" s="4" t="s">
        <v>4642</v>
      </c>
    </row>
    <row r="15" spans="2:2">
      <c r="B15" s="4" t="s">
        <v>4643</v>
      </c>
    </row>
    <row r="16" spans="2:3">
      <c r="B16" s="4" t="s">
        <v>4644</v>
      </c>
      <c r="C16" s="2" t="s">
        <v>4645</v>
      </c>
    </row>
    <row r="17" spans="2:2">
      <c r="B17" s="4" t="s">
        <v>4646</v>
      </c>
    </row>
    <row r="18" spans="2:2">
      <c r="B18" s="4" t="s">
        <v>4647</v>
      </c>
    </row>
    <row r="19" spans="2:2">
      <c r="B19" s="4" t="s">
        <v>4648</v>
      </c>
    </row>
    <row r="20" spans="2:2">
      <c r="B20" s="4" t="s">
        <v>4649</v>
      </c>
    </row>
    <row r="21" spans="2:2">
      <c r="B21" s="4" t="s">
        <v>4650</v>
      </c>
    </row>
    <row r="22" spans="2:2">
      <c r="B22" s="6" t="s">
        <v>4651</v>
      </c>
    </row>
    <row r="23" spans="2:2">
      <c r="B23" s="6" t="s">
        <v>4652</v>
      </c>
    </row>
    <row r="24" spans="2:2">
      <c r="B24" s="4" t="s">
        <v>1578</v>
      </c>
    </row>
    <row r="25" spans="2:2">
      <c r="B25" s="1" t="s">
        <v>4653</v>
      </c>
    </row>
    <row r="26" spans="2:2">
      <c r="B26" s="4" t="s">
        <v>1513</v>
      </c>
    </row>
    <row r="27" spans="2:2">
      <c r="B27" s="6" t="s">
        <v>4654</v>
      </c>
    </row>
    <row r="28" spans="2:2">
      <c r="B28" s="4" t="s">
        <v>4655</v>
      </c>
    </row>
    <row r="29" spans="2:2">
      <c r="B29" s="5" t="s">
        <v>4656</v>
      </c>
    </row>
    <row r="30" spans="2:2">
      <c r="B30" s="7" t="s">
        <v>2150</v>
      </c>
    </row>
    <row r="31" spans="2:2">
      <c r="B31" s="1" t="s">
        <v>4657</v>
      </c>
    </row>
    <row r="32" spans="2:2">
      <c r="B32" s="6" t="s">
        <v>4658</v>
      </c>
    </row>
    <row r="33" spans="2:2">
      <c r="B33" s="6" t="s">
        <v>4659</v>
      </c>
    </row>
    <row r="34" spans="2:2">
      <c r="B34" s="6" t="s">
        <v>4660</v>
      </c>
    </row>
    <row r="35" spans="2:2">
      <c r="B35" s="1" t="s">
        <v>4661</v>
      </c>
    </row>
    <row r="36" spans="2:2">
      <c r="B36" s="1" t="s">
        <v>4662</v>
      </c>
    </row>
    <row r="37" spans="2:2">
      <c r="B37" s="1" t="s">
        <v>4663</v>
      </c>
    </row>
    <row r="38" spans="2:3">
      <c r="B38" s="6" t="s">
        <v>1345</v>
      </c>
      <c r="C38" s="2" t="s">
        <v>4664</v>
      </c>
    </row>
    <row r="39" spans="2:2">
      <c r="B39" s="6" t="s">
        <v>4665</v>
      </c>
    </row>
    <row r="40" spans="2:2">
      <c r="B40" s="6" t="s">
        <v>4666</v>
      </c>
    </row>
    <row r="41" spans="2:2">
      <c r="B41" s="6" t="s">
        <v>2799</v>
      </c>
    </row>
    <row r="42" spans="2:2">
      <c r="B42" s="6" t="s">
        <v>2763</v>
      </c>
    </row>
    <row r="43" spans="2:2">
      <c r="B43" s="6" t="s">
        <v>4667</v>
      </c>
    </row>
    <row r="44" spans="2:2">
      <c r="B44" s="6" t="s">
        <v>2483</v>
      </c>
    </row>
    <row r="45" spans="2:2">
      <c r="B45" s="6" t="s">
        <v>1429</v>
      </c>
    </row>
    <row r="46" spans="2:2">
      <c r="B46" s="6" t="s">
        <v>4668</v>
      </c>
    </row>
    <row r="47" spans="2:2">
      <c r="B47" s="6" t="s">
        <v>2121</v>
      </c>
    </row>
    <row r="48" spans="2:2">
      <c r="B48" s="1" t="s">
        <v>2851</v>
      </c>
    </row>
    <row r="49" spans="2:2">
      <c r="B49" s="6" t="s">
        <v>4669</v>
      </c>
    </row>
    <row r="50" spans="2:2">
      <c r="B50" s="1" t="s">
        <v>4670</v>
      </c>
    </row>
    <row r="51" spans="2:2">
      <c r="B51" s="1" t="s">
        <v>4671</v>
      </c>
    </row>
    <row r="52" spans="2:2">
      <c r="B52" s="1" t="s">
        <v>4672</v>
      </c>
    </row>
    <row r="53" spans="2:4">
      <c r="B53" s="6" t="s">
        <v>3209</v>
      </c>
      <c r="D53" s="8"/>
    </row>
    <row r="54" ht="18" customHeight="1" spans="2:3">
      <c r="B54" s="1" t="s">
        <v>4673</v>
      </c>
      <c r="C54" s="9"/>
    </row>
    <row r="55" spans="2:2">
      <c r="B55" s="6" t="s">
        <v>4674</v>
      </c>
    </row>
    <row r="56" spans="2:2">
      <c r="B56" s="6" t="s">
        <v>4675</v>
      </c>
    </row>
    <row r="57" spans="2:2">
      <c r="B57" s="6" t="s">
        <v>4676</v>
      </c>
    </row>
    <row r="58" spans="2:2">
      <c r="B58" s="1" t="s">
        <v>4677</v>
      </c>
    </row>
    <row r="59" spans="2:2">
      <c r="B59" s="6" t="s">
        <v>4678</v>
      </c>
    </row>
    <row r="60" spans="2:2">
      <c r="B60" s="6" t="s">
        <v>4679</v>
      </c>
    </row>
    <row r="61" spans="2:2">
      <c r="B61" s="4" t="s">
        <v>4680</v>
      </c>
    </row>
    <row r="62" ht="21" customHeight="1" spans="2:3">
      <c r="B62" s="7" t="s">
        <v>3275</v>
      </c>
      <c r="C62" s="9" t="s">
        <v>4681</v>
      </c>
    </row>
    <row r="63" spans="2:2">
      <c r="B63" s="5" t="s">
        <v>4682</v>
      </c>
    </row>
    <row r="64" spans="2:2">
      <c r="B64" s="5" t="s">
        <v>4683</v>
      </c>
    </row>
    <row r="65" spans="2:2">
      <c r="B65" s="5" t="s">
        <v>4684</v>
      </c>
    </row>
    <row r="66" spans="2:2">
      <c r="B66" s="10" t="s">
        <v>4685</v>
      </c>
    </row>
    <row r="67" spans="2:2">
      <c r="B67" s="10" t="s">
        <v>4686</v>
      </c>
    </row>
    <row r="68" spans="2:2">
      <c r="B68" s="10" t="s">
        <v>4687</v>
      </c>
    </row>
    <row r="69" spans="2:2">
      <c r="B69" s="11" t="s">
        <v>4688</v>
      </c>
    </row>
    <row r="70" spans="2:2">
      <c r="B70" s="12" t="s">
        <v>4689</v>
      </c>
    </row>
    <row r="71" spans="2:2">
      <c r="B71" s="11" t="s">
        <v>3676</v>
      </c>
    </row>
    <row r="72" spans="2:2">
      <c r="B72" s="10" t="s">
        <v>4690</v>
      </c>
    </row>
    <row r="73" spans="2:2">
      <c r="B73" s="11" t="s">
        <v>4691</v>
      </c>
    </row>
    <row r="74" spans="2:3">
      <c r="B74" s="10" t="s">
        <v>4692</v>
      </c>
      <c r="C74" s="2" t="s">
        <v>4693</v>
      </c>
    </row>
    <row r="75" ht="20" customHeight="1" spans="2:3">
      <c r="B75" s="10" t="s">
        <v>4694</v>
      </c>
      <c r="C75" s="9"/>
    </row>
    <row r="76" spans="2:2">
      <c r="B76" s="11" t="s">
        <v>3710</v>
      </c>
    </row>
    <row r="77" spans="2:2">
      <c r="B77" s="11" t="s">
        <v>3980</v>
      </c>
    </row>
    <row r="78" spans="2:2">
      <c r="B78" s="11" t="s">
        <v>4695</v>
      </c>
    </row>
    <row r="79" spans="2:2">
      <c r="B79" s="6" t="s">
        <v>4696</v>
      </c>
    </row>
    <row r="80" spans="2:2">
      <c r="B80" s="1" t="s">
        <v>4697</v>
      </c>
    </row>
    <row r="81" ht="15" customHeight="1" spans="2:3">
      <c r="B81" s="6" t="s">
        <v>1249</v>
      </c>
      <c r="C81" s="9"/>
    </row>
    <row r="82" spans="2:2">
      <c r="B82" s="1" t="s">
        <v>4698</v>
      </c>
    </row>
    <row r="83" spans="2:2">
      <c r="B83" s="6" t="s">
        <v>4699</v>
      </c>
    </row>
    <row r="84" spans="2:2">
      <c r="B84" s="1" t="s">
        <v>4700</v>
      </c>
    </row>
    <row r="85" spans="2:2">
      <c r="B85" s="6" t="s">
        <v>4505</v>
      </c>
    </row>
    <row r="86" spans="2:2">
      <c r="B86" s="6" t="s">
        <v>4701</v>
      </c>
    </row>
    <row r="87" spans="2:2">
      <c r="B87" s="13" t="s">
        <v>4702</v>
      </c>
    </row>
    <row r="88" spans="2:2">
      <c r="B88" s="14" t="s">
        <v>4703</v>
      </c>
    </row>
    <row r="89" spans="2:2">
      <c r="B89" s="14" t="s">
        <v>4704</v>
      </c>
    </row>
    <row r="90" spans="2:2">
      <c r="B90" s="15" t="s">
        <v>2112</v>
      </c>
    </row>
    <row r="91" spans="2:2">
      <c r="B91" s="16" t="s">
        <v>4705</v>
      </c>
    </row>
    <row r="92" spans="2:2">
      <c r="B92" s="17" t="s">
        <v>1167</v>
      </c>
    </row>
    <row r="93" spans="2:2">
      <c r="B93" s="17" t="s">
        <v>3937</v>
      </c>
    </row>
    <row r="94" spans="2:3">
      <c r="B94" s="17" t="s">
        <v>1113</v>
      </c>
      <c r="C94" s="2" t="s">
        <v>4706</v>
      </c>
    </row>
    <row r="95" spans="2:2">
      <c r="B95" s="17" t="s">
        <v>4368</v>
      </c>
    </row>
    <row r="96" spans="2:2">
      <c r="B96" s="17" t="s">
        <v>4707</v>
      </c>
    </row>
    <row r="97" spans="2:2">
      <c r="B97" s="17" t="s">
        <v>1758</v>
      </c>
    </row>
    <row r="98" spans="2:3">
      <c r="B98" s="17" t="s">
        <v>4708</v>
      </c>
      <c r="C98" s="2" t="s">
        <v>4709</v>
      </c>
    </row>
    <row r="99" spans="2:2">
      <c r="B99" s="17" t="s">
        <v>4151</v>
      </c>
    </row>
    <row r="100" spans="2:2">
      <c r="B100" s="17" t="s">
        <v>4010</v>
      </c>
    </row>
    <row r="101" spans="2:2">
      <c r="B101" s="17" t="s">
        <v>2833</v>
      </c>
    </row>
    <row r="102" spans="2:2">
      <c r="B102" s="18" t="s">
        <v>4710</v>
      </c>
    </row>
    <row r="103" spans="2:2">
      <c r="B103" s="17" t="s">
        <v>4711</v>
      </c>
    </row>
    <row r="104" spans="2:2">
      <c r="B104" s="17" t="s">
        <v>3922</v>
      </c>
    </row>
    <row r="105" spans="2:2">
      <c r="B105" s="17" t="s">
        <v>4712</v>
      </c>
    </row>
    <row r="106" spans="2:2">
      <c r="B106" s="17" t="s">
        <v>4713</v>
      </c>
    </row>
    <row r="107" spans="2:2">
      <c r="B107" s="17" t="s">
        <v>4714</v>
      </c>
    </row>
    <row r="108" spans="2:2">
      <c r="B108" s="17" t="s">
        <v>4715</v>
      </c>
    </row>
    <row r="109" spans="2:2">
      <c r="B109" s="17" t="s">
        <v>4713</v>
      </c>
    </row>
    <row r="110" spans="2:2">
      <c r="B110" s="17" t="s">
        <v>3873</v>
      </c>
    </row>
    <row r="111" spans="2:2">
      <c r="B111" s="17" t="s">
        <v>4039</v>
      </c>
    </row>
    <row r="112" spans="2:2">
      <c r="B112" s="17" t="s">
        <v>3906</v>
      </c>
    </row>
    <row r="113" spans="2:2">
      <c r="B113" s="17" t="s">
        <v>4716</v>
      </c>
    </row>
    <row r="114" spans="2:2">
      <c r="B114" s="17" t="s">
        <v>4717</v>
      </c>
    </row>
    <row r="115" spans="2:2">
      <c r="B115" s="19" t="s">
        <v>4718</v>
      </c>
    </row>
    <row r="116" spans="2:2">
      <c r="B116" s="8" t="s">
        <v>4719</v>
      </c>
    </row>
    <row r="117" ht="23" customHeight="1" spans="2:3">
      <c r="B117" s="17" t="s">
        <v>1389</v>
      </c>
      <c r="C117" s="9"/>
    </row>
    <row r="118" spans="2:2">
      <c r="B118" s="17" t="s">
        <v>3859</v>
      </c>
    </row>
    <row r="119" spans="2:2">
      <c r="B119" s="17" t="s">
        <v>2678</v>
      </c>
    </row>
    <row r="120" spans="2:2">
      <c r="B120" s="17" t="s">
        <v>1899</v>
      </c>
    </row>
    <row r="121" spans="2:2">
      <c r="B121" s="17" t="s">
        <v>3879</v>
      </c>
    </row>
    <row r="122" spans="2:2">
      <c r="B122" s="17" t="s">
        <v>1508</v>
      </c>
    </row>
    <row r="123" spans="2:2">
      <c r="B123" s="17" t="s">
        <v>3883</v>
      </c>
    </row>
    <row r="124" spans="2:2">
      <c r="B124" s="17" t="s">
        <v>1128</v>
      </c>
    </row>
    <row r="125" spans="2:2">
      <c r="B125" s="17" t="s">
        <v>2697</v>
      </c>
    </row>
    <row r="126" spans="2:2">
      <c r="B126" s="17" t="s">
        <v>2714</v>
      </c>
    </row>
    <row r="127" spans="2:2">
      <c r="B127" s="17" t="s">
        <v>2726</v>
      </c>
    </row>
    <row r="128" spans="2:2">
      <c r="B128" s="17" t="s">
        <v>2718</v>
      </c>
    </row>
    <row r="129" spans="2:2">
      <c r="B129" s="17" t="s">
        <v>3248</v>
      </c>
    </row>
    <row r="130" spans="2:2">
      <c r="B130" s="17" t="s">
        <v>4362</v>
      </c>
    </row>
    <row r="131" spans="2:2">
      <c r="B131" s="20" t="s">
        <v>3280</v>
      </c>
    </row>
    <row r="132" spans="2:2">
      <c r="B132" s="20" t="s">
        <v>3962</v>
      </c>
    </row>
    <row r="133" spans="2:2">
      <c r="B133" s="20" t="s">
        <v>1245</v>
      </c>
    </row>
    <row r="134" spans="2:2">
      <c r="B134" s="20" t="s">
        <v>3291</v>
      </c>
    </row>
    <row r="135" spans="2:2">
      <c r="B135" s="20" t="s">
        <v>3986</v>
      </c>
    </row>
    <row r="136" spans="2:2">
      <c r="B136" s="20" t="s">
        <v>2760</v>
      </c>
    </row>
    <row r="137" spans="2:2">
      <c r="B137" s="20" t="s">
        <v>3322</v>
      </c>
    </row>
    <row r="138" spans="2:2">
      <c r="B138" s="20" t="s">
        <v>2127</v>
      </c>
    </row>
    <row r="139" spans="2:2">
      <c r="B139" s="20" t="s">
        <v>1339</v>
      </c>
    </row>
    <row r="140" spans="2:2">
      <c r="B140" s="20" t="s">
        <v>4029</v>
      </c>
    </row>
    <row r="141" spans="2:2">
      <c r="B141" s="20" t="s">
        <v>4061</v>
      </c>
    </row>
    <row r="142" spans="2:2">
      <c r="B142" s="20" t="s">
        <v>4065</v>
      </c>
    </row>
    <row r="143" spans="2:2">
      <c r="B143" s="20" t="s">
        <v>1441</v>
      </c>
    </row>
    <row r="144" spans="2:2">
      <c r="B144" s="20" t="s">
        <v>1502</v>
      </c>
    </row>
    <row r="145" spans="2:2">
      <c r="B145" s="20" t="s">
        <v>4109</v>
      </c>
    </row>
    <row r="146" spans="2:2">
      <c r="B146" s="20" t="s">
        <v>1607</v>
      </c>
    </row>
    <row r="147" spans="2:2">
      <c r="B147" s="20" t="s">
        <v>1612</v>
      </c>
    </row>
    <row r="148" spans="2:2">
      <c r="B148" s="20" t="s">
        <v>4169</v>
      </c>
    </row>
    <row r="149" spans="2:2">
      <c r="B149" s="20" t="s">
        <v>4184</v>
      </c>
    </row>
    <row r="150" spans="2:2">
      <c r="B150" s="20" t="s">
        <v>1717</v>
      </c>
    </row>
    <row r="151" spans="2:2">
      <c r="B151" s="20" t="s">
        <v>4203</v>
      </c>
    </row>
    <row r="152" spans="2:2">
      <c r="B152" s="20" t="s">
        <v>1754</v>
      </c>
    </row>
    <row r="153" spans="2:2">
      <c r="B153" s="20" t="s">
        <v>3455</v>
      </c>
    </row>
    <row r="154" spans="2:2">
      <c r="B154" s="20" t="s">
        <v>3461</v>
      </c>
    </row>
    <row r="155" spans="2:2">
      <c r="B155" s="20" t="s">
        <v>1789</v>
      </c>
    </row>
    <row r="156" spans="2:2">
      <c r="B156" s="20" t="s">
        <v>4259</v>
      </c>
    </row>
    <row r="157" spans="2:2">
      <c r="B157" s="20" t="s">
        <v>1824</v>
      </c>
    </row>
    <row r="158" spans="2:2">
      <c r="B158" s="20" t="s">
        <v>4609</v>
      </c>
    </row>
    <row r="159" spans="2:2">
      <c r="B159" s="20" t="s">
        <v>1828</v>
      </c>
    </row>
    <row r="160" spans="2:2">
      <c r="B160" s="20" t="s">
        <v>4282</v>
      </c>
    </row>
    <row r="161" spans="2:2">
      <c r="B161" s="20" t="s">
        <v>3503</v>
      </c>
    </row>
    <row r="162" spans="2:2">
      <c r="B162" s="20" t="s">
        <v>1911</v>
      </c>
    </row>
    <row r="163" spans="2:2">
      <c r="B163" s="20" t="s">
        <v>3530</v>
      </c>
    </row>
    <row r="164" spans="2:2">
      <c r="B164" s="20" t="s">
        <v>3534</v>
      </c>
    </row>
    <row r="165" spans="2:2">
      <c r="B165" s="20" t="s">
        <v>4317</v>
      </c>
    </row>
    <row r="166" spans="2:2">
      <c r="B166" s="20" t="s">
        <v>1942</v>
      </c>
    </row>
    <row r="167" spans="2:2">
      <c r="B167" s="20" t="s">
        <v>1951</v>
      </c>
    </row>
    <row r="168" spans="2:2">
      <c r="B168" s="20" t="s">
        <v>1955</v>
      </c>
    </row>
    <row r="169" spans="2:2">
      <c r="B169" s="20" t="s">
        <v>3552</v>
      </c>
    </row>
    <row r="170" spans="2:2">
      <c r="B170" s="20" t="s">
        <v>3563</v>
      </c>
    </row>
    <row r="171" spans="2:2">
      <c r="B171" s="20"/>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0"/>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2014-03-02T01:25:00Z</dcterms:created>
  <dcterms:modified xsi:type="dcterms:W3CDTF">2022-06-09T21:48:48Z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