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<sst xmlns="http://schemas.openxmlformats.org/spreadsheetml/2006/main" count="44" uniqueCount="19">
  <si>
    <t>TDC Approach</t>
  </si>
  <si>
    <t>compare these to</t>
  </si>
  <si>
    <t>TDC Approach with TDC Width Cuts</t>
  </si>
  <si>
    <t>PMT 1</t>
  </si>
  <si>
    <t>Pixel</t>
  </si>
  <si>
    <t>TOTAL</t>
  </si>
  <si>
    <t>PMT 2</t>
  </si>
  <si>
    <t>PMT 3</t>
  </si>
  <si>
    <t>PMT 4</t>
  </si>
  <si>
    <t>PMT 5</t>
  </si>
  <si>
    <t>PMT 6</t>
  </si>
  <si>
    <t>PMT 7</t>
  </si>
  <si>
    <t>PMT 8</t>
  </si>
  <si>
    <t>PMT 9</t>
  </si>
  <si>
    <t>PMT 10</t>
  </si>
  <si>
    <t>PMT 11</t>
  </si>
  <si>
    <t>PMT 12</t>
  </si>
  <si>
    <t>PMT 13</t>
  </si>
  <si>
    <t>PMT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</si>
</sst>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8.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0" fillId="0" fontId="1" numFmtId="10" xfId="0" applyAlignment="1" applyFont="1" applyNumberFormat="1">
      <alignment vertical="bottom"/>
    </xf>
    <xf borderId="0" fillId="0" fontId="1" numFmtId="10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2" fontId="3" numFmtId="10" xfId="0" applyAlignment="1" applyFill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2" fontId="1" numFmtId="10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2" fontId="1" numFmtId="10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3" t="s">
        <v>0</v>
      </c>
      <c r="D1" s="1"/>
      <c r="E1" s="1"/>
      <c r="F1" s="1"/>
      <c r="G1" s="4" t="s">
        <v>1</v>
      </c>
      <c r="H1" s="1"/>
      <c r="I1" s="5" t="s">
        <v>2</v>
      </c>
      <c r="J1" s="2"/>
      <c r="K1" s="2"/>
      <c r="L1" s="1"/>
      <c r="M1" s="1"/>
      <c r="N1" s="1"/>
      <c r="O1" s="1"/>
      <c r="P1" s="1"/>
      <c r="Q1" s="1"/>
      <c r="R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6"/>
      <c r="P3" s="1"/>
      <c r="Q3" s="1"/>
      <c r="R3" s="1"/>
    </row>
    <row r="4">
      <c r="A4" s="1"/>
      <c r="B4" s="4">
        <v>1355.0</v>
      </c>
      <c r="C4" s="4">
        <v>1359.0</v>
      </c>
      <c r="D4" s="4">
        <v>1354.0</v>
      </c>
      <c r="E4" s="4">
        <v>1357.0</v>
      </c>
      <c r="F4" s="4">
        <v>1356.0</v>
      </c>
      <c r="G4" s="1"/>
      <c r="H4" s="4">
        <v>1355.0</v>
      </c>
      <c r="I4" s="4">
        <v>1359.0</v>
      </c>
      <c r="J4" s="4">
        <v>1354.0</v>
      </c>
      <c r="K4" s="4">
        <v>1357.0</v>
      </c>
      <c r="L4" s="4">
        <v>1356.0</v>
      </c>
      <c r="M4" s="1"/>
      <c r="N4" s="4">
        <v>1355.0</v>
      </c>
      <c r="O4" s="4">
        <v>1359.0</v>
      </c>
      <c r="P4" s="4">
        <v>1354.0</v>
      </c>
      <c r="Q4" s="4">
        <v>1357.0</v>
      </c>
      <c r="R4" s="4">
        <v>1356.0</v>
      </c>
    </row>
    <row r="5">
      <c r="A5" s="1" t="s">
        <v>3</v>
      </c>
      <c r="B5" s="4">
        <v>700.0</v>
      </c>
      <c r="C5" s="4">
        <v>725.0</v>
      </c>
      <c r="D5" s="4">
        <v>750.0</v>
      </c>
      <c r="E5" s="4">
        <v>775.0</v>
      </c>
      <c r="F5" s="4">
        <v>800.0</v>
      </c>
      <c r="G5" s="1"/>
      <c r="H5" s="4">
        <v>700.0</v>
      </c>
      <c r="I5" s="4">
        <v>725.0</v>
      </c>
      <c r="J5" s="4">
        <v>750.0</v>
      </c>
      <c r="K5" s="4">
        <v>775.0</v>
      </c>
      <c r="L5" s="4">
        <v>800.0</v>
      </c>
      <c r="M5" s="1" t="s">
        <v>4</v>
      </c>
      <c r="N5" s="4">
        <v>700.0</v>
      </c>
      <c r="O5" s="4">
        <v>725.0</v>
      </c>
      <c r="P5" s="4">
        <v>750.0</v>
      </c>
      <c r="Q5" s="4">
        <v>775.0</v>
      </c>
      <c r="R5" s="4">
        <v>800.0</v>
      </c>
    </row>
    <row r="6">
      <c r="A6" s="1">
        <v>1.0</v>
      </c>
      <c r="B6" s="7">
        <f>253/4244</f>
        <v>0.0596135721</v>
      </c>
      <c r="C6" s="7">
        <f>426/6825</f>
        <v>0.06241758242</v>
      </c>
      <c r="D6" s="7">
        <f>640/9154</f>
        <v>0.06991479135</v>
      </c>
      <c r="E6" s="7">
        <f>785/10891</f>
        <v>0.07207786246</v>
      </c>
      <c r="F6" s="7">
        <f>1137/11708</f>
        <v>0.09711308507</v>
      </c>
      <c r="G6" s="1"/>
      <c r="H6" s="7">
        <f>253/4244</f>
        <v>0.0596135721</v>
      </c>
      <c r="I6" s="7">
        <f>426/6825</f>
        <v>0.06241758242</v>
      </c>
      <c r="J6" s="7">
        <f>640/9154</f>
        <v>0.06991479135</v>
      </c>
      <c r="K6" s="7">
        <f>785/10891</f>
        <v>0.07207786246</v>
      </c>
      <c r="L6" s="7">
        <f>1137/11708</f>
        <v>0.09711308507</v>
      </c>
      <c r="M6" s="1">
        <v>1.0</v>
      </c>
      <c r="N6" s="4">
        <v>28.0</v>
      </c>
      <c r="O6" s="4">
        <v>30.0</v>
      </c>
      <c r="P6" s="4">
        <v>30.0</v>
      </c>
      <c r="Q6" s="4">
        <v>30.0</v>
      </c>
      <c r="R6" s="4">
        <v>32.0</v>
      </c>
    </row>
    <row r="7">
      <c r="A7" s="1">
        <v>2.0</v>
      </c>
      <c r="B7" s="7">
        <f>222/3467</f>
        <v>0.06403230459</v>
      </c>
      <c r="C7" s="7">
        <f>408/5991</f>
        <v>0.06810215323</v>
      </c>
      <c r="D7" s="7">
        <f>696/8453</f>
        <v>0.08233763161</v>
      </c>
      <c r="E7" s="7">
        <f>879/10518</f>
        <v>0.08357102111</v>
      </c>
      <c r="F7" s="7">
        <f>1094/11460</f>
        <v>0.09546247818</v>
      </c>
      <c r="G7" s="1"/>
      <c r="H7" s="7">
        <f>222/3467</f>
        <v>0.06403230459</v>
      </c>
      <c r="I7" s="7">
        <f>408/5991</f>
        <v>0.06810215323</v>
      </c>
      <c r="J7" s="7">
        <f>696/8453</f>
        <v>0.08233763161</v>
      </c>
      <c r="K7" s="7">
        <f>879/10518</f>
        <v>0.08357102111</v>
      </c>
      <c r="L7" s="7">
        <f>1094/11460</f>
        <v>0.09546247818</v>
      </c>
      <c r="M7" s="1">
        <v>2.0</v>
      </c>
      <c r="N7" s="4">
        <v>28.0</v>
      </c>
      <c r="O7" s="4">
        <v>29.0</v>
      </c>
      <c r="P7" s="4">
        <v>30.0</v>
      </c>
      <c r="Q7" s="4">
        <v>30.0</v>
      </c>
      <c r="R7" s="4">
        <v>32.0</v>
      </c>
    </row>
    <row r="8">
      <c r="A8" s="1">
        <v>3.0</v>
      </c>
      <c r="B8" s="7">
        <f>79/2387</f>
        <v>0.03309593632</v>
      </c>
      <c r="C8" s="7">
        <f>298/4713</f>
        <v>0.06322936558</v>
      </c>
      <c r="D8" s="7">
        <f>504/7144</f>
        <v>0.07054871221</v>
      </c>
      <c r="E8" s="7">
        <f>697/9380</f>
        <v>0.07430703625</v>
      </c>
      <c r="F8" s="7">
        <f>1024/10862</f>
        <v>0.09427361444</v>
      </c>
      <c r="G8" s="1"/>
      <c r="H8" s="7">
        <f>79/2387</f>
        <v>0.03309593632</v>
      </c>
      <c r="I8" s="7">
        <f>298/4713</f>
        <v>0.06322936558</v>
      </c>
      <c r="J8" s="7">
        <f>504/7144</f>
        <v>0.07054871221</v>
      </c>
      <c r="K8" s="7">
        <f>697/9380</f>
        <v>0.07430703625</v>
      </c>
      <c r="L8" s="7">
        <f>1024/10862</f>
        <v>0.09427361444</v>
      </c>
      <c r="M8" s="1">
        <v>3.0</v>
      </c>
      <c r="N8" s="4">
        <v>29.0</v>
      </c>
      <c r="O8" s="4">
        <v>29.0</v>
      </c>
      <c r="P8" s="4">
        <v>29.0</v>
      </c>
      <c r="Q8" s="4">
        <v>29.0</v>
      </c>
      <c r="R8" s="4">
        <v>30.0</v>
      </c>
    </row>
    <row r="9">
      <c r="A9" s="1">
        <v>4.0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1"/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1">
        <v>4.0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</row>
    <row r="10">
      <c r="A10" s="1">
        <v>5.0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1"/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1">
        <v>5.0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</row>
    <row r="11">
      <c r="A11" s="1">
        <v>6.0</v>
      </c>
      <c r="B11" s="7">
        <f>41/2070</f>
        <v>0.01980676329</v>
      </c>
      <c r="C11" s="7">
        <f>124/418</f>
        <v>0.2966507177</v>
      </c>
      <c r="D11" s="7">
        <f>360/6602</f>
        <v>0.05452893063</v>
      </c>
      <c r="E11" s="7">
        <f>530/8896</f>
        <v>0.05957733813</v>
      </c>
      <c r="F11" s="7">
        <f>958/10560</f>
        <v>0.09071969697</v>
      </c>
      <c r="G11" s="1"/>
      <c r="H11" s="7">
        <f>41/2070</f>
        <v>0.01980676329</v>
      </c>
      <c r="I11" s="7">
        <f>124/418</f>
        <v>0.2966507177</v>
      </c>
      <c r="J11" s="7">
        <f>360/6602</f>
        <v>0.05452893063</v>
      </c>
      <c r="K11" s="7">
        <f>530/8896</f>
        <v>0.05957733813</v>
      </c>
      <c r="L11" s="7">
        <f>958/10560</f>
        <v>0.09071969697</v>
      </c>
      <c r="M11" s="1">
        <v>6.0</v>
      </c>
      <c r="N11" s="4">
        <v>30.0</v>
      </c>
      <c r="O11" s="4">
        <v>30.0</v>
      </c>
      <c r="P11" s="4">
        <v>30.0</v>
      </c>
      <c r="Q11" s="4">
        <v>30.0</v>
      </c>
      <c r="R11" s="4">
        <v>32.0</v>
      </c>
    </row>
    <row r="12">
      <c r="A12" s="1">
        <v>7.0</v>
      </c>
      <c r="B12" s="7">
        <f>476/6887</f>
        <v>0.06911572528</v>
      </c>
      <c r="C12" s="7">
        <f>680/9420</f>
        <v>0.07218683652</v>
      </c>
      <c r="D12" s="7">
        <f>1165/11261</f>
        <v>0.1034544001</v>
      </c>
      <c r="E12" s="7">
        <f>1486/12198</f>
        <v>0.1218232497</v>
      </c>
      <c r="F12" s="7">
        <f>2166/13350</f>
        <v>0.162247191</v>
      </c>
      <c r="G12" s="1"/>
      <c r="H12" s="8">
        <f>92/6887</f>
        <v>0.01335850152</v>
      </c>
      <c r="I12" s="9">
        <f>175/9420</f>
        <v>0.01857749469</v>
      </c>
      <c r="J12" s="9">
        <f>323/11261</f>
        <v>0.02868306545</v>
      </c>
      <c r="K12" s="9">
        <f>223/12198</f>
        <v>0.01828168552</v>
      </c>
      <c r="L12" s="9">
        <f>1063/13350</f>
        <v>0.07962546816</v>
      </c>
      <c r="M12" s="1">
        <v>7.0</v>
      </c>
      <c r="N12" s="4">
        <v>30.0</v>
      </c>
      <c r="O12" s="4">
        <v>30.0</v>
      </c>
      <c r="P12" s="4">
        <v>32.0</v>
      </c>
      <c r="Q12" s="4">
        <v>32.0</v>
      </c>
      <c r="R12" s="4">
        <v>33.0</v>
      </c>
    </row>
    <row r="13">
      <c r="A13" s="1">
        <v>8.0</v>
      </c>
      <c r="B13" s="7">
        <f>589/6307</f>
        <v>0.09338829872</v>
      </c>
      <c r="C13" s="7">
        <f>936/8914</f>
        <v>0.1050033655</v>
      </c>
      <c r="D13" s="7">
        <f>1442/10885</f>
        <v>0.1324758842</v>
      </c>
      <c r="E13" s="7">
        <f>1881/12150</f>
        <v>0.1548148148</v>
      </c>
      <c r="F13" s="7">
        <f>3967/14860</f>
        <v>0.2669582773</v>
      </c>
      <c r="G13" s="1"/>
      <c r="H13" s="9">
        <f>117/6307</f>
        <v>0.01855081655</v>
      </c>
      <c r="I13" s="9">
        <f>234/8914</f>
        <v>0.02625084137</v>
      </c>
      <c r="J13" s="9">
        <f>432/10885</f>
        <v>0.03968764355</v>
      </c>
      <c r="K13" s="9">
        <f>322/12150</f>
        <v>0.02650205761</v>
      </c>
      <c r="L13" s="9">
        <f>1966/14860</f>
        <v>0.1323014805</v>
      </c>
      <c r="M13" s="1">
        <v>8.0</v>
      </c>
      <c r="N13" s="4">
        <v>30.0</v>
      </c>
      <c r="O13" s="4">
        <v>30.0</v>
      </c>
      <c r="P13" s="4">
        <v>32.0</v>
      </c>
      <c r="Q13" s="4">
        <v>32.0</v>
      </c>
      <c r="R13" s="4">
        <v>33.0</v>
      </c>
    </row>
    <row r="14">
      <c r="A14" s="1">
        <v>9.0</v>
      </c>
      <c r="B14" s="7">
        <f>470/5846</f>
        <v>0.08039685255</v>
      </c>
      <c r="C14" s="7">
        <f>781/8324</f>
        <v>0.09382508409</v>
      </c>
      <c r="D14" s="7">
        <f>1246/10390</f>
        <v>0.1199230029</v>
      </c>
      <c r="E14" s="7">
        <f>1443/11482</f>
        <v>0.1256749695</v>
      </c>
      <c r="F14" s="7">
        <f>2212/13160</f>
        <v>0.1680851064</v>
      </c>
      <c r="G14" s="1"/>
      <c r="H14" s="9">
        <f>98/5846</f>
        <v>0.01676359904</v>
      </c>
      <c r="I14" s="9">
        <f>169/8324</f>
        <v>0.02030273907</v>
      </c>
      <c r="J14" s="9">
        <f>352/10390</f>
        <v>0.03387872955</v>
      </c>
      <c r="K14" s="9">
        <f>225/11482</f>
        <v>0.01959588922</v>
      </c>
      <c r="L14" s="9">
        <f>995/13160</f>
        <v>0.07560790274</v>
      </c>
      <c r="M14" s="1">
        <v>9.0</v>
      </c>
      <c r="N14" s="4">
        <v>29.0</v>
      </c>
      <c r="O14" s="4">
        <v>30.0</v>
      </c>
      <c r="P14" s="4">
        <v>30.0</v>
      </c>
      <c r="Q14" s="4">
        <v>32.0</v>
      </c>
      <c r="R14" s="4">
        <v>33.0</v>
      </c>
    </row>
    <row r="15">
      <c r="A15" s="1">
        <v>10.0</v>
      </c>
      <c r="B15" s="7">
        <f>29/897</f>
        <v>0.03232998885</v>
      </c>
      <c r="C15" s="7">
        <f>81/2132</f>
        <v>0.03799249531</v>
      </c>
      <c r="D15" s="7">
        <f>253/4308</f>
        <v>0.058727948</v>
      </c>
      <c r="E15" s="7">
        <f>435/6461</f>
        <v>0.06732703916</v>
      </c>
      <c r="F15" s="7">
        <f>711/8889</f>
        <v>0.07998650017</v>
      </c>
      <c r="G15" s="1"/>
      <c r="H15" s="7">
        <f>29/897</f>
        <v>0.03232998885</v>
      </c>
      <c r="I15" s="7">
        <f>81/2132</f>
        <v>0.03799249531</v>
      </c>
      <c r="J15" s="7">
        <f>253/4308</f>
        <v>0.058727948</v>
      </c>
      <c r="K15" s="7">
        <f>435/6461</f>
        <v>0.06732703916</v>
      </c>
      <c r="L15" s="7">
        <f>711/8889</f>
        <v>0.07998650017</v>
      </c>
      <c r="M15" s="1">
        <v>10.0</v>
      </c>
      <c r="N15" s="4">
        <v>26.0</v>
      </c>
      <c r="O15" s="4">
        <v>27.0</v>
      </c>
      <c r="P15" s="4">
        <v>27.0</v>
      </c>
      <c r="Q15" s="4">
        <v>28.0</v>
      </c>
      <c r="R15" s="4">
        <v>28.0</v>
      </c>
    </row>
    <row r="16">
      <c r="A16" s="1">
        <v>11.0</v>
      </c>
      <c r="B16" s="7">
        <f>17/696</f>
        <v>0.02442528736</v>
      </c>
      <c r="C16" s="7">
        <f>66/1813</f>
        <v>0.03640375069</v>
      </c>
      <c r="D16" s="7">
        <f>235/3610</f>
        <v>0.06509695291</v>
      </c>
      <c r="E16" s="7">
        <f>447/5883</f>
        <v>0.07598164202</v>
      </c>
      <c r="F16" s="7">
        <f>809/8408</f>
        <v>0.09621788773</v>
      </c>
      <c r="G16" s="1"/>
      <c r="H16" s="7">
        <f>17/696</f>
        <v>0.02442528736</v>
      </c>
      <c r="I16" s="7">
        <f>66/1813</f>
        <v>0.03640375069</v>
      </c>
      <c r="J16" s="7">
        <f>235/3610</f>
        <v>0.06509695291</v>
      </c>
      <c r="K16" s="7">
        <f>447/5883</f>
        <v>0.07598164202</v>
      </c>
      <c r="L16" s="7">
        <f>809/8408</f>
        <v>0.09621788773</v>
      </c>
      <c r="M16" s="1">
        <v>11.0</v>
      </c>
      <c r="N16" s="4">
        <v>25.0</v>
      </c>
      <c r="O16" s="4">
        <v>26.0</v>
      </c>
      <c r="P16" s="4">
        <v>26.0</v>
      </c>
      <c r="Q16" s="4">
        <v>28.0</v>
      </c>
      <c r="R16" s="4">
        <v>29.0</v>
      </c>
    </row>
    <row r="17">
      <c r="A17" s="1">
        <v>12.0</v>
      </c>
      <c r="B17" s="7">
        <f>383/4968</f>
        <v>0.07709339775</v>
      </c>
      <c r="C17" s="7">
        <f>662/7639</f>
        <v>0.08666055766</v>
      </c>
      <c r="D17" s="7">
        <f>1012/9647</f>
        <v>0.1049030787</v>
      </c>
      <c r="E17" s="7">
        <f>1311/10980</f>
        <v>0.1193989071</v>
      </c>
      <c r="F17" s="7">
        <f>2001/12677</f>
        <v>0.157844916</v>
      </c>
      <c r="G17" s="1"/>
      <c r="H17" s="9">
        <f>103/4968</f>
        <v>0.02073268921</v>
      </c>
      <c r="I17" s="9">
        <f>164/7639</f>
        <v>0.02146877864</v>
      </c>
      <c r="J17" s="9">
        <f>298/9647</f>
        <v>0.03089043226</v>
      </c>
      <c r="K17" s="9">
        <f>217/10980</f>
        <v>0.01976320583</v>
      </c>
      <c r="L17" s="9">
        <f>824/12677</f>
        <v>0.06499960558</v>
      </c>
      <c r="M17" s="1">
        <v>12.0</v>
      </c>
      <c r="N17" s="4">
        <v>30.0</v>
      </c>
      <c r="O17" s="4">
        <v>30.0</v>
      </c>
      <c r="P17" s="4">
        <v>30.0</v>
      </c>
      <c r="Q17" s="4">
        <v>32.0</v>
      </c>
      <c r="R17" s="4">
        <v>33.0</v>
      </c>
    </row>
    <row r="18">
      <c r="A18" s="1">
        <v>13.0</v>
      </c>
      <c r="B18" s="7">
        <f>857/5915</f>
        <v>0.1448858833</v>
      </c>
      <c r="C18" s="7">
        <f>1269/8608</f>
        <v>0.1474210037</v>
      </c>
      <c r="D18" s="7">
        <f>1976/10595</f>
        <v>0.1865030675</v>
      </c>
      <c r="E18" s="7">
        <f>3252/12849</f>
        <v>0.253093626</v>
      </c>
      <c r="F18" s="7">
        <f>8724/19353</f>
        <v>0.4507828244</v>
      </c>
      <c r="G18" s="1"/>
      <c r="H18" s="9">
        <f>236/5915</f>
        <v>0.03989856298</v>
      </c>
      <c r="I18" s="9">
        <f>397/8608</f>
        <v>0.04611988848</v>
      </c>
      <c r="J18" s="9">
        <f>763/10595</f>
        <v>0.07201510146</v>
      </c>
      <c r="K18" s="9">
        <f>925/12849</f>
        <v>0.07199003814</v>
      </c>
      <c r="L18" s="9">
        <f>5120/19353</f>
        <v>0.2645584664</v>
      </c>
      <c r="M18" s="1">
        <v>13.0</v>
      </c>
      <c r="N18" s="4">
        <v>30.0</v>
      </c>
      <c r="O18" s="4">
        <v>30.0</v>
      </c>
      <c r="P18" s="4">
        <v>32.0</v>
      </c>
      <c r="Q18" s="4">
        <v>33.0</v>
      </c>
      <c r="R18" s="4">
        <v>34.0</v>
      </c>
    </row>
    <row r="19">
      <c r="A19" s="1">
        <v>14.0</v>
      </c>
      <c r="B19" s="7">
        <f>33/1581</f>
        <v>0.02087286528</v>
      </c>
      <c r="C19" s="7">
        <f>107/3370</f>
        <v>0.03175074184</v>
      </c>
      <c r="D19" s="7">
        <f>218/5674</f>
        <v>0.03842086711</v>
      </c>
      <c r="E19" s="7">
        <f>433/7933</f>
        <v>0.0545821253</v>
      </c>
      <c r="F19" s="7">
        <f>805/10340</f>
        <v>0.07785299807</v>
      </c>
      <c r="G19" s="1"/>
      <c r="H19" s="7">
        <f>33/1581</f>
        <v>0.02087286528</v>
      </c>
      <c r="I19" s="7">
        <f>107/3370</f>
        <v>0.03175074184</v>
      </c>
      <c r="J19" s="7">
        <f>218/5674</f>
        <v>0.03842086711</v>
      </c>
      <c r="K19" s="7">
        <f>433/7933</f>
        <v>0.0545821253</v>
      </c>
      <c r="L19" s="7">
        <f>805/10340</f>
        <v>0.07785299807</v>
      </c>
      <c r="M19" s="1">
        <v>14.0</v>
      </c>
      <c r="N19" s="4">
        <v>25.0</v>
      </c>
      <c r="O19" s="4">
        <v>25.0</v>
      </c>
      <c r="P19" s="4">
        <v>26.0</v>
      </c>
      <c r="Q19" s="4">
        <v>26.0</v>
      </c>
      <c r="R19" s="4">
        <v>26.0</v>
      </c>
    </row>
    <row r="20">
      <c r="A20" s="1">
        <v>15.0</v>
      </c>
      <c r="B20" s="7">
        <f>204/3322</f>
        <v>0.06140878989</v>
      </c>
      <c r="C20" s="7">
        <f>410/6049</f>
        <v>0.06777979831</v>
      </c>
      <c r="D20" s="7">
        <f>699/8400</f>
        <v>0.08321428571</v>
      </c>
      <c r="E20" s="7">
        <f>1087/10450</f>
        <v>0.1040191388</v>
      </c>
      <c r="F20" s="7">
        <f>2810/13587</f>
        <v>0.2068153382</v>
      </c>
      <c r="G20" s="1"/>
      <c r="H20" s="7">
        <f>204/3322</f>
        <v>0.06140878989</v>
      </c>
      <c r="I20" s="7">
        <f>410/6049</f>
        <v>0.06777979831</v>
      </c>
      <c r="J20" s="9">
        <f>182/8400</f>
        <v>0.02166666667</v>
      </c>
      <c r="K20" s="9">
        <f>214/10450</f>
        <v>0.0204784689</v>
      </c>
      <c r="L20" s="9">
        <f>1373/13587</f>
        <v>0.1010524766</v>
      </c>
      <c r="M20" s="1">
        <v>15.0</v>
      </c>
      <c r="N20" s="4">
        <v>25.0</v>
      </c>
      <c r="O20" s="4">
        <v>25.0</v>
      </c>
      <c r="P20" s="4">
        <v>26.0</v>
      </c>
      <c r="Q20" s="4">
        <v>28.0</v>
      </c>
      <c r="R20" s="4">
        <v>30.0</v>
      </c>
    </row>
    <row r="21">
      <c r="A21" s="1">
        <v>16.0</v>
      </c>
      <c r="B21" s="7">
        <f>623/6738</f>
        <v>0.09246067082</v>
      </c>
      <c r="C21" s="7">
        <f>922/9211</f>
        <v>0.1000977093</v>
      </c>
      <c r="D21" s="7">
        <f>1379/11142</f>
        <v>0.1237659307</v>
      </c>
      <c r="E21" s="7">
        <f>2294/13025</f>
        <v>0.1761228407</v>
      </c>
      <c r="F21" s="7">
        <f>6385/18128</f>
        <v>0.352217564</v>
      </c>
      <c r="G21" s="1"/>
      <c r="H21" s="9">
        <f>152/6738</f>
        <v>0.02255862274</v>
      </c>
      <c r="I21" s="9">
        <f>256/9211</f>
        <v>0.02779285637</v>
      </c>
      <c r="J21" s="9">
        <f>446/11142</f>
        <v>0.04002872016</v>
      </c>
      <c r="K21" s="9">
        <f>503/13025</f>
        <v>0.03861804223</v>
      </c>
      <c r="L21" s="9">
        <f>3290/18128</f>
        <v>0.1814872021</v>
      </c>
      <c r="M21" s="1">
        <v>16.0</v>
      </c>
      <c r="N21" s="4">
        <v>29.0</v>
      </c>
      <c r="O21" s="4">
        <v>29.0</v>
      </c>
      <c r="P21" s="4">
        <v>30.0</v>
      </c>
      <c r="Q21" s="4">
        <v>32.0</v>
      </c>
      <c r="R21" s="4">
        <v>33.0</v>
      </c>
    </row>
    <row r="22">
      <c r="A22" s="1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1"/>
      <c r="B23" s="4">
        <v>1396.0</v>
      </c>
      <c r="C23" s="4">
        <v>1395.0</v>
      </c>
      <c r="D23" s="4">
        <v>1392.0</v>
      </c>
      <c r="E23" s="4">
        <v>1393.0</v>
      </c>
      <c r="F23" s="4">
        <v>1394.0</v>
      </c>
      <c r="G23" s="1"/>
      <c r="H23" s="4">
        <v>1396.0</v>
      </c>
      <c r="I23" s="4">
        <v>1395.0</v>
      </c>
      <c r="J23" s="4">
        <v>1392.0</v>
      </c>
      <c r="K23" s="4">
        <v>1393.0</v>
      </c>
      <c r="L23" s="4">
        <v>1394.0</v>
      </c>
      <c r="M23" s="1"/>
      <c r="N23" s="4">
        <v>1396.0</v>
      </c>
      <c r="O23" s="4">
        <v>1395.0</v>
      </c>
      <c r="P23" s="4">
        <v>1392.0</v>
      </c>
      <c r="Q23" s="4">
        <v>1393.0</v>
      </c>
      <c r="R23" s="4">
        <v>1394.0</v>
      </c>
    </row>
    <row r="24">
      <c r="A24" s="1" t="s">
        <v>6</v>
      </c>
      <c r="B24" s="4">
        <v>700.0</v>
      </c>
      <c r="C24" s="4">
        <v>725.0</v>
      </c>
      <c r="D24" s="4">
        <v>750.0</v>
      </c>
      <c r="E24" s="4">
        <v>775.0</v>
      </c>
      <c r="F24" s="4">
        <v>800.0</v>
      </c>
      <c r="G24" s="1"/>
      <c r="H24" s="4">
        <v>700.0</v>
      </c>
      <c r="I24" s="4">
        <v>725.0</v>
      </c>
      <c r="J24" s="4">
        <v>750.0</v>
      </c>
      <c r="K24" s="4">
        <v>775.0</v>
      </c>
      <c r="L24" s="4">
        <v>800.0</v>
      </c>
      <c r="M24" s="1" t="s">
        <v>4</v>
      </c>
      <c r="N24" s="4">
        <v>700.0</v>
      </c>
      <c r="O24" s="4">
        <v>725.0</v>
      </c>
      <c r="P24" s="4">
        <v>750.0</v>
      </c>
      <c r="Q24" s="4">
        <v>775.0</v>
      </c>
      <c r="R24" s="4">
        <v>800.0</v>
      </c>
    </row>
    <row r="25">
      <c r="A25" s="1">
        <v>1.0</v>
      </c>
      <c r="B25" s="8">
        <f>3/1138</f>
        <v>0.002636203866</v>
      </c>
      <c r="C25" s="8">
        <f>7/2411</f>
        <v>0.002903359602</v>
      </c>
      <c r="D25" s="8">
        <f>11/4012</f>
        <v>0.002741774676</v>
      </c>
      <c r="E25" s="8">
        <f>27/5915</f>
        <v>0.004564666103</v>
      </c>
      <c r="F25" s="8">
        <f>92/7487</f>
        <v>0.01228796581</v>
      </c>
      <c r="G25" s="1"/>
      <c r="H25" s="8">
        <f>3/1138</f>
        <v>0.002636203866</v>
      </c>
      <c r="I25" s="8">
        <f>7/2411</f>
        <v>0.002903359602</v>
      </c>
      <c r="J25" s="8">
        <f>11/4012</f>
        <v>0.002741774676</v>
      </c>
      <c r="K25" s="8">
        <f>27/5915</f>
        <v>0.004564666103</v>
      </c>
      <c r="L25" s="8">
        <f>92/7487</f>
        <v>0.01228796581</v>
      </c>
      <c r="M25" s="1">
        <v>1.0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</row>
    <row r="26">
      <c r="A26" s="1">
        <v>2.0</v>
      </c>
      <c r="B26" s="8">
        <f>307/4497</f>
        <v>0.06826773404</v>
      </c>
      <c r="C26" s="8">
        <f>477/6447</f>
        <v>0.07398790135</v>
      </c>
      <c r="D26" s="8">
        <f>907/8298</f>
        <v>0.1093034466</v>
      </c>
      <c r="E26" s="8">
        <f>1265/9709</f>
        <v>0.1302914821</v>
      </c>
      <c r="F26" s="8">
        <f>2309/11300</f>
        <v>0.2043362832</v>
      </c>
      <c r="G26" s="1"/>
      <c r="H26" s="8">
        <f>307/4497</f>
        <v>0.06826773404</v>
      </c>
      <c r="I26" s="9">
        <f>137/6447</f>
        <v>0.02125019389</v>
      </c>
      <c r="J26" s="9">
        <f>231/8298</f>
        <v>0.02783803326</v>
      </c>
      <c r="K26" s="9">
        <f>403/9709</f>
        <v>0.04150787929</v>
      </c>
      <c r="L26" s="8">
        <f>649/11300</f>
        <v>0.05743362832</v>
      </c>
      <c r="M26" s="1">
        <v>2.0</v>
      </c>
      <c r="N26" s="4">
        <v>26.0</v>
      </c>
      <c r="O26" s="4">
        <v>30.0</v>
      </c>
      <c r="P26" s="4">
        <v>30.0</v>
      </c>
      <c r="Q26" s="4">
        <v>31.0</v>
      </c>
      <c r="R26" s="4">
        <v>34.0</v>
      </c>
    </row>
    <row r="27">
      <c r="A27" s="1">
        <v>3.0</v>
      </c>
      <c r="B27" s="8">
        <f>0/852</f>
        <v>0</v>
      </c>
      <c r="C27" s="8">
        <f>5/1858</f>
        <v>0.002691065662</v>
      </c>
      <c r="D27" s="8">
        <f>7/3222</f>
        <v>0.002172563625</v>
      </c>
      <c r="E27" s="8">
        <f>13/5051</f>
        <v>0.002573747773</v>
      </c>
      <c r="F27" s="8">
        <f>46/6695</f>
        <v>0.006870799104</v>
      </c>
      <c r="G27" s="1"/>
      <c r="H27" s="8">
        <f>0/852</f>
        <v>0</v>
      </c>
      <c r="I27" s="8">
        <f>5/1858</f>
        <v>0.002691065662</v>
      </c>
      <c r="J27" s="8">
        <f>7/3222</f>
        <v>0.002172563625</v>
      </c>
      <c r="K27" s="8">
        <f>13/5051</f>
        <v>0.002573747773</v>
      </c>
      <c r="L27" s="8">
        <f>46/6695</f>
        <v>0.006870799104</v>
      </c>
      <c r="M27" s="1">
        <v>3.0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</row>
    <row r="28">
      <c r="A28" s="1">
        <v>4.0</v>
      </c>
      <c r="B28" s="7">
        <v>0.0</v>
      </c>
      <c r="C28" s="7">
        <v>0.0</v>
      </c>
      <c r="D28" s="7">
        <v>0.0</v>
      </c>
      <c r="E28" s="7">
        <v>0.0</v>
      </c>
      <c r="F28" s="7">
        <v>0.0</v>
      </c>
      <c r="G28" s="1"/>
      <c r="H28" s="7">
        <v>0.0</v>
      </c>
      <c r="I28" s="7">
        <v>0.0</v>
      </c>
      <c r="J28" s="7">
        <v>0.0</v>
      </c>
      <c r="K28" s="7">
        <v>0.0</v>
      </c>
      <c r="L28" s="7">
        <v>0.0</v>
      </c>
      <c r="M28" s="1">
        <v>4.0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</row>
    <row r="29">
      <c r="A29" s="1">
        <v>5.0</v>
      </c>
      <c r="B29" s="8">
        <f>0/2</f>
        <v>0</v>
      </c>
      <c r="C29" s="8">
        <f>0/5</f>
        <v>0</v>
      </c>
      <c r="D29" s="8">
        <f>0/25</f>
        <v>0</v>
      </c>
      <c r="E29" s="8">
        <f>0/140</f>
        <v>0</v>
      </c>
      <c r="F29" s="8">
        <f>0/611</f>
        <v>0</v>
      </c>
      <c r="G29" s="1"/>
      <c r="H29" s="8">
        <f>0/2</f>
        <v>0</v>
      </c>
      <c r="I29" s="8">
        <f>0/5</f>
        <v>0</v>
      </c>
      <c r="J29" s="8">
        <f>0/25</f>
        <v>0</v>
      </c>
      <c r="K29" s="8">
        <f>0/140</f>
        <v>0</v>
      </c>
      <c r="L29" s="8">
        <f>0/611</f>
        <v>0</v>
      </c>
      <c r="M29" s="1">
        <v>5.0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</row>
    <row r="30">
      <c r="A30" s="1">
        <v>6.0</v>
      </c>
      <c r="B30" s="8">
        <f>0/61</f>
        <v>0</v>
      </c>
      <c r="C30" s="8">
        <f>0/423</f>
        <v>0</v>
      </c>
      <c r="D30" s="8">
        <f>0/1096</f>
        <v>0</v>
      </c>
      <c r="E30" s="8">
        <f>0/2126</f>
        <v>0</v>
      </c>
      <c r="F30" s="8">
        <f>0/3565</f>
        <v>0</v>
      </c>
      <c r="G30" s="1"/>
      <c r="H30" s="8">
        <f>0/61</f>
        <v>0</v>
      </c>
      <c r="I30" s="8">
        <f>0/423</f>
        <v>0</v>
      </c>
      <c r="J30" s="8">
        <f>0/1096</f>
        <v>0</v>
      </c>
      <c r="K30" s="8">
        <f>0/2126</f>
        <v>0</v>
      </c>
      <c r="L30" s="8">
        <f>0/3565</f>
        <v>0</v>
      </c>
      <c r="M30" s="1">
        <v>6.0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</row>
    <row r="31">
      <c r="A31" s="1">
        <v>7.0</v>
      </c>
      <c r="B31" s="8">
        <f>0/448</f>
        <v>0</v>
      </c>
      <c r="C31" s="8">
        <f>0/1112</f>
        <v>0</v>
      </c>
      <c r="D31" s="8">
        <f>0/2128</f>
        <v>0</v>
      </c>
      <c r="E31" s="8">
        <f>5/3706</f>
        <v>0.001349163519</v>
      </c>
      <c r="F31" s="8">
        <f>6/5475</f>
        <v>0.001095890411</v>
      </c>
      <c r="G31" s="1"/>
      <c r="H31" s="8">
        <f>0/448</f>
        <v>0</v>
      </c>
      <c r="I31" s="8">
        <f>0/1112</f>
        <v>0</v>
      </c>
      <c r="J31" s="8">
        <f>0/2128</f>
        <v>0</v>
      </c>
      <c r="K31" s="8">
        <f>5/3706</f>
        <v>0.001349163519</v>
      </c>
      <c r="L31" s="8">
        <f>6/5475</f>
        <v>0.001095890411</v>
      </c>
      <c r="M31" s="1">
        <v>7.0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</row>
    <row r="32">
      <c r="A32" s="1">
        <v>8.0</v>
      </c>
      <c r="B32" s="7">
        <v>0.0</v>
      </c>
      <c r="C32" s="7">
        <v>0.0</v>
      </c>
      <c r="D32" s="7">
        <v>0.0</v>
      </c>
      <c r="E32" s="7">
        <v>0.0</v>
      </c>
      <c r="F32" s="7">
        <v>0.0</v>
      </c>
      <c r="G32" s="1"/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1">
        <v>8.0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</row>
    <row r="33">
      <c r="A33" s="1">
        <v>9.0</v>
      </c>
      <c r="B33" s="8">
        <f>0/168</f>
        <v>0</v>
      </c>
      <c r="C33" s="8">
        <f>0/653</f>
        <v>0</v>
      </c>
      <c r="D33" s="8">
        <f>0/1439</f>
        <v>0</v>
      </c>
      <c r="E33" s="8">
        <f>2/2616</f>
        <v>0.0007645259939</v>
      </c>
      <c r="F33" s="8">
        <f>0/4134</f>
        <v>0</v>
      </c>
      <c r="G33" s="1"/>
      <c r="H33" s="8">
        <f>0/168</f>
        <v>0</v>
      </c>
      <c r="I33" s="8">
        <f>0/653</f>
        <v>0</v>
      </c>
      <c r="J33" s="8">
        <f>0/1439</f>
        <v>0</v>
      </c>
      <c r="K33" s="8">
        <f>2/2616</f>
        <v>0.0007645259939</v>
      </c>
      <c r="L33" s="8">
        <f>0/4134</f>
        <v>0</v>
      </c>
      <c r="M33" s="1">
        <v>9.0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</row>
    <row r="34">
      <c r="A34" s="1">
        <v>10.0</v>
      </c>
      <c r="B34" s="8">
        <f>0/185</f>
        <v>0</v>
      </c>
      <c r="C34" s="8">
        <f>0/720</f>
        <v>0</v>
      </c>
      <c r="D34" s="8">
        <f>0/1535</f>
        <v>0</v>
      </c>
      <c r="E34" s="8">
        <f>0/2528</f>
        <v>0</v>
      </c>
      <c r="F34" s="8">
        <f>1/4213</f>
        <v>0.0002373605507</v>
      </c>
      <c r="G34" s="1"/>
      <c r="H34" s="8">
        <f>0/185</f>
        <v>0</v>
      </c>
      <c r="I34" s="8">
        <f>0/720</f>
        <v>0</v>
      </c>
      <c r="J34" s="8">
        <f>0/1535</f>
        <v>0</v>
      </c>
      <c r="K34" s="8">
        <f>0/2528</f>
        <v>0</v>
      </c>
      <c r="L34" s="8">
        <f>1/4213</f>
        <v>0.0002373605507</v>
      </c>
      <c r="M34" s="1">
        <v>10.0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</row>
    <row r="35">
      <c r="A35" s="1">
        <v>11.0</v>
      </c>
      <c r="B35" s="8">
        <f>0/18</f>
        <v>0</v>
      </c>
      <c r="C35" s="8">
        <f>0/184</f>
        <v>0</v>
      </c>
      <c r="D35" s="8">
        <f>0/666</f>
        <v>0</v>
      </c>
      <c r="E35" s="8">
        <f>0/1271</f>
        <v>0</v>
      </c>
      <c r="F35" s="8">
        <f>1/2304</f>
        <v>0.0004340277778</v>
      </c>
      <c r="G35" s="1"/>
      <c r="H35" s="8">
        <f>0/18</f>
        <v>0</v>
      </c>
      <c r="I35" s="8">
        <f>0/184</f>
        <v>0</v>
      </c>
      <c r="J35" s="8">
        <f>0/666</f>
        <v>0</v>
      </c>
      <c r="K35" s="8">
        <f>0/1271</f>
        <v>0</v>
      </c>
      <c r="L35" s="8">
        <f>1/2304</f>
        <v>0.0004340277778</v>
      </c>
      <c r="M35" s="1">
        <v>11.0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</row>
    <row r="36">
      <c r="A36" s="1">
        <v>12.0</v>
      </c>
      <c r="B36" s="8">
        <f>0/188</f>
        <v>0</v>
      </c>
      <c r="C36" s="8">
        <f>0/678</f>
        <v>0</v>
      </c>
      <c r="D36" s="8">
        <f>0/1331</f>
        <v>0</v>
      </c>
      <c r="E36" s="8">
        <f>1/2448</f>
        <v>0.000408496732</v>
      </c>
      <c r="F36" s="8">
        <f>4/3933</f>
        <v>0.001017035342</v>
      </c>
      <c r="G36" s="1"/>
      <c r="H36" s="8">
        <f>0/188</f>
        <v>0</v>
      </c>
      <c r="I36" s="8">
        <f>0/678</f>
        <v>0</v>
      </c>
      <c r="J36" s="8">
        <f>0/1331</f>
        <v>0</v>
      </c>
      <c r="K36" s="8">
        <f>1/2448</f>
        <v>0.000408496732</v>
      </c>
      <c r="L36" s="8">
        <f>4/3933</f>
        <v>0.001017035342</v>
      </c>
      <c r="M36" s="1">
        <v>12.0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</row>
    <row r="37">
      <c r="A37" s="1">
        <v>13.0</v>
      </c>
      <c r="B37" s="8">
        <f>0/71</f>
        <v>0</v>
      </c>
      <c r="C37" s="8">
        <f>0/396</f>
        <v>0</v>
      </c>
      <c r="D37" s="8">
        <f>3/834</f>
        <v>0.003597122302</v>
      </c>
      <c r="E37" s="8">
        <f>2/1683</f>
        <v>0.00118835413</v>
      </c>
      <c r="F37" s="8">
        <f>15/3037</f>
        <v>0.004939084623</v>
      </c>
      <c r="G37" s="1"/>
      <c r="H37" s="8">
        <f>0/71</f>
        <v>0</v>
      </c>
      <c r="I37" s="8">
        <f>0/396</f>
        <v>0</v>
      </c>
      <c r="J37" s="8">
        <f>3/834</f>
        <v>0.003597122302</v>
      </c>
      <c r="K37" s="8">
        <f>2/1683</f>
        <v>0.00118835413</v>
      </c>
      <c r="L37" s="8">
        <f>15/3037</f>
        <v>0.004939084623</v>
      </c>
      <c r="M37" s="1">
        <v>13.0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</row>
    <row r="38">
      <c r="A38" s="1">
        <v>14.0</v>
      </c>
      <c r="B38" s="8">
        <f>2/1064</f>
        <v>0.001879699248</v>
      </c>
      <c r="C38" s="8">
        <f>15/2105</f>
        <v>0.007125890736</v>
      </c>
      <c r="D38" s="8">
        <f>27/3624</f>
        <v>0.007450331126</v>
      </c>
      <c r="E38" s="8">
        <f>73/5234</f>
        <v>0.01394726786</v>
      </c>
      <c r="F38" s="8">
        <f>289/6796</f>
        <v>0.04252501471</v>
      </c>
      <c r="G38" s="1"/>
      <c r="H38" s="8">
        <f>2/1064</f>
        <v>0.001879699248</v>
      </c>
      <c r="I38" s="8">
        <f>15/2105</f>
        <v>0.007125890736</v>
      </c>
      <c r="J38" s="8">
        <f>27/3624</f>
        <v>0.007450331126</v>
      </c>
      <c r="K38" s="8">
        <f>73/5234</f>
        <v>0.01394726786</v>
      </c>
      <c r="L38" s="8">
        <f>289/6796</f>
        <v>0.04252501471</v>
      </c>
      <c r="M38" s="1">
        <v>14.0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</row>
    <row r="39">
      <c r="A39" s="1">
        <v>15.0</v>
      </c>
      <c r="B39" s="8">
        <f>357/4198</f>
        <v>0.08504049547</v>
      </c>
      <c r="C39" s="8">
        <f>602/5748</f>
        <v>0.1047320807</v>
      </c>
      <c r="D39" s="8">
        <f>1004/7301</f>
        <v>0.1375154088</v>
      </c>
      <c r="E39" s="8">
        <f>2469/9334</f>
        <v>0.2645168202</v>
      </c>
      <c r="F39" s="8">
        <f>6827/14220</f>
        <v>0.4800984529</v>
      </c>
      <c r="G39" s="1"/>
      <c r="H39" s="9">
        <f>122/4198</f>
        <v>0.02906145784</v>
      </c>
      <c r="I39" s="9">
        <f>141/5748</f>
        <v>0.0245302714</v>
      </c>
      <c r="J39" s="9">
        <f>270/7301</f>
        <v>0.03698123545</v>
      </c>
      <c r="K39" s="9">
        <f>827/9334</f>
        <v>0.08860081423</v>
      </c>
      <c r="L39" s="8">
        <f>2084/14220</f>
        <v>0.1465541491</v>
      </c>
      <c r="M39" s="1">
        <v>15.0</v>
      </c>
      <c r="N39" s="4">
        <v>32.0</v>
      </c>
      <c r="O39" s="4">
        <v>33.0</v>
      </c>
      <c r="P39" s="4">
        <v>34.0</v>
      </c>
      <c r="Q39" s="4">
        <v>36.0</v>
      </c>
      <c r="R39" s="4">
        <v>38.0</v>
      </c>
    </row>
    <row r="40">
      <c r="A40" s="1">
        <v>16.0</v>
      </c>
      <c r="B40" s="8">
        <f>119/2390</f>
        <v>0.04979079498</v>
      </c>
      <c r="C40" s="8">
        <f>255/3983</f>
        <v>0.0640220939</v>
      </c>
      <c r="D40" s="8">
        <f>515/5579</f>
        <v>0.0923104499</v>
      </c>
      <c r="E40" s="8">
        <f>1526/7745</f>
        <v>0.1970303422</v>
      </c>
      <c r="F40" s="8">
        <f>4895/11850</f>
        <v>0.4130801688</v>
      </c>
      <c r="G40" s="1"/>
      <c r="H40" s="8">
        <f>119/2390</f>
        <v>0.04979079498</v>
      </c>
      <c r="I40" s="8">
        <f>255/3983</f>
        <v>0.0640220939</v>
      </c>
      <c r="J40" s="9">
        <f>185/5579</f>
        <v>0.03316006453</v>
      </c>
      <c r="K40" s="9">
        <f>676/7745</f>
        <v>0.0872821175</v>
      </c>
      <c r="L40" s="8">
        <f>2292/11850</f>
        <v>0.1934177215</v>
      </c>
      <c r="M40" s="1">
        <v>16.0</v>
      </c>
      <c r="N40" s="4">
        <v>26.0</v>
      </c>
      <c r="O40" s="4">
        <v>26.0</v>
      </c>
      <c r="P40" s="4">
        <v>27.0</v>
      </c>
      <c r="Q40" s="4">
        <v>32.0</v>
      </c>
      <c r="R40" s="4">
        <v>34.0</v>
      </c>
    </row>
    <row r="41">
      <c r="A41" s="1" t="s">
        <v>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"/>
      <c r="N41" s="1"/>
      <c r="O41" s="1"/>
      <c r="P41" s="1"/>
      <c r="Q41" s="1"/>
      <c r="R41" s="1"/>
    </row>
    <row r="42">
      <c r="A42" s="1"/>
      <c r="B42" s="4">
        <v>1355.0</v>
      </c>
      <c r="C42" s="4">
        <v>1354.0</v>
      </c>
      <c r="D42" s="4">
        <v>1359.0</v>
      </c>
      <c r="E42" s="4">
        <v>1357.0</v>
      </c>
      <c r="F42" s="4">
        <v>1356.0</v>
      </c>
      <c r="G42" s="1"/>
      <c r="H42" s="4">
        <v>1355.0</v>
      </c>
      <c r="I42" s="4">
        <v>1354.0</v>
      </c>
      <c r="J42" s="4">
        <v>1359.0</v>
      </c>
      <c r="K42" s="4">
        <v>1357.0</v>
      </c>
      <c r="L42" s="4">
        <v>1356.0</v>
      </c>
      <c r="M42" s="1"/>
      <c r="N42" s="4">
        <v>1355.0</v>
      </c>
      <c r="O42" s="4">
        <v>1354.0</v>
      </c>
      <c r="P42" s="4">
        <v>1359.0</v>
      </c>
      <c r="Q42" s="4">
        <v>1357.0</v>
      </c>
      <c r="R42" s="4">
        <v>1356.0</v>
      </c>
    </row>
    <row r="43">
      <c r="A43" s="1" t="s">
        <v>7</v>
      </c>
      <c r="B43" s="4">
        <v>700.0</v>
      </c>
      <c r="C43" s="4">
        <v>725.0</v>
      </c>
      <c r="D43" s="4">
        <v>750.0</v>
      </c>
      <c r="E43" s="4">
        <v>775.0</v>
      </c>
      <c r="F43" s="4">
        <v>800.0</v>
      </c>
      <c r="G43" s="1"/>
      <c r="H43" s="4">
        <v>700.0</v>
      </c>
      <c r="I43" s="4">
        <v>725.0</v>
      </c>
      <c r="J43" s="4">
        <v>750.0</v>
      </c>
      <c r="K43" s="4">
        <v>775.0</v>
      </c>
      <c r="L43" s="4">
        <v>800.0</v>
      </c>
      <c r="M43" s="1" t="s">
        <v>4</v>
      </c>
      <c r="N43" s="4">
        <v>700.0</v>
      </c>
      <c r="O43" s="4">
        <v>725.0</v>
      </c>
      <c r="P43" s="4">
        <v>750.0</v>
      </c>
      <c r="Q43" s="4">
        <v>775.0</v>
      </c>
      <c r="R43" s="4">
        <v>800.0</v>
      </c>
    </row>
    <row r="44">
      <c r="A44" s="1">
        <v>1.0</v>
      </c>
      <c r="B44" s="7">
        <f>130/9266</f>
        <v>0.01402978632</v>
      </c>
      <c r="C44" s="7">
        <f>354/11063</f>
        <v>0.03199855374</v>
      </c>
      <c r="D44" s="7">
        <f>1371/13094</f>
        <v>0.1047044448</v>
      </c>
      <c r="E44" s="7">
        <f>5883/18311</f>
        <v>0.3212822893</v>
      </c>
      <c r="F44" s="7">
        <f>16671/29965</f>
        <v>0.5563490739</v>
      </c>
      <c r="G44" s="1"/>
      <c r="H44" s="7">
        <f>130/9266</f>
        <v>0.01402978632</v>
      </c>
      <c r="I44" s="7">
        <f>354/11063</f>
        <v>0.03199855374</v>
      </c>
      <c r="J44" s="9">
        <f>596/13094</f>
        <v>0.0455170307</v>
      </c>
      <c r="K44" s="9">
        <f>1978/18311</f>
        <v>0.1080225001</v>
      </c>
      <c r="L44" s="9">
        <f>7699/29965</f>
        <v>0.2569330886</v>
      </c>
      <c r="M44" s="1">
        <v>1.0</v>
      </c>
      <c r="N44" s="4">
        <v>30.0</v>
      </c>
      <c r="O44" s="4">
        <v>32.0</v>
      </c>
      <c r="P44" s="4">
        <v>36.0</v>
      </c>
      <c r="Q44" s="4">
        <v>40.0</v>
      </c>
      <c r="R44" s="4">
        <v>46.0</v>
      </c>
    </row>
    <row r="45">
      <c r="A45" s="1">
        <v>2.0</v>
      </c>
      <c r="B45" s="7">
        <v>0.0</v>
      </c>
      <c r="C45" s="7">
        <v>0.0</v>
      </c>
      <c r="D45" s="7">
        <v>0.0</v>
      </c>
      <c r="E45" s="7">
        <v>0.0</v>
      </c>
      <c r="F45" s="7">
        <v>0.0</v>
      </c>
      <c r="G45" s="1"/>
      <c r="H45" s="8">
        <f>0/2</f>
        <v>0</v>
      </c>
      <c r="I45" s="8">
        <f>0/5</f>
        <v>0</v>
      </c>
      <c r="J45" s="8">
        <f>0/25</f>
        <v>0</v>
      </c>
      <c r="K45" s="8">
        <f>0/140</f>
        <v>0</v>
      </c>
      <c r="L45" s="8">
        <f>0/611</f>
        <v>0</v>
      </c>
      <c r="M45" s="1">
        <v>2.0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</row>
    <row r="46">
      <c r="A46" s="1">
        <v>3.0</v>
      </c>
      <c r="B46" s="7">
        <f>171/10307</f>
        <v>0.01659066654</v>
      </c>
      <c r="C46" s="7">
        <f>455/12018</f>
        <v>0.03785987685</v>
      </c>
      <c r="D46" s="7">
        <f>1467/13815</f>
        <v>0.1061889251</v>
      </c>
      <c r="E46" s="7">
        <f>5794/18789</f>
        <v>0.3083719197</v>
      </c>
      <c r="F46" s="7">
        <f>16177/30118</f>
        <v>0.5371206587</v>
      </c>
      <c r="G46" s="1"/>
      <c r="H46" s="7">
        <f>171/10307</f>
        <v>0.01659066654</v>
      </c>
      <c r="I46" s="7">
        <f>455/12018</f>
        <v>0.03785987685</v>
      </c>
      <c r="J46" s="9">
        <f>566/13815</f>
        <v>0.04096996019</v>
      </c>
      <c r="K46" s="9">
        <f>1763/18789</f>
        <v>0.09383149715</v>
      </c>
      <c r="L46" s="9">
        <f>7110/30118</f>
        <v>0.2360714523</v>
      </c>
      <c r="M46" s="1">
        <v>3.0</v>
      </c>
      <c r="N46" s="4">
        <v>30.0</v>
      </c>
      <c r="O46" s="4">
        <v>34.0</v>
      </c>
      <c r="P46" s="4">
        <v>38.0</v>
      </c>
      <c r="Q46" s="4">
        <v>40.0</v>
      </c>
      <c r="R46" s="4">
        <v>44.0</v>
      </c>
    </row>
    <row r="47">
      <c r="A47" s="1">
        <v>4.0</v>
      </c>
      <c r="B47" s="7">
        <f>639/11877</f>
        <v>0.05380146502</v>
      </c>
      <c r="C47" s="7">
        <f>1384/13730</f>
        <v>0.1008011653</v>
      </c>
      <c r="D47" s="7">
        <f>4381/17489</f>
        <v>0.2505003145</v>
      </c>
      <c r="E47" s="7">
        <f>14061/27937</f>
        <v>0.5033110212</v>
      </c>
      <c r="F47" s="7">
        <f>23721/37885</f>
        <v>0.6261317144</v>
      </c>
      <c r="G47" s="1"/>
      <c r="H47" s="7">
        <f>639/11877</f>
        <v>0.05380146502</v>
      </c>
      <c r="I47" s="9">
        <f>289/13730</f>
        <v>0.02104879825</v>
      </c>
      <c r="J47" s="9">
        <f>1438/17489</f>
        <v>0.08222311167</v>
      </c>
      <c r="K47" s="9">
        <f>4790/27937</f>
        <v>0.1714572073</v>
      </c>
      <c r="L47" s="9">
        <f>14168/37885</f>
        <v>0.3739738683</v>
      </c>
      <c r="M47" s="1">
        <v>4.0</v>
      </c>
      <c r="N47" s="4">
        <v>32.0</v>
      </c>
      <c r="O47" s="4">
        <v>34.0</v>
      </c>
      <c r="P47" s="4">
        <v>36.0</v>
      </c>
      <c r="Q47" s="4">
        <v>40.0</v>
      </c>
      <c r="R47" s="4">
        <v>42.0</v>
      </c>
    </row>
    <row r="48">
      <c r="A48" s="1">
        <v>5.0</v>
      </c>
      <c r="B48" s="7">
        <f>298/11015</f>
        <v>0.02705401725</v>
      </c>
      <c r="C48" s="7">
        <f>916/13004</f>
        <v>0.07043986466</v>
      </c>
      <c r="D48" s="7">
        <f>3545/16218</f>
        <v>0.2185842891</v>
      </c>
      <c r="E48" s="7">
        <f>11618/25024</f>
        <v>0.4642742967</v>
      </c>
      <c r="F48" s="7">
        <f>22178/35932</f>
        <v>0.6172214182</v>
      </c>
      <c r="G48" s="1"/>
      <c r="H48" s="7">
        <f>298/11015</f>
        <v>0.02705401725</v>
      </c>
      <c r="I48" s="9">
        <f>250/13004</f>
        <v>0.01922485389</v>
      </c>
      <c r="J48" s="9">
        <f>1518/16218</f>
        <v>0.09359970403</v>
      </c>
      <c r="K48" s="9">
        <f>4296/25024</f>
        <v>0.1716751918</v>
      </c>
      <c r="L48" s="9">
        <f>13132/35932</f>
        <v>0.3654681064</v>
      </c>
      <c r="M48" s="1">
        <v>5.0</v>
      </c>
      <c r="N48" s="4">
        <v>34.0</v>
      </c>
      <c r="O48" s="4">
        <v>36.0</v>
      </c>
      <c r="P48" s="4">
        <v>40.0</v>
      </c>
      <c r="Q48" s="4">
        <v>44.0</v>
      </c>
      <c r="R48" s="4">
        <v>48.0</v>
      </c>
    </row>
    <row r="49">
      <c r="A49" s="1">
        <v>6.0</v>
      </c>
      <c r="B49" s="7">
        <f>215/10239</f>
        <v>0.02099814435</v>
      </c>
      <c r="C49" s="7">
        <f>486/12208</f>
        <v>0.03980996068</v>
      </c>
      <c r="D49" s="7">
        <f>1275/13657</f>
        <v>0.09335871714</v>
      </c>
      <c r="E49" s="7">
        <f>4459/17540</f>
        <v>0.2542189282</v>
      </c>
      <c r="F49" s="7">
        <f>13769/27329</f>
        <v>0.5038237769</v>
      </c>
      <c r="G49" s="1"/>
      <c r="H49" s="7">
        <f>215/10239</f>
        <v>0.02099814435</v>
      </c>
      <c r="I49" s="7">
        <f>486/12208</f>
        <v>0.03980996068</v>
      </c>
      <c r="J49" s="9">
        <f>439/13657</f>
        <v>0.03214468771</v>
      </c>
      <c r="K49" s="9">
        <f>1363/17540</f>
        <v>0.07770809578</v>
      </c>
      <c r="L49" s="9">
        <f>5997/27329</f>
        <v>0.2194372279</v>
      </c>
      <c r="M49" s="1">
        <v>6.0</v>
      </c>
      <c r="N49" s="4">
        <v>32.0</v>
      </c>
      <c r="O49" s="4">
        <v>34.0</v>
      </c>
      <c r="P49" s="4">
        <v>40.0</v>
      </c>
      <c r="Q49" s="4">
        <v>42.0</v>
      </c>
      <c r="R49" s="4">
        <v>46.0</v>
      </c>
    </row>
    <row r="50">
      <c r="A50" s="1">
        <v>7.0</v>
      </c>
      <c r="B50" s="7">
        <f>4/8682</f>
        <v>0.0004607233356</v>
      </c>
      <c r="C50" s="7">
        <f>24/10735</f>
        <v>0.00223567769</v>
      </c>
      <c r="D50" s="7">
        <f>137/11935</f>
        <v>0.01147884374</v>
      </c>
      <c r="E50" s="7">
        <f>566/13024</f>
        <v>0.04345823096</v>
      </c>
      <c r="F50" s="7">
        <f>1282/14450</f>
        <v>0.08871972318</v>
      </c>
      <c r="G50" s="1"/>
      <c r="H50" s="7">
        <f>4/8682</f>
        <v>0.0004607233356</v>
      </c>
      <c r="I50" s="7">
        <f>24/10735</f>
        <v>0.00223567769</v>
      </c>
      <c r="J50" s="7">
        <f>137/11935</f>
        <v>0.01147884374</v>
      </c>
      <c r="K50" s="7">
        <f>566/13024</f>
        <v>0.04345823096</v>
      </c>
      <c r="L50" s="7">
        <f>1282/14450</f>
        <v>0.08871972318</v>
      </c>
      <c r="M50" s="1">
        <v>7.0</v>
      </c>
      <c r="N50" s="4">
        <v>30.0</v>
      </c>
      <c r="O50" s="4">
        <v>34.0</v>
      </c>
      <c r="P50" s="4">
        <v>40.0</v>
      </c>
      <c r="Q50" s="4">
        <v>40.0</v>
      </c>
      <c r="R50" s="4">
        <v>50.0</v>
      </c>
    </row>
    <row r="51">
      <c r="A51" s="1">
        <v>8.0</v>
      </c>
      <c r="B51" s="7">
        <f>201/10750</f>
        <v>0.01869767442</v>
      </c>
      <c r="C51" s="7">
        <f>656/12879</f>
        <v>0.05093563165</v>
      </c>
      <c r="D51" s="7">
        <f>2314/15240</f>
        <v>0.1518372703</v>
      </c>
      <c r="E51" s="7">
        <f>8596/22361</f>
        <v>0.3844193015</v>
      </c>
      <c r="F51" s="7">
        <f>19332/33623</f>
        <v>0.5749635666</v>
      </c>
      <c r="G51" s="1"/>
      <c r="H51" s="7">
        <f>201/10750</f>
        <v>0.01869767442</v>
      </c>
      <c r="I51" s="7">
        <f>656/12879</f>
        <v>0.05093563165</v>
      </c>
      <c r="J51" s="9">
        <f>881/15240</f>
        <v>0.05780839895</v>
      </c>
      <c r="K51" s="9">
        <f>2728/22361</f>
        <v>0.1219981217</v>
      </c>
      <c r="L51" s="9">
        <f>10537/33623</f>
        <v>0.3133866698</v>
      </c>
      <c r="M51" s="1">
        <v>8.0</v>
      </c>
      <c r="N51" s="4">
        <v>34.0</v>
      </c>
      <c r="O51" s="4">
        <v>36.0</v>
      </c>
      <c r="P51" s="4">
        <v>40.0</v>
      </c>
      <c r="Q51" s="4">
        <v>46.0</v>
      </c>
      <c r="R51" s="4">
        <v>52.0</v>
      </c>
    </row>
    <row r="52">
      <c r="A52" s="1">
        <v>9.0</v>
      </c>
      <c r="B52" s="7">
        <f>1113/13333</f>
        <v>0.08347708693</v>
      </c>
      <c r="C52" s="7">
        <f>1998/15137</f>
        <v>0.1319944507</v>
      </c>
      <c r="D52" s="7">
        <f>4751/18144</f>
        <v>0.2618496473</v>
      </c>
      <c r="E52" s="7">
        <f>13634/27764</f>
        <v>0.4910675695</v>
      </c>
      <c r="F52" s="7">
        <f>23593/37744</f>
        <v>0.6250794828</v>
      </c>
      <c r="G52" s="1"/>
      <c r="H52" s="9">
        <f>246/13333</f>
        <v>0.01845046126</v>
      </c>
      <c r="I52" s="9">
        <f>320/15137</f>
        <v>0.02114025236</v>
      </c>
      <c r="J52" s="9">
        <f>1354/18144</f>
        <v>0.07462522046</v>
      </c>
      <c r="K52" s="9">
        <f>4190/27764</f>
        <v>0.1509148538</v>
      </c>
      <c r="L52" s="9">
        <f>13471/37744</f>
        <v>0.3569044086</v>
      </c>
      <c r="M52" s="1">
        <v>9.0</v>
      </c>
      <c r="N52" s="4">
        <v>34.0</v>
      </c>
      <c r="O52" s="4">
        <v>36.0</v>
      </c>
      <c r="P52" s="4">
        <v>38.0</v>
      </c>
      <c r="Q52" s="4">
        <v>38.0</v>
      </c>
      <c r="R52" s="4">
        <v>42.0</v>
      </c>
    </row>
    <row r="53">
      <c r="A53" s="1">
        <v>10.0</v>
      </c>
      <c r="B53" s="7">
        <f>116/9705</f>
        <v>0.01195260175</v>
      </c>
      <c r="C53" s="7">
        <f>334/11945</f>
        <v>0.02796149016</v>
      </c>
      <c r="D53" s="7">
        <f>636/13264</f>
        <v>0.04794933655</v>
      </c>
      <c r="E53" s="7">
        <f>1195/14874</f>
        <v>0.08034153557</v>
      </c>
      <c r="F53" s="7">
        <f>3451/17463</f>
        <v>0.1976178205</v>
      </c>
      <c r="G53" s="1"/>
      <c r="H53" s="7">
        <f>116/9705</f>
        <v>0.01195260175</v>
      </c>
      <c r="I53" s="7">
        <f>334/11945</f>
        <v>0.02796149016</v>
      </c>
      <c r="J53" s="7">
        <f>636/13264</f>
        <v>0.04794933655</v>
      </c>
      <c r="K53" s="9">
        <f>206/14874</f>
        <v>0.01384967057</v>
      </c>
      <c r="L53" s="9">
        <f>1027/17463</f>
        <v>0.05881005555</v>
      </c>
      <c r="M53" s="1">
        <v>10.0</v>
      </c>
      <c r="N53" s="4">
        <v>30.0</v>
      </c>
      <c r="O53" s="4">
        <v>34.0</v>
      </c>
      <c r="P53" s="4">
        <v>40.0</v>
      </c>
      <c r="Q53" s="4">
        <v>40.0</v>
      </c>
      <c r="R53" s="4">
        <v>44.0</v>
      </c>
    </row>
    <row r="54">
      <c r="A54" s="1">
        <v>11.0</v>
      </c>
      <c r="B54" s="7">
        <f>0</f>
        <v>0</v>
      </c>
      <c r="C54" s="7">
        <v>0.0</v>
      </c>
      <c r="D54" s="7">
        <v>0.0</v>
      </c>
      <c r="E54" s="7">
        <v>0.0</v>
      </c>
      <c r="F54" s="7">
        <v>0.0</v>
      </c>
      <c r="G54" s="1"/>
      <c r="H54" s="8">
        <f>0/2</f>
        <v>0</v>
      </c>
      <c r="I54" s="8">
        <f>0/5</f>
        <v>0</v>
      </c>
      <c r="J54" s="8">
        <f>0/25</f>
        <v>0</v>
      </c>
      <c r="K54" s="8">
        <f>0/140</f>
        <v>0</v>
      </c>
      <c r="L54" s="8">
        <f>0/611</f>
        <v>0</v>
      </c>
      <c r="M54" s="1">
        <v>11.0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</row>
    <row r="55">
      <c r="A55" s="1">
        <v>12.0</v>
      </c>
      <c r="B55" s="7">
        <f>604/11895</f>
        <v>0.05077763766</v>
      </c>
      <c r="C55" s="7">
        <f>1283/13711</f>
        <v>0.09357450222</v>
      </c>
      <c r="D55" s="7">
        <f>2867/15741</f>
        <v>0.1821358236</v>
      </c>
      <c r="E55" s="7">
        <f>8490/22018</f>
        <v>0.3855936052</v>
      </c>
      <c r="F55" s="7">
        <f>18011/31870</f>
        <v>0.5651396297</v>
      </c>
      <c r="G55" s="1"/>
      <c r="H55" s="7">
        <f>604/11895</f>
        <v>0.05077763766</v>
      </c>
      <c r="I55" s="9">
        <f>200/13711</f>
        <v>0.01458682809</v>
      </c>
      <c r="J55" s="9">
        <f>818/15741</f>
        <v>0.05196620291</v>
      </c>
      <c r="K55" s="9">
        <f>2252/22018</f>
        <v>0.1022799528</v>
      </c>
      <c r="L55" s="9">
        <f>8284/31870</f>
        <v>0.2599309696</v>
      </c>
      <c r="M55" s="1">
        <v>12.0</v>
      </c>
      <c r="N55" s="4">
        <v>33.0</v>
      </c>
      <c r="O55" s="4">
        <v>36.0</v>
      </c>
      <c r="P55" s="4">
        <v>40.0</v>
      </c>
      <c r="Q55" s="4">
        <v>40.0</v>
      </c>
      <c r="R55" s="4">
        <v>44.0</v>
      </c>
    </row>
    <row r="56">
      <c r="A56" s="1">
        <v>13.0</v>
      </c>
      <c r="B56" s="7">
        <f>17/6886</f>
        <v>0.002468777229</v>
      </c>
      <c r="C56" s="7">
        <f>93/9598</f>
        <v>0.00968951865</v>
      </c>
      <c r="D56" s="7">
        <f>648/11839</f>
        <v>0.05473435256</v>
      </c>
      <c r="E56" s="7">
        <f>3397/15859</f>
        <v>0.2142001387</v>
      </c>
      <c r="F56" s="7">
        <f>10922/24075</f>
        <v>0.4536656282</v>
      </c>
      <c r="G56" s="1"/>
      <c r="H56" s="7">
        <f>17/6886</f>
        <v>0.002468777229</v>
      </c>
      <c r="I56" s="7">
        <f>93/9598</f>
        <v>0.00968951865</v>
      </c>
      <c r="J56" s="7">
        <f>648/11839</f>
        <v>0.05473435256</v>
      </c>
      <c r="K56" s="9">
        <f>1227/15859</f>
        <v>0.07736931711</v>
      </c>
      <c r="L56" s="9">
        <f>5358/24075</f>
        <v>0.2225545171</v>
      </c>
      <c r="M56" s="1">
        <v>13.0</v>
      </c>
      <c r="N56" s="4">
        <v>26.0</v>
      </c>
      <c r="O56" s="4">
        <v>26.0</v>
      </c>
      <c r="P56" s="4">
        <v>36.0</v>
      </c>
      <c r="Q56" s="4">
        <v>40.0</v>
      </c>
      <c r="R56" s="4">
        <v>48.0</v>
      </c>
    </row>
    <row r="57">
      <c r="A57" s="1">
        <v>14.0</v>
      </c>
      <c r="B57" s="7">
        <f>1277/13362</f>
        <v>0.09556952552</v>
      </c>
      <c r="C57" s="7">
        <f>4538/18009</f>
        <v>0.2519851186</v>
      </c>
      <c r="D57" s="7">
        <f>13560/27721</f>
        <v>0.4891598427</v>
      </c>
      <c r="E57" s="7">
        <f>23443/37871</f>
        <v>0.619022471</v>
      </c>
      <c r="F57" s="7">
        <f>28494/42337</f>
        <v>0.6730283204</v>
      </c>
      <c r="G57" s="1"/>
      <c r="H57" s="9">
        <f>269/13362</f>
        <v>0.02013171681</v>
      </c>
      <c r="I57" s="9">
        <f>1537/18009</f>
        <v>0.08534621578</v>
      </c>
      <c r="J57" s="9">
        <f>6584/27721</f>
        <v>0.2375094694</v>
      </c>
      <c r="K57" s="9">
        <f>13734/37871</f>
        <v>0.3626521613</v>
      </c>
      <c r="L57" s="9">
        <f>22976/42337</f>
        <v>0.5426931526</v>
      </c>
      <c r="M57" s="1">
        <v>14.0</v>
      </c>
      <c r="N57" s="4">
        <v>34.0</v>
      </c>
      <c r="O57" s="4">
        <v>36.0</v>
      </c>
      <c r="P57" s="4">
        <v>38.0</v>
      </c>
      <c r="Q57" s="4">
        <v>40.0</v>
      </c>
      <c r="R57" s="4">
        <v>44.0</v>
      </c>
    </row>
    <row r="58">
      <c r="A58" s="1">
        <v>15.0</v>
      </c>
      <c r="B58" s="7">
        <f>177/9173</f>
        <v>0.01929575929</v>
      </c>
      <c r="C58" s="7">
        <f>642/11683</f>
        <v>0.05495163913</v>
      </c>
      <c r="D58" s="7">
        <f>2851/15014</f>
        <v>0.1898894365</v>
      </c>
      <c r="E58" s="7">
        <f>10393/23836</f>
        <v>0.4360211445</v>
      </c>
      <c r="F58" s="7">
        <f>21714/35521</f>
        <v>0.6113003575</v>
      </c>
      <c r="G58" s="1"/>
      <c r="H58" s="7">
        <f>177/9173</f>
        <v>0.01929575929</v>
      </c>
      <c r="I58" s="7">
        <f>642/11683</f>
        <v>0.05495163913</v>
      </c>
      <c r="J58" s="9">
        <f>1296/15014</f>
        <v>0.08631943519</v>
      </c>
      <c r="K58" s="9">
        <f>3897/23836</f>
        <v>0.1634921967</v>
      </c>
      <c r="L58" s="9">
        <f>12897/35521</f>
        <v>0.3630809943</v>
      </c>
      <c r="M58" s="1">
        <v>15.0</v>
      </c>
      <c r="N58" s="4">
        <v>26.0</v>
      </c>
      <c r="O58" s="4">
        <v>30.0</v>
      </c>
      <c r="P58" s="4">
        <v>36.0</v>
      </c>
      <c r="Q58" s="4">
        <v>40.0</v>
      </c>
      <c r="R58" s="4">
        <v>46.0</v>
      </c>
    </row>
    <row r="59">
      <c r="A59" s="1">
        <v>16.0</v>
      </c>
      <c r="B59" s="7">
        <f>338/10475</f>
        <v>0.0322673031</v>
      </c>
      <c r="C59" s="7">
        <f>1354/13288</f>
        <v>0.1018964479</v>
      </c>
      <c r="D59" s="7">
        <f>5501/18695</f>
        <v>0.2942497994</v>
      </c>
      <c r="E59" s="7">
        <f>16738/30808</f>
        <v>0.5433004414</v>
      </c>
      <c r="F59" s="7">
        <f>26468/41485</f>
        <v>0.6380137399</v>
      </c>
      <c r="G59" s="1"/>
      <c r="H59" s="7">
        <f>338/10475</f>
        <v>0.0322673031</v>
      </c>
      <c r="I59" s="9">
        <f>508/13288</f>
        <v>0.03822998194</v>
      </c>
      <c r="J59" s="9">
        <f>2592/18695</f>
        <v>0.138646697</v>
      </c>
      <c r="K59" s="9">
        <f>7186/30808</f>
        <v>0.2332511036</v>
      </c>
      <c r="L59" s="9">
        <f>18080/41485</f>
        <v>0.435820176</v>
      </c>
      <c r="M59" s="1">
        <v>16.0</v>
      </c>
      <c r="N59" s="4">
        <v>30.0</v>
      </c>
      <c r="O59" s="4">
        <v>34.0</v>
      </c>
      <c r="P59" s="4">
        <v>38.0</v>
      </c>
      <c r="Q59" s="4">
        <v>40.0</v>
      </c>
      <c r="R59" s="4">
        <v>46.0</v>
      </c>
    </row>
    <row r="60">
      <c r="A60" s="1" t="s">
        <v>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4">
        <v>1396.0</v>
      </c>
      <c r="C61" s="4">
        <v>1395.0</v>
      </c>
      <c r="D61" s="4">
        <v>1392.0</v>
      </c>
      <c r="E61" s="4">
        <v>1393.0</v>
      </c>
      <c r="F61" s="4">
        <v>1394.0</v>
      </c>
      <c r="G61" s="1"/>
      <c r="H61" s="4">
        <v>1396.0</v>
      </c>
      <c r="I61" s="4">
        <v>1395.0</v>
      </c>
      <c r="J61" s="4">
        <v>1392.0</v>
      </c>
      <c r="K61" s="4">
        <v>1393.0</v>
      </c>
      <c r="L61" s="4">
        <v>1394.0</v>
      </c>
      <c r="M61" s="1"/>
      <c r="N61" s="4">
        <v>1396.0</v>
      </c>
      <c r="O61" s="4">
        <v>1395.0</v>
      </c>
      <c r="P61" s="4">
        <v>1392.0</v>
      </c>
      <c r="Q61" s="4">
        <v>1393.0</v>
      </c>
      <c r="R61" s="4">
        <v>1394.0</v>
      </c>
    </row>
    <row r="62">
      <c r="A62" s="1" t="s">
        <v>8</v>
      </c>
      <c r="B62" s="4">
        <v>700.0</v>
      </c>
      <c r="C62" s="4">
        <v>725.0</v>
      </c>
      <c r="D62" s="4">
        <v>750.0</v>
      </c>
      <c r="E62" s="4">
        <v>775.0</v>
      </c>
      <c r="F62" s="4">
        <v>800.0</v>
      </c>
      <c r="G62" s="1"/>
      <c r="H62" s="4">
        <v>700.0</v>
      </c>
      <c r="I62" s="4">
        <v>725.0</v>
      </c>
      <c r="J62" s="4">
        <v>750.0</v>
      </c>
      <c r="K62" s="4">
        <v>775.0</v>
      </c>
      <c r="L62" s="4">
        <v>800.0</v>
      </c>
      <c r="M62" s="1" t="s">
        <v>4</v>
      </c>
      <c r="N62" s="4">
        <v>700.0</v>
      </c>
      <c r="O62" s="4">
        <v>725.0</v>
      </c>
      <c r="P62" s="4">
        <v>750.0</v>
      </c>
      <c r="Q62" s="4">
        <v>775.0</v>
      </c>
      <c r="R62" s="4">
        <v>800.0</v>
      </c>
    </row>
    <row r="63">
      <c r="A63" s="1">
        <v>1.0</v>
      </c>
      <c r="B63" s="7">
        <v>0.0</v>
      </c>
      <c r="C63" s="7">
        <v>0.0</v>
      </c>
      <c r="D63" s="7">
        <v>0.0</v>
      </c>
      <c r="E63" s="7">
        <f>0</f>
        <v>0</v>
      </c>
      <c r="F63" s="7">
        <v>0.0</v>
      </c>
      <c r="G63" s="1"/>
      <c r="H63" s="7">
        <v>0.0</v>
      </c>
      <c r="I63" s="7">
        <v>0.0</v>
      </c>
      <c r="J63" s="7">
        <v>0.0</v>
      </c>
      <c r="K63" s="7">
        <f>0</f>
        <v>0</v>
      </c>
      <c r="L63" s="7">
        <v>0.0</v>
      </c>
      <c r="M63" s="1">
        <v>1.0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</row>
    <row r="64">
      <c r="A64" s="1">
        <v>2.0</v>
      </c>
      <c r="B64" s="10">
        <f>0/29</f>
        <v>0</v>
      </c>
      <c r="C64" s="10">
        <f>0/181</f>
        <v>0</v>
      </c>
      <c r="D64" s="10">
        <f>0/683</f>
        <v>0</v>
      </c>
      <c r="E64" s="10">
        <f>0/1630</f>
        <v>0</v>
      </c>
      <c r="F64" s="10">
        <f>1/3163</f>
        <v>0.0003161555485</v>
      </c>
      <c r="G64" s="1"/>
      <c r="H64" s="10">
        <f>0/29</f>
        <v>0</v>
      </c>
      <c r="I64" s="10">
        <f>0/181</f>
        <v>0</v>
      </c>
      <c r="J64" s="10">
        <f>0/683</f>
        <v>0</v>
      </c>
      <c r="K64" s="10">
        <f>0/1630</f>
        <v>0</v>
      </c>
      <c r="L64" s="10">
        <f>1/3163</f>
        <v>0.0003161555485</v>
      </c>
      <c r="M64" s="1">
        <v>2.0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</row>
    <row r="65">
      <c r="A65" s="1">
        <v>3.0</v>
      </c>
      <c r="B65" s="10">
        <f>0/681</f>
        <v>0</v>
      </c>
      <c r="C65" s="10">
        <f>0/1668</f>
        <v>0</v>
      </c>
      <c r="D65" s="10">
        <f>0/3406</f>
        <v>0</v>
      </c>
      <c r="E65" s="10">
        <f>2/5726</f>
        <v>0.0003492839679</v>
      </c>
      <c r="F65" s="10">
        <f>4/8149</f>
        <v>0.000490857774</v>
      </c>
      <c r="G65" s="1"/>
      <c r="H65" s="10">
        <f>0/681</f>
        <v>0</v>
      </c>
      <c r="I65" s="10">
        <f>0/1668</f>
        <v>0</v>
      </c>
      <c r="J65" s="10">
        <f>0/3406</f>
        <v>0</v>
      </c>
      <c r="K65" s="10">
        <f>2/5726</f>
        <v>0.0003492839679</v>
      </c>
      <c r="L65" s="10">
        <f>4/8149</f>
        <v>0.000490857774</v>
      </c>
      <c r="M65" s="1">
        <v>3.0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</row>
    <row r="66">
      <c r="A66" s="1">
        <v>4.0</v>
      </c>
      <c r="B66" s="10">
        <f>1/2291</f>
        <v>0.0004364906155</v>
      </c>
      <c r="C66" s="10">
        <f>3/4524</f>
        <v>0.0006631299735</v>
      </c>
      <c r="D66" s="10">
        <f>11/7079</f>
        <v>0.001553891793</v>
      </c>
      <c r="E66" s="10">
        <f>56/9262</f>
        <v>0.006046210322</v>
      </c>
      <c r="F66" s="10">
        <f>328/11000</f>
        <v>0.02981818182</v>
      </c>
      <c r="G66" s="1"/>
      <c r="H66" s="10">
        <f>1/2291</f>
        <v>0.0004364906155</v>
      </c>
      <c r="I66" s="10">
        <f>3/4524</f>
        <v>0.0006631299735</v>
      </c>
      <c r="J66" s="10">
        <f>11/7079</f>
        <v>0.001553891793</v>
      </c>
      <c r="K66" s="10">
        <f>56/9262</f>
        <v>0.006046210322</v>
      </c>
      <c r="L66" s="10">
        <f>328/11000</f>
        <v>0.02981818182</v>
      </c>
      <c r="M66" s="1">
        <v>4.0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</row>
    <row r="67">
      <c r="A67" s="1">
        <v>5.0</v>
      </c>
      <c r="B67" s="10">
        <f>0/801</f>
        <v>0</v>
      </c>
      <c r="C67" s="10">
        <f>0/1893</f>
        <v>0</v>
      </c>
      <c r="D67" s="10">
        <f>1/3691</f>
        <v>0.0002709292875</v>
      </c>
      <c r="E67" s="10">
        <f>3/6143</f>
        <v>0.0004883607358</v>
      </c>
      <c r="F67" s="10">
        <f>9/8290</f>
        <v>0.001085645356</v>
      </c>
      <c r="G67" s="1"/>
      <c r="H67" s="10">
        <f>0/801</f>
        <v>0</v>
      </c>
      <c r="I67" s="10">
        <f>0/1893</f>
        <v>0</v>
      </c>
      <c r="J67" s="10">
        <f>1/3691</f>
        <v>0.0002709292875</v>
      </c>
      <c r="K67" s="10">
        <f>3/6143</f>
        <v>0.0004883607358</v>
      </c>
      <c r="L67" s="10">
        <f>9/8290</f>
        <v>0.001085645356</v>
      </c>
      <c r="M67" s="1">
        <v>5.0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</row>
    <row r="68">
      <c r="A68" s="1">
        <v>6.0</v>
      </c>
      <c r="B68" s="10">
        <f>0/170</f>
        <v>0</v>
      </c>
      <c r="C68" s="10">
        <f>0/676</f>
        <v>0</v>
      </c>
      <c r="D68" s="10">
        <f>1/1661</f>
        <v>0.0006020469597</v>
      </c>
      <c r="E68" s="10">
        <f>1/3409</f>
        <v>0.0002933411558</v>
      </c>
      <c r="F68" s="10">
        <f>3/5543</f>
        <v>0.0005412231644</v>
      </c>
      <c r="G68" s="1"/>
      <c r="H68" s="10">
        <f>0/170</f>
        <v>0</v>
      </c>
      <c r="I68" s="10">
        <f>0/676</f>
        <v>0</v>
      </c>
      <c r="J68" s="10">
        <f>1/1661</f>
        <v>0.0006020469597</v>
      </c>
      <c r="K68" s="10">
        <f>1/3409</f>
        <v>0.0002933411558</v>
      </c>
      <c r="L68" s="10">
        <f>3/5543</f>
        <v>0.0005412231644</v>
      </c>
      <c r="M68" s="1">
        <v>6.0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</row>
    <row r="69">
      <c r="A69" s="1">
        <v>7.0</v>
      </c>
      <c r="B69" s="10">
        <f>0/150</f>
        <v>0</v>
      </c>
      <c r="C69" s="10">
        <f>0/701</f>
        <v>0</v>
      </c>
      <c r="D69" s="10">
        <f>0/1660</f>
        <v>0</v>
      </c>
      <c r="E69" s="10">
        <f>1/3305</f>
        <v>0.0003025718608</v>
      </c>
      <c r="F69" s="10">
        <f>3/5457</f>
        <v>0.0005497526113</v>
      </c>
      <c r="G69" s="1"/>
      <c r="H69" s="10">
        <f>0/150</f>
        <v>0</v>
      </c>
      <c r="I69" s="10">
        <f>0/701</f>
        <v>0</v>
      </c>
      <c r="J69" s="10">
        <f>0/1660</f>
        <v>0</v>
      </c>
      <c r="K69" s="10">
        <f>1/3305</f>
        <v>0.0003025718608</v>
      </c>
      <c r="L69" s="10">
        <f>3/5457</f>
        <v>0.0005497526113</v>
      </c>
      <c r="M69" s="1">
        <v>7.0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</row>
    <row r="70">
      <c r="A70" s="1">
        <v>8.0</v>
      </c>
      <c r="B70" s="10">
        <f>0/929</f>
        <v>0</v>
      </c>
      <c r="C70" s="10">
        <f>0/2097</f>
        <v>0</v>
      </c>
      <c r="D70" s="10">
        <f>1/4104</f>
        <v>0.0002436647173</v>
      </c>
      <c r="E70" s="10">
        <f>5/6520</f>
        <v>0.0007668711656</v>
      </c>
      <c r="F70" s="10">
        <f>19/8620</f>
        <v>0.002204176334</v>
      </c>
      <c r="G70" s="1"/>
      <c r="H70" s="10">
        <f>0/929</f>
        <v>0</v>
      </c>
      <c r="I70" s="10">
        <f>0/2097</f>
        <v>0</v>
      </c>
      <c r="J70" s="10">
        <f>1/4104</f>
        <v>0.0002436647173</v>
      </c>
      <c r="K70" s="10">
        <f>5/6520</f>
        <v>0.0007668711656</v>
      </c>
      <c r="L70" s="10">
        <f>19/8620</f>
        <v>0.002204176334</v>
      </c>
      <c r="M70" s="1">
        <v>8.0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</row>
    <row r="71">
      <c r="A71" s="1">
        <v>9.0</v>
      </c>
      <c r="B71" s="10">
        <f>914/10690</f>
        <v>0.08550046773</v>
      </c>
      <c r="C71" s="10">
        <f>1363/11954</f>
        <v>0.1140204116</v>
      </c>
      <c r="D71" s="10">
        <f>2348/13664</f>
        <v>0.1718384075</v>
      </c>
      <c r="E71" s="10">
        <f>6304/18040</f>
        <v>0.3494456763</v>
      </c>
      <c r="F71" s="10">
        <f>16498/28581</f>
        <v>0.5772366257</v>
      </c>
      <c r="G71" s="1"/>
      <c r="H71" s="11">
        <f>116/10690</f>
        <v>0.01085126286</v>
      </c>
      <c r="I71" s="11">
        <f>214/11954</f>
        <v>0.0179019575</v>
      </c>
      <c r="J71" s="11">
        <f>377/13664</f>
        <v>0.02759074941</v>
      </c>
      <c r="K71" s="11">
        <f>1382/18040</f>
        <v>0.0766075388</v>
      </c>
      <c r="L71" s="10">
        <f>5213/28580</f>
        <v>0.1824002799</v>
      </c>
      <c r="M71" s="1">
        <v>9.0</v>
      </c>
      <c r="N71" s="4">
        <v>36.0</v>
      </c>
      <c r="O71" s="4">
        <v>36.0</v>
      </c>
      <c r="P71" s="4">
        <v>38.0</v>
      </c>
      <c r="Q71" s="4">
        <v>38.0</v>
      </c>
      <c r="R71" s="4">
        <v>40.0</v>
      </c>
    </row>
    <row r="72">
      <c r="A72" s="1">
        <v>10.0</v>
      </c>
      <c r="B72" s="10">
        <f>147/8823</f>
        <v>0.01666099966</v>
      </c>
      <c r="C72" s="10">
        <f>361/10273</f>
        <v>0.03514065998</v>
      </c>
      <c r="D72" s="10">
        <f>850/11903</f>
        <v>0.07141056876</v>
      </c>
      <c r="E72" s="10">
        <f>1418/12895</f>
        <v>0.1099651028</v>
      </c>
      <c r="F72" s="10">
        <f>2995/14855</f>
        <v>0.2016156176</v>
      </c>
      <c r="G72" s="1"/>
      <c r="H72" s="10">
        <f>147/8823</f>
        <v>0.01666099966</v>
      </c>
      <c r="I72" s="10">
        <f>361/10273</f>
        <v>0.03514065998</v>
      </c>
      <c r="J72" s="11">
        <f>46/11903</f>
        <v>0.003864571957</v>
      </c>
      <c r="K72" s="11">
        <f>95/12895</f>
        <v>0.007367196588</v>
      </c>
      <c r="L72" s="10">
        <f>275/14855</f>
        <v>0.01851228543</v>
      </c>
      <c r="M72" s="1">
        <v>10.0</v>
      </c>
      <c r="N72" s="4">
        <v>38.0</v>
      </c>
      <c r="O72" s="4">
        <v>40.0</v>
      </c>
      <c r="P72" s="4">
        <v>42.0</v>
      </c>
      <c r="Q72" s="4">
        <v>42.0</v>
      </c>
      <c r="R72" s="4">
        <v>42.0</v>
      </c>
    </row>
    <row r="73">
      <c r="A73" s="1">
        <v>11.0</v>
      </c>
      <c r="B73" s="10">
        <f>51/6930</f>
        <v>0.007359307359</v>
      </c>
      <c r="C73" s="10">
        <f>108/8871</f>
        <v>0.01217450118</v>
      </c>
      <c r="D73" s="10">
        <f>260/10494</f>
        <v>0.02477606251</v>
      </c>
      <c r="E73" s="10">
        <f>661/11658</f>
        <v>0.05669926231</v>
      </c>
      <c r="F73" s="10">
        <f>1553/13160</f>
        <v>0.1180091185</v>
      </c>
      <c r="G73" s="1"/>
      <c r="H73" s="10">
        <f>51/6930</f>
        <v>0.007359307359</v>
      </c>
      <c r="I73" s="10">
        <f>108/8871</f>
        <v>0.01217450118</v>
      </c>
      <c r="J73" s="10">
        <f>260/10494</f>
        <v>0.02477606251</v>
      </c>
      <c r="K73" s="10">
        <f>661/11658</f>
        <v>0.05669926231</v>
      </c>
      <c r="L73" s="10">
        <f>264/13160</f>
        <v>0.02006079027</v>
      </c>
      <c r="M73" s="1">
        <v>11.0</v>
      </c>
      <c r="N73" s="4">
        <v>32.0</v>
      </c>
      <c r="O73" s="4">
        <v>36.0</v>
      </c>
      <c r="P73" s="4">
        <v>40.0</v>
      </c>
      <c r="Q73" s="4">
        <v>40.0</v>
      </c>
      <c r="R73" s="4">
        <v>42.0</v>
      </c>
    </row>
    <row r="74">
      <c r="A74" s="1">
        <v>12.0</v>
      </c>
      <c r="B74" s="10">
        <f>0/386</f>
        <v>0</v>
      </c>
      <c r="C74" s="10">
        <f>0/1150</f>
        <v>0</v>
      </c>
      <c r="D74" s="10">
        <f>0/2441</f>
        <v>0</v>
      </c>
      <c r="E74" s="10">
        <f>1/4378</f>
        <v>0.0002284148013</v>
      </c>
      <c r="F74" s="10">
        <f>1/6610</f>
        <v>0.0001512859304</v>
      </c>
      <c r="G74" s="1"/>
      <c r="H74" s="10">
        <f>0/386</f>
        <v>0</v>
      </c>
      <c r="I74" s="10">
        <f>0/1150</f>
        <v>0</v>
      </c>
      <c r="J74" s="10">
        <f>0/2441</f>
        <v>0</v>
      </c>
      <c r="K74" s="10">
        <f>1/4378</f>
        <v>0.0002284148013</v>
      </c>
      <c r="L74" s="10">
        <f>1/6610</f>
        <v>0.0001512859304</v>
      </c>
      <c r="M74" s="1">
        <v>12.0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</row>
    <row r="75">
      <c r="A75" s="1">
        <v>13.0</v>
      </c>
      <c r="B75" s="7">
        <v>0.0</v>
      </c>
      <c r="C75" s="7">
        <v>0.0</v>
      </c>
      <c r="D75" s="7">
        <v>0.0</v>
      </c>
      <c r="E75" s="7">
        <f>0</f>
        <v>0</v>
      </c>
      <c r="F75" s="7">
        <v>0.0</v>
      </c>
      <c r="G75" s="1"/>
      <c r="H75" s="7">
        <v>0.0</v>
      </c>
      <c r="I75" s="7">
        <v>0.0</v>
      </c>
      <c r="J75" s="7">
        <v>0.0</v>
      </c>
      <c r="K75" s="7">
        <f>0</f>
        <v>0</v>
      </c>
      <c r="L75" s="7">
        <v>0.0</v>
      </c>
      <c r="M75" s="1">
        <v>13.0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</row>
    <row r="76">
      <c r="A76" s="1">
        <v>14.0</v>
      </c>
      <c r="B76" s="10">
        <f>0/119</f>
        <v>0</v>
      </c>
      <c r="C76" s="10">
        <f>0/623</f>
        <v>0</v>
      </c>
      <c r="D76" s="10">
        <f>0/1466</f>
        <v>0</v>
      </c>
      <c r="E76" s="10">
        <f>2/2910</f>
        <v>0.0006872852234</v>
      </c>
      <c r="F76" s="10">
        <f>3/4962</f>
        <v>0.0006045949214</v>
      </c>
      <c r="G76" s="1"/>
      <c r="H76" s="10">
        <f>0/119</f>
        <v>0</v>
      </c>
      <c r="I76" s="10">
        <f>0/623</f>
        <v>0</v>
      </c>
      <c r="J76" s="10">
        <f>0/1466</f>
        <v>0</v>
      </c>
      <c r="K76" s="10">
        <f>2/2910</f>
        <v>0.0006872852234</v>
      </c>
      <c r="L76" s="10">
        <f>3/4962</f>
        <v>0.0006045949214</v>
      </c>
      <c r="M76" s="1">
        <v>14.0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</row>
    <row r="77">
      <c r="A77" s="1">
        <v>15.0</v>
      </c>
      <c r="B77" s="10">
        <f>3/3491</f>
        <v>0.000859352621</v>
      </c>
      <c r="C77" s="10">
        <f>9/5779</f>
        <v>0.001557362866</v>
      </c>
      <c r="D77" s="10">
        <f>43/8059</f>
        <v>0.005335649584</v>
      </c>
      <c r="E77" s="10">
        <f>169/9605</f>
        <v>0.0175950026</v>
      </c>
      <c r="F77" s="10">
        <f>696/11206</f>
        <v>0.06210958415</v>
      </c>
      <c r="G77" s="1"/>
      <c r="H77" s="10">
        <f>3/3491</f>
        <v>0.000859352621</v>
      </c>
      <c r="I77" s="10">
        <f>9/5779</f>
        <v>0.001557362866</v>
      </c>
      <c r="J77" s="10">
        <f>43/8059</f>
        <v>0.005335649584</v>
      </c>
      <c r="K77" s="10">
        <f>169/9605</f>
        <v>0.0175950026</v>
      </c>
      <c r="L77" s="10">
        <f>696/11206</f>
        <v>0.06210958415</v>
      </c>
      <c r="M77" s="1">
        <v>15.0</v>
      </c>
      <c r="N77" s="4">
        <v>0.0</v>
      </c>
      <c r="O77" s="4">
        <v>0.0</v>
      </c>
      <c r="P77" s="4">
        <v>0.0</v>
      </c>
      <c r="Q77" s="4">
        <v>0.0</v>
      </c>
      <c r="R77" s="4">
        <v>34.0</v>
      </c>
    </row>
    <row r="78">
      <c r="A78" s="1">
        <v>16.0</v>
      </c>
      <c r="B78" s="10">
        <f>281/7404</f>
        <v>0.03795245813</v>
      </c>
      <c r="C78" s="10">
        <f>747/9563</f>
        <v>0.07811356269</v>
      </c>
      <c r="D78" s="10">
        <f>2300/12530</f>
        <v>0.1835594573</v>
      </c>
      <c r="E78" s="10">
        <f>7829/18732</f>
        <v>0.4179478966</v>
      </c>
      <c r="F78" s="10">
        <f>19933/31573</f>
        <v>0.6313305673</v>
      </c>
      <c r="G78" s="1"/>
      <c r="H78" s="10">
        <f>281/7404</f>
        <v>0.03795245813</v>
      </c>
      <c r="I78" s="11">
        <f>185/9563</f>
        <v>0.0193453937</v>
      </c>
      <c r="J78" s="11">
        <f>921/12530</f>
        <v>0.07350359138</v>
      </c>
      <c r="K78" s="11">
        <f>2147/18732</f>
        <v>0.1146166987</v>
      </c>
      <c r="L78" s="10">
        <f>6433/31572</f>
        <v>0.2037564931</v>
      </c>
      <c r="M78" s="1">
        <v>16.0</v>
      </c>
      <c r="N78" s="4">
        <v>30.0</v>
      </c>
      <c r="O78" s="4">
        <v>35.0</v>
      </c>
      <c r="P78" s="4">
        <v>36.0</v>
      </c>
      <c r="Q78" s="4">
        <v>40.0</v>
      </c>
      <c r="R78" s="4">
        <v>42.0</v>
      </c>
    </row>
    <row r="79">
      <c r="A79" s="1" t="s">
        <v>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>
      <c r="A80" s="1"/>
      <c r="B80" s="4">
        <v>1352.0</v>
      </c>
      <c r="C80" s="4">
        <v>1354.0</v>
      </c>
      <c r="D80" s="4">
        <v>1355.0</v>
      </c>
      <c r="E80" s="4">
        <v>1386.0</v>
      </c>
      <c r="F80" s="4">
        <v>1356.0</v>
      </c>
      <c r="G80" s="1"/>
      <c r="H80" s="4">
        <v>1352.0</v>
      </c>
      <c r="I80" s="4">
        <v>1354.0</v>
      </c>
      <c r="J80" s="4">
        <v>1355.0</v>
      </c>
      <c r="K80" s="4">
        <v>1386.0</v>
      </c>
      <c r="L80" s="4">
        <v>1356.0</v>
      </c>
      <c r="M80" s="1"/>
      <c r="N80" s="4">
        <v>1352.0</v>
      </c>
      <c r="O80" s="4">
        <v>1354.0</v>
      </c>
      <c r="P80" s="4">
        <v>1355.0</v>
      </c>
      <c r="Q80" s="4">
        <v>1386.0</v>
      </c>
      <c r="R80" s="4">
        <v>1356.0</v>
      </c>
    </row>
    <row r="81">
      <c r="A81" s="1" t="s">
        <v>9</v>
      </c>
      <c r="B81" s="4">
        <v>700.0</v>
      </c>
      <c r="C81" s="4">
        <v>725.0</v>
      </c>
      <c r="D81" s="4">
        <v>750.0</v>
      </c>
      <c r="E81" s="4">
        <v>775.0</v>
      </c>
      <c r="F81" s="4">
        <v>800.0</v>
      </c>
      <c r="G81" s="1"/>
      <c r="H81" s="4">
        <v>700.0</v>
      </c>
      <c r="I81" s="4">
        <v>725.0</v>
      </c>
      <c r="J81" s="4">
        <v>750.0</v>
      </c>
      <c r="K81" s="4">
        <v>775.0</v>
      </c>
      <c r="L81" s="4">
        <v>800.0</v>
      </c>
      <c r="M81" s="1" t="s">
        <v>4</v>
      </c>
      <c r="N81" s="4">
        <v>700.0</v>
      </c>
      <c r="O81" s="4">
        <v>725.0</v>
      </c>
      <c r="P81" s="4">
        <v>750.0</v>
      </c>
      <c r="Q81" s="4">
        <v>775.0</v>
      </c>
      <c r="R81" s="4">
        <v>800.0</v>
      </c>
    </row>
    <row r="82">
      <c r="A82" s="1">
        <v>1.0</v>
      </c>
      <c r="B82" s="7">
        <f>27/1291</f>
        <v>0.02091402014</v>
      </c>
      <c r="C82" s="7">
        <f>63/2950</f>
        <v>0.0213559322</v>
      </c>
      <c r="D82" s="7">
        <f>184/5264</f>
        <v>0.03495440729</v>
      </c>
      <c r="E82" s="7">
        <f>440/7982</f>
        <v>0.05512402907</v>
      </c>
      <c r="F82" s="7">
        <f>958/10638</f>
        <v>0.09005452153</v>
      </c>
      <c r="G82" s="1"/>
      <c r="H82" s="7">
        <f>27/1291</f>
        <v>0.02091402014</v>
      </c>
      <c r="I82" s="7">
        <f>63/2950</f>
        <v>0.0213559322</v>
      </c>
      <c r="J82" s="7">
        <f>184/5264</f>
        <v>0.03495440729</v>
      </c>
      <c r="K82" s="7">
        <f>440/7982</f>
        <v>0.05512402907</v>
      </c>
      <c r="L82" s="7">
        <f>958/10638</f>
        <v>0.09005452153</v>
      </c>
      <c r="M82" s="1">
        <v>1.0</v>
      </c>
      <c r="N82" s="4">
        <v>26.0</v>
      </c>
      <c r="O82" s="4">
        <v>26.0</v>
      </c>
      <c r="P82" s="4">
        <v>26.0</v>
      </c>
      <c r="Q82" s="4">
        <v>28.0</v>
      </c>
      <c r="R82" s="4">
        <v>28.0</v>
      </c>
    </row>
    <row r="83">
      <c r="A83" s="1">
        <v>2.0</v>
      </c>
      <c r="B83" s="7">
        <f>77/2066</f>
        <v>0.03727008712</v>
      </c>
      <c r="C83" s="7">
        <f>252/4366</f>
        <v>0.05771873568</v>
      </c>
      <c r="D83" s="7">
        <f>552/7730</f>
        <v>0.07141009056</v>
      </c>
      <c r="E83" s="7">
        <f>1602/10232</f>
        <v>0.156567631</v>
      </c>
      <c r="F83" s="7">
        <f>3499/15270</f>
        <v>0.2291421087</v>
      </c>
      <c r="G83" s="1"/>
      <c r="H83" s="1"/>
      <c r="I83" s="1"/>
      <c r="J83" s="1"/>
      <c r="K83" s="1"/>
      <c r="L83" s="1"/>
      <c r="M83" s="1">
        <v>2.0</v>
      </c>
      <c r="N83" s="4">
        <v>25.0</v>
      </c>
      <c r="O83" s="4">
        <v>25.0</v>
      </c>
      <c r="P83" s="4">
        <v>26.0</v>
      </c>
      <c r="Q83" s="4">
        <v>28.0</v>
      </c>
      <c r="R83" s="4">
        <v>28.0</v>
      </c>
    </row>
    <row r="84">
      <c r="A84" s="1">
        <v>3.0</v>
      </c>
      <c r="B84" s="7">
        <f>322/3574</f>
        <v>0.09009513151</v>
      </c>
      <c r="C84" s="7">
        <f>724/6584</f>
        <v>0.109963548</v>
      </c>
      <c r="D84" s="7">
        <f>1329/9627</f>
        <v>0.1380492365</v>
      </c>
      <c r="E84" s="7">
        <f>2463/12345</f>
        <v>0.1995139733</v>
      </c>
      <c r="F84" s="7">
        <f>7075/19138</f>
        <v>0.3696833525</v>
      </c>
      <c r="G84" s="1"/>
      <c r="H84" s="1"/>
      <c r="I84" s="1"/>
      <c r="J84" s="1"/>
      <c r="K84" s="1"/>
      <c r="L84" s="1"/>
      <c r="M84" s="1">
        <v>3.0</v>
      </c>
      <c r="N84" s="4">
        <v>26.0</v>
      </c>
      <c r="O84" s="4">
        <v>27.0</v>
      </c>
      <c r="P84" s="4">
        <v>28.0</v>
      </c>
      <c r="Q84" s="4">
        <v>30.0</v>
      </c>
      <c r="R84" s="4">
        <v>30.0</v>
      </c>
    </row>
    <row r="85">
      <c r="A85" s="1">
        <v>4.0</v>
      </c>
      <c r="B85" s="7">
        <v>0.0</v>
      </c>
      <c r="C85" s="7">
        <v>0.0</v>
      </c>
      <c r="D85" s="7">
        <v>0.0</v>
      </c>
      <c r="E85" s="7">
        <f>0</f>
        <v>0</v>
      </c>
      <c r="F85" s="7">
        <v>0.0</v>
      </c>
      <c r="G85" s="1"/>
      <c r="H85" s="7">
        <v>0.0</v>
      </c>
      <c r="I85" s="7">
        <v>0.0</v>
      </c>
      <c r="J85" s="7">
        <v>0.0</v>
      </c>
      <c r="K85" s="7">
        <f>0</f>
        <v>0</v>
      </c>
      <c r="L85" s="7">
        <v>0.0</v>
      </c>
      <c r="M85" s="1">
        <v>4.0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</row>
    <row r="86">
      <c r="A86" s="1">
        <v>5.0</v>
      </c>
      <c r="B86" s="7">
        <f>3/1152</f>
        <v>0.002604166667</v>
      </c>
      <c r="C86" s="7">
        <f>9/2685</f>
        <v>0.003351955307</v>
      </c>
      <c r="D86" s="7">
        <f>39/4989</f>
        <v>0.007817197835</v>
      </c>
      <c r="E86" s="7">
        <f>136/7652</f>
        <v>0.01777313121</v>
      </c>
      <c r="F86" s="7">
        <f>301/9794</f>
        <v>0.0307331019</v>
      </c>
      <c r="G86" s="1"/>
      <c r="H86" s="7">
        <f>3/1152</f>
        <v>0.002604166667</v>
      </c>
      <c r="I86" s="7">
        <f>9/2685</f>
        <v>0.003351955307</v>
      </c>
      <c r="J86" s="7">
        <f>39/4989</f>
        <v>0.007817197835</v>
      </c>
      <c r="K86" s="7">
        <f>136/7652</f>
        <v>0.01777313121</v>
      </c>
      <c r="L86" s="7">
        <f>301/9794</f>
        <v>0.0307331019</v>
      </c>
      <c r="M86" s="1">
        <v>5.0</v>
      </c>
      <c r="N86" s="4">
        <v>26.0</v>
      </c>
      <c r="O86" s="4">
        <v>26.0</v>
      </c>
      <c r="P86" s="4">
        <v>26.0</v>
      </c>
      <c r="Q86" s="4">
        <v>26.0</v>
      </c>
      <c r="R86" s="4">
        <v>28.0</v>
      </c>
    </row>
    <row r="87">
      <c r="A87" s="1">
        <v>6.0</v>
      </c>
      <c r="B87" s="7">
        <f>0/888</f>
        <v>0</v>
      </c>
      <c r="C87" s="7">
        <f>0/2170</f>
        <v>0</v>
      </c>
      <c r="D87" s="7">
        <f>16/4305</f>
        <v>0.003716608595</v>
      </c>
      <c r="E87" s="7">
        <f>47/6819</f>
        <v>0.006892506233</v>
      </c>
      <c r="F87" s="7">
        <f>70/9239</f>
        <v>0.007576577552</v>
      </c>
      <c r="G87" s="1"/>
      <c r="H87" s="7">
        <f>0/888</f>
        <v>0</v>
      </c>
      <c r="I87" s="7">
        <f>0/2170</f>
        <v>0</v>
      </c>
      <c r="J87" s="7">
        <f>16/4305</f>
        <v>0.003716608595</v>
      </c>
      <c r="K87" s="7">
        <f>47/6819</f>
        <v>0.006892506233</v>
      </c>
      <c r="L87" s="7">
        <f>70/9239</f>
        <v>0.007576577552</v>
      </c>
      <c r="M87" s="1">
        <v>6.0</v>
      </c>
      <c r="N87" s="4">
        <v>24.0</v>
      </c>
      <c r="O87" s="4">
        <v>25.0</v>
      </c>
      <c r="P87" s="4">
        <v>26.0</v>
      </c>
      <c r="Q87" s="4">
        <v>26.0</v>
      </c>
      <c r="R87" s="4">
        <v>26.0</v>
      </c>
    </row>
    <row r="88">
      <c r="A88" s="1">
        <v>7.0</v>
      </c>
      <c r="B88" s="7">
        <f>1/989</f>
        <v>0.001011122346</v>
      </c>
      <c r="C88" s="7">
        <f>5/2314</f>
        <v>0.002160760588</v>
      </c>
      <c r="D88" s="7">
        <f>15/4430</f>
        <v>0.003386004515</v>
      </c>
      <c r="E88" s="7">
        <f>63/7105</f>
        <v>0.008866995074</v>
      </c>
      <c r="F88" s="7">
        <f>139/9219</f>
        <v>0.01507755722</v>
      </c>
      <c r="G88" s="1"/>
      <c r="H88" s="7">
        <f>1/989</f>
        <v>0.001011122346</v>
      </c>
      <c r="I88" s="7">
        <f>5/2314</f>
        <v>0.002160760588</v>
      </c>
      <c r="J88" s="7">
        <f>15/4430</f>
        <v>0.003386004515</v>
      </c>
      <c r="K88" s="7">
        <f>63/7105</f>
        <v>0.008866995074</v>
      </c>
      <c r="L88" s="7">
        <f>139/9219</f>
        <v>0.01507755722</v>
      </c>
      <c r="M88" s="1">
        <v>7.0</v>
      </c>
      <c r="N88" s="4">
        <v>24.0</v>
      </c>
      <c r="O88" s="4">
        <v>26.0</v>
      </c>
      <c r="P88" s="4">
        <v>26.0</v>
      </c>
      <c r="Q88" s="4">
        <v>26.0</v>
      </c>
      <c r="R88" s="4">
        <v>26.0</v>
      </c>
    </row>
    <row r="89">
      <c r="A89" s="1">
        <v>8.0</v>
      </c>
      <c r="B89" s="7">
        <f>0/888</f>
        <v>0</v>
      </c>
      <c r="C89" s="7">
        <f>1/2015</f>
        <v>0.0004962779156</v>
      </c>
      <c r="D89" s="7">
        <f>4/3946</f>
        <v>0.001013684744</v>
      </c>
      <c r="E89" s="7">
        <f>35/6566</f>
        <v>0.005330490405</v>
      </c>
      <c r="F89" s="7">
        <f>84/8826</f>
        <v>0.009517335146</v>
      </c>
      <c r="G89" s="1"/>
      <c r="H89" s="7">
        <f>0/888</f>
        <v>0</v>
      </c>
      <c r="I89" s="7">
        <f>1/2015</f>
        <v>0.0004962779156</v>
      </c>
      <c r="J89" s="7">
        <f>4/3946</f>
        <v>0.001013684744</v>
      </c>
      <c r="K89" s="7">
        <f>35/6566</f>
        <v>0.005330490405</v>
      </c>
      <c r="L89" s="7">
        <f>84/8826</f>
        <v>0.009517335146</v>
      </c>
      <c r="M89" s="1">
        <v>8.0</v>
      </c>
      <c r="N89" s="4">
        <v>24.0</v>
      </c>
      <c r="O89" s="4">
        <v>25.0</v>
      </c>
      <c r="P89" s="4">
        <v>26.0</v>
      </c>
      <c r="Q89" s="4">
        <v>26.0</v>
      </c>
      <c r="R89" s="4">
        <v>26.0</v>
      </c>
    </row>
    <row r="90">
      <c r="A90" s="1">
        <v>9.0</v>
      </c>
      <c r="B90" s="7">
        <f>0/1923</f>
        <v>0</v>
      </c>
      <c r="C90" s="7">
        <f>7/3762</f>
        <v>0.001860712387</v>
      </c>
      <c r="D90" s="7">
        <f>30/6412</f>
        <v>0.004678727386</v>
      </c>
      <c r="E90" s="7">
        <f>108/8627</f>
        <v>0.01251883621</v>
      </c>
      <c r="F90" s="7">
        <f>224/10558</f>
        <v>0.02121613942</v>
      </c>
      <c r="G90" s="1"/>
      <c r="H90" s="7">
        <f>0/1923</f>
        <v>0</v>
      </c>
      <c r="I90" s="7">
        <f>7/3762</f>
        <v>0.001860712387</v>
      </c>
      <c r="J90" s="7">
        <f>30/6412</f>
        <v>0.004678727386</v>
      </c>
      <c r="K90" s="7">
        <f>108/8627</f>
        <v>0.01251883621</v>
      </c>
      <c r="L90" s="7">
        <f>224/10558</f>
        <v>0.02121613942</v>
      </c>
      <c r="M90" s="1">
        <v>9.0</v>
      </c>
      <c r="N90" s="4">
        <v>26.0</v>
      </c>
      <c r="O90" s="4">
        <v>27.0</v>
      </c>
      <c r="P90" s="4">
        <v>28.0</v>
      </c>
      <c r="Q90" s="4">
        <v>30.0</v>
      </c>
      <c r="R90" s="4">
        <v>30.0</v>
      </c>
    </row>
    <row r="91">
      <c r="A91" s="1">
        <v>10.0</v>
      </c>
      <c r="B91" s="7">
        <f>2/1652</f>
        <v>0.001210653753</v>
      </c>
      <c r="C91" s="7">
        <f>6/3456</f>
        <v>0.001736111111</v>
      </c>
      <c r="D91" s="7">
        <f>30/5979</f>
        <v>0.005017561465</v>
      </c>
      <c r="E91" s="7">
        <f>122/8376</f>
        <v>0.01456542502</v>
      </c>
      <c r="F91" s="7">
        <f>196/10493</f>
        <v>0.01867911941</v>
      </c>
      <c r="G91" s="1"/>
      <c r="H91" s="7">
        <f>2/1652</f>
        <v>0.001210653753</v>
      </c>
      <c r="I91" s="7">
        <f>6/3456</f>
        <v>0.001736111111</v>
      </c>
      <c r="J91" s="7">
        <f>30/5979</f>
        <v>0.005017561465</v>
      </c>
      <c r="K91" s="7">
        <f>122/8376</f>
        <v>0.01456542502</v>
      </c>
      <c r="L91" s="7">
        <f>196/10493</f>
        <v>0.01867911941</v>
      </c>
      <c r="M91" s="1">
        <v>10.0</v>
      </c>
      <c r="N91" s="4">
        <v>25.0</v>
      </c>
      <c r="O91" s="4">
        <v>26.0</v>
      </c>
      <c r="P91" s="4">
        <v>26.0</v>
      </c>
      <c r="Q91" s="4">
        <v>30.0</v>
      </c>
      <c r="R91" s="4">
        <v>32.0</v>
      </c>
    </row>
    <row r="92">
      <c r="A92" s="1">
        <v>11.0</v>
      </c>
      <c r="B92" s="7">
        <f>1/1793</f>
        <v>0.0005577244841</v>
      </c>
      <c r="C92" s="7">
        <f>13/3737</f>
        <v>0.003478726251</v>
      </c>
      <c r="D92" s="7">
        <f>72/6236</f>
        <v>0.01154586273</v>
      </c>
      <c r="E92" s="7">
        <f>180/8667</f>
        <v>0.02076843198</v>
      </c>
      <c r="F92" s="7">
        <f>319/10571</f>
        <v>0.03017689906</v>
      </c>
      <c r="G92" s="1"/>
      <c r="H92" s="7">
        <f>1/1793</f>
        <v>0.0005577244841</v>
      </c>
      <c r="I92" s="7">
        <f>13/3737</f>
        <v>0.003478726251</v>
      </c>
      <c r="J92" s="7">
        <f>72/6236</f>
        <v>0.01154586273</v>
      </c>
      <c r="K92" s="7">
        <f>180/8667</f>
        <v>0.02076843198</v>
      </c>
      <c r="L92" s="7">
        <f>319/10571</f>
        <v>0.03017689906</v>
      </c>
      <c r="M92" s="1">
        <v>11.0</v>
      </c>
      <c r="N92" s="4">
        <v>29.0</v>
      </c>
      <c r="O92" s="4">
        <v>30.0</v>
      </c>
      <c r="P92" s="4">
        <v>30.0</v>
      </c>
      <c r="Q92" s="4">
        <v>30.0</v>
      </c>
      <c r="R92" s="4">
        <v>32.0</v>
      </c>
    </row>
    <row r="93">
      <c r="A93" s="1">
        <v>12.0</v>
      </c>
      <c r="B93" s="7">
        <f>7/1856</f>
        <v>0.003771551724</v>
      </c>
      <c r="C93" s="7">
        <f>19/3892</f>
        <v>0.004881808839</v>
      </c>
      <c r="D93" s="7">
        <f>72/6318</f>
        <v>0.0113960114</v>
      </c>
      <c r="E93" s="7">
        <f>157/8710</f>
        <v>0.01802525832</v>
      </c>
      <c r="F93" s="7">
        <f>399/10647</f>
        <v>0.03747534517</v>
      </c>
      <c r="G93" s="1"/>
      <c r="H93" s="7">
        <f>7/1856</f>
        <v>0.003771551724</v>
      </c>
      <c r="I93" s="7">
        <f>19/3892</f>
        <v>0.004881808839</v>
      </c>
      <c r="J93" s="7">
        <f>72/6318</f>
        <v>0.0113960114</v>
      </c>
      <c r="K93" s="7">
        <f>157/8710</f>
        <v>0.01802525832</v>
      </c>
      <c r="L93" s="7">
        <f>399/10647</f>
        <v>0.03747534517</v>
      </c>
      <c r="M93" s="1">
        <v>12.0</v>
      </c>
      <c r="N93" s="4">
        <v>27.0</v>
      </c>
      <c r="O93" s="4">
        <v>27.0</v>
      </c>
      <c r="P93" s="4">
        <v>28.0</v>
      </c>
      <c r="Q93" s="4">
        <v>30.0</v>
      </c>
      <c r="R93" s="4">
        <v>32.0</v>
      </c>
    </row>
    <row r="94">
      <c r="A94" s="1">
        <v>13.0</v>
      </c>
      <c r="B94" s="7">
        <f>5/1398</f>
        <v>0.003576537911</v>
      </c>
      <c r="C94" s="7">
        <f>15/2903</f>
        <v>0.00516706855</v>
      </c>
      <c r="D94" s="7">
        <f>53/5221</f>
        <v>0.01015131201</v>
      </c>
      <c r="E94" s="7">
        <f>207/8710</f>
        <v>0.02376578645</v>
      </c>
      <c r="F94" s="7">
        <f>669/10530</f>
        <v>0.06353276353</v>
      </c>
      <c r="G94" s="1"/>
      <c r="H94" s="7">
        <f>5/1398</f>
        <v>0.003576537911</v>
      </c>
      <c r="I94" s="7">
        <f>15/2903</f>
        <v>0.00516706855</v>
      </c>
      <c r="J94" s="7">
        <f>53/5221</f>
        <v>0.01015131201</v>
      </c>
      <c r="K94" s="7">
        <f>207/8710</f>
        <v>0.02376578645</v>
      </c>
      <c r="L94" s="7">
        <f>669/10530</f>
        <v>0.06353276353</v>
      </c>
      <c r="M94" s="1">
        <v>13.0</v>
      </c>
      <c r="N94" s="4">
        <v>25.0</v>
      </c>
      <c r="O94" s="4">
        <v>25.0</v>
      </c>
      <c r="P94" s="4">
        <v>26.0</v>
      </c>
      <c r="Q94" s="4">
        <v>28.0</v>
      </c>
      <c r="R94" s="4">
        <v>30.0</v>
      </c>
    </row>
    <row r="95">
      <c r="A95" s="1">
        <v>14.0</v>
      </c>
      <c r="B95" s="7">
        <v>0.0</v>
      </c>
      <c r="C95" s="7">
        <v>0.0</v>
      </c>
      <c r="D95" s="7">
        <v>0.0</v>
      </c>
      <c r="E95" s="7">
        <v>0.0</v>
      </c>
      <c r="F95" s="7">
        <v>0.0</v>
      </c>
      <c r="G95" s="1"/>
      <c r="H95" s="7">
        <v>0.0</v>
      </c>
      <c r="I95" s="7">
        <v>0.0</v>
      </c>
      <c r="J95" s="7">
        <v>0.0</v>
      </c>
      <c r="K95" s="7">
        <v>0.0</v>
      </c>
      <c r="L95" s="7">
        <v>0.0</v>
      </c>
      <c r="M95" s="1">
        <v>14.0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</row>
    <row r="96">
      <c r="A96" s="1">
        <v>15.0</v>
      </c>
      <c r="B96" s="7">
        <f>3/1258</f>
        <v>0.002384737679</v>
      </c>
      <c r="C96" s="7">
        <f>9/2753</f>
        <v>0.003269160915</v>
      </c>
      <c r="D96" s="7">
        <f>33/5108</f>
        <v>0.00646045419</v>
      </c>
      <c r="E96" s="7">
        <f>162/7563</f>
        <v>0.0214200714</v>
      </c>
      <c r="F96" s="7">
        <f>408/10189</f>
        <v>0.04004318383</v>
      </c>
      <c r="G96" s="1"/>
      <c r="H96" s="7">
        <f>3/1258</f>
        <v>0.002384737679</v>
      </c>
      <c r="I96" s="7">
        <f>9/2753</f>
        <v>0.003269160915</v>
      </c>
      <c r="J96" s="7">
        <f>33/5108</f>
        <v>0.00646045419</v>
      </c>
      <c r="K96" s="7">
        <f>162/7563</f>
        <v>0.0214200714</v>
      </c>
      <c r="L96" s="7">
        <f>408/10189</f>
        <v>0.04004318383</v>
      </c>
      <c r="M96" s="1">
        <v>15.0</v>
      </c>
      <c r="N96" s="4">
        <v>24.0</v>
      </c>
      <c r="O96" s="4">
        <v>24.0</v>
      </c>
      <c r="P96" s="4">
        <v>25.0</v>
      </c>
      <c r="Q96" s="4">
        <v>26.0</v>
      </c>
      <c r="R96" s="4">
        <v>28.0</v>
      </c>
    </row>
    <row r="97">
      <c r="A97" s="1">
        <v>16.0</v>
      </c>
      <c r="B97" s="7">
        <f>261/4232</f>
        <v>0.06167296786</v>
      </c>
      <c r="C97" s="7">
        <f>721/7360</f>
        <v>0.09796195652</v>
      </c>
      <c r="D97" s="7">
        <f>1590/10614</f>
        <v>0.1498021481</v>
      </c>
      <c r="E97" s="7">
        <f>3783/13710</f>
        <v>0.2759299781</v>
      </c>
      <c r="F97" s="7">
        <f>10788/22794</f>
        <v>0.4732824427</v>
      </c>
      <c r="G97" s="1"/>
      <c r="H97" s="1"/>
      <c r="I97" s="1"/>
      <c r="J97" s="1"/>
      <c r="K97" s="1"/>
      <c r="L97" s="1"/>
      <c r="M97" s="1">
        <v>16.0</v>
      </c>
      <c r="N97" s="4">
        <v>28.0</v>
      </c>
      <c r="O97" s="4">
        <v>29.0</v>
      </c>
      <c r="P97" s="4">
        <v>32.0</v>
      </c>
      <c r="Q97" s="4">
        <v>33.0</v>
      </c>
      <c r="R97" s="4">
        <v>33.0</v>
      </c>
    </row>
    <row r="98">
      <c r="A98" s="1" t="s">
        <v>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>
      <c r="A99" s="1"/>
      <c r="B99" s="4">
        <v>1352.0</v>
      </c>
      <c r="C99" s="4">
        <v>1354.0</v>
      </c>
      <c r="D99" s="4">
        <v>1355.0</v>
      </c>
      <c r="E99" s="4">
        <v>1386.0</v>
      </c>
      <c r="F99" s="4">
        <v>1356.0</v>
      </c>
      <c r="G99" s="1"/>
      <c r="H99" s="4">
        <v>1352.0</v>
      </c>
      <c r="I99" s="4">
        <v>1354.0</v>
      </c>
      <c r="J99" s="4">
        <v>1355.0</v>
      </c>
      <c r="K99" s="4">
        <v>1386.0</v>
      </c>
      <c r="L99" s="4">
        <v>1356.0</v>
      </c>
      <c r="M99" s="1"/>
      <c r="N99" s="4">
        <v>1352.0</v>
      </c>
      <c r="O99" s="4">
        <v>1354.0</v>
      </c>
      <c r="P99" s="4">
        <v>1355.0</v>
      </c>
      <c r="Q99" s="4">
        <v>1386.0</v>
      </c>
      <c r="R99" s="4">
        <v>1356.0</v>
      </c>
    </row>
    <row r="100">
      <c r="A100" s="1" t="s">
        <v>10</v>
      </c>
      <c r="B100" s="4">
        <v>700.0</v>
      </c>
      <c r="C100" s="4">
        <v>725.0</v>
      </c>
      <c r="D100" s="4">
        <v>750.0</v>
      </c>
      <c r="E100" s="4">
        <v>775.0</v>
      </c>
      <c r="F100" s="4">
        <v>800.0</v>
      </c>
      <c r="G100" s="1"/>
      <c r="H100" s="4">
        <v>700.0</v>
      </c>
      <c r="I100" s="4">
        <v>725.0</v>
      </c>
      <c r="J100" s="4">
        <v>750.0</v>
      </c>
      <c r="K100" s="4">
        <v>775.0</v>
      </c>
      <c r="L100" s="4">
        <v>800.0</v>
      </c>
      <c r="M100" s="1" t="s">
        <v>4</v>
      </c>
      <c r="N100" s="4">
        <v>700.0</v>
      </c>
      <c r="O100" s="4">
        <v>725.0</v>
      </c>
      <c r="P100" s="4">
        <v>750.0</v>
      </c>
      <c r="Q100" s="4">
        <v>775.0</v>
      </c>
      <c r="R100" s="4">
        <v>800.0</v>
      </c>
    </row>
    <row r="101">
      <c r="A101" s="1">
        <v>1.0</v>
      </c>
      <c r="B101" s="7">
        <f>627/3689</f>
        <v>0.1699647601</v>
      </c>
      <c r="C101" s="7">
        <f>1157/6610</f>
        <v>0.1750378215</v>
      </c>
      <c r="D101" s="7">
        <f>2016/9196</f>
        <v>0.2192257503</v>
      </c>
      <c r="E101" s="7">
        <f>4946/13691</f>
        <v>0.3612592214</v>
      </c>
      <c r="F101" s="7">
        <f>12995/24655</f>
        <v>0.5270736159</v>
      </c>
      <c r="G101" s="1"/>
      <c r="H101" s="9">
        <f>167/3689</f>
        <v>0.04526972079</v>
      </c>
      <c r="I101" s="9">
        <f>425/6610</f>
        <v>0.06429652042</v>
      </c>
      <c r="J101" s="9">
        <f>783/9196</f>
        <v>0.08514571553</v>
      </c>
      <c r="K101" s="9">
        <f>2468/13568</f>
        <v>0.1818985849</v>
      </c>
      <c r="L101" s="9">
        <f>8753/24655</f>
        <v>0.3550192659</v>
      </c>
      <c r="M101" s="1">
        <v>1.0</v>
      </c>
      <c r="N101" s="4">
        <v>26.0</v>
      </c>
      <c r="O101" s="4">
        <v>27.0</v>
      </c>
      <c r="P101" s="4">
        <v>29.0</v>
      </c>
      <c r="Q101" s="4">
        <v>30.0</v>
      </c>
      <c r="R101" s="4">
        <v>30.0</v>
      </c>
    </row>
    <row r="102">
      <c r="A102" s="1">
        <v>2.0</v>
      </c>
      <c r="B102" s="7">
        <f>647/5151</f>
        <v>0.1256066783</v>
      </c>
      <c r="C102" s="7">
        <f>1158/7987</f>
        <v>0.1449856016</v>
      </c>
      <c r="D102" s="7">
        <f>1757/10230</f>
        <v>0.1717497556</v>
      </c>
      <c r="E102" s="7">
        <f>3099/13065</f>
        <v>0.2371986223</v>
      </c>
      <c r="F102" s="7">
        <f>8049/18775</f>
        <v>0.4287083888</v>
      </c>
      <c r="G102" s="1"/>
      <c r="H102" s="9">
        <f>112/5151</f>
        <v>0.02174335081</v>
      </c>
      <c r="I102" s="9">
        <f>293/7987</f>
        <v>0.0366846125</v>
      </c>
      <c r="J102" s="9">
        <f>352/10230</f>
        <v>0.03440860215</v>
      </c>
      <c r="K102" s="9">
        <f>730/12568</f>
        <v>0.05808402292</v>
      </c>
      <c r="L102" s="9">
        <f>3122/18775</f>
        <v>0.1662849534</v>
      </c>
      <c r="M102" s="1">
        <v>2.0</v>
      </c>
      <c r="N102" s="4">
        <v>28.0</v>
      </c>
      <c r="O102" s="4">
        <v>30.0</v>
      </c>
      <c r="P102" s="4">
        <v>30.0</v>
      </c>
      <c r="Q102" s="4">
        <v>32.0</v>
      </c>
      <c r="R102" s="4">
        <v>32.0</v>
      </c>
    </row>
    <row r="103">
      <c r="A103" s="1">
        <v>3.0</v>
      </c>
      <c r="B103" s="7">
        <v>0.0</v>
      </c>
      <c r="C103" s="7">
        <v>0.0</v>
      </c>
      <c r="D103" s="7">
        <v>0.0</v>
      </c>
      <c r="E103" s="7">
        <v>0.0</v>
      </c>
      <c r="F103" s="7">
        <v>0.0</v>
      </c>
      <c r="G103" s="1"/>
      <c r="H103" s="7">
        <v>0.0</v>
      </c>
      <c r="I103" s="7">
        <v>0.0</v>
      </c>
      <c r="J103" s="7">
        <v>0.0</v>
      </c>
      <c r="K103" s="7">
        <v>0.0</v>
      </c>
      <c r="L103" s="7">
        <v>0.0</v>
      </c>
      <c r="M103" s="1">
        <v>3.0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</row>
    <row r="104">
      <c r="A104" s="1">
        <v>4.0</v>
      </c>
      <c r="B104" s="7">
        <f>15/502</f>
        <v>0.02988047809</v>
      </c>
      <c r="C104" s="7">
        <f>41/1404</f>
        <v>0.0292022792</v>
      </c>
      <c r="D104" s="7">
        <f>139/3089</f>
        <v>0.04499838135</v>
      </c>
      <c r="E104" s="7">
        <f>392/5686</f>
        <v>0.06894125923</v>
      </c>
      <c r="F104" s="7">
        <f>571/8012</f>
        <v>0.07126809785</v>
      </c>
      <c r="G104" s="1"/>
      <c r="H104" s="7">
        <f>15/502</f>
        <v>0.02988047809</v>
      </c>
      <c r="I104" s="7">
        <f>41/1404</f>
        <v>0.0292022792</v>
      </c>
      <c r="J104" s="7">
        <f>139/3089</f>
        <v>0.04499838135</v>
      </c>
      <c r="K104" s="7">
        <f>392/5686</f>
        <v>0.06894125923</v>
      </c>
      <c r="L104" s="7">
        <f>571/8012</f>
        <v>0.07126809785</v>
      </c>
      <c r="M104" s="1">
        <v>4.0</v>
      </c>
      <c r="N104" s="4">
        <v>25.0</v>
      </c>
      <c r="O104" s="4">
        <v>26.0</v>
      </c>
      <c r="P104" s="4">
        <v>26.0</v>
      </c>
      <c r="Q104" s="4">
        <v>25.0</v>
      </c>
      <c r="R104" s="4">
        <v>26.0</v>
      </c>
    </row>
    <row r="105">
      <c r="A105" s="1">
        <v>5.0</v>
      </c>
      <c r="B105" s="7">
        <f>75/1885</f>
        <v>0.03978779841</v>
      </c>
      <c r="C105" s="7">
        <f>282/4083</f>
        <v>0.0690668626</v>
      </c>
      <c r="D105" s="7">
        <f>571/6916</f>
        <v>0.08256217467</v>
      </c>
      <c r="E105" s="7">
        <f>1434/9866</f>
        <v>0.1453476586</v>
      </c>
      <c r="F105" s="7">
        <f>2240/12339</f>
        <v>0.1815382122</v>
      </c>
      <c r="G105" s="1"/>
      <c r="H105" s="7">
        <f>75/1885</f>
        <v>0.03978779841</v>
      </c>
      <c r="I105" s="7">
        <f>282/4083</f>
        <v>0.0690668626</v>
      </c>
      <c r="J105" s="9">
        <f>118/6916</f>
        <v>0.01706188548</v>
      </c>
      <c r="K105" s="9">
        <f>172/9675</f>
        <v>0.01777777778</v>
      </c>
      <c r="L105" s="9">
        <f>464/12339</f>
        <v>0.03760434395</v>
      </c>
      <c r="M105" s="1">
        <v>5.0</v>
      </c>
      <c r="N105" s="4">
        <v>26.0</v>
      </c>
      <c r="O105" s="4">
        <v>26.0</v>
      </c>
      <c r="P105" s="4">
        <v>28.0</v>
      </c>
      <c r="Q105" s="4">
        <v>30.0</v>
      </c>
      <c r="R105" s="4">
        <v>32.0</v>
      </c>
    </row>
    <row r="106">
      <c r="A106" s="1">
        <v>6.0</v>
      </c>
      <c r="B106" s="7">
        <f>59/1537</f>
        <v>0.03838646714</v>
      </c>
      <c r="C106" s="7">
        <f>202/3419</f>
        <v>0.05908160281</v>
      </c>
      <c r="D106" s="7">
        <f>540/6129</f>
        <v>0.08810572687</v>
      </c>
      <c r="E106" s="7">
        <f>1047/8864</f>
        <v>0.118118231</v>
      </c>
      <c r="F106" s="7">
        <f>1302/10886</f>
        <v>0.11960316</v>
      </c>
      <c r="G106" s="1"/>
      <c r="H106" s="7">
        <f>59/1537</f>
        <v>0.03838646714</v>
      </c>
      <c r="I106" s="7">
        <f>202/3419</f>
        <v>0.05908160281</v>
      </c>
      <c r="J106" s="9">
        <f>66/6129</f>
        <v>0.01076847773</v>
      </c>
      <c r="K106" s="9">
        <f>121/8818</f>
        <v>0.01372193241</v>
      </c>
      <c r="L106" s="9">
        <f>196/10886</f>
        <v>0.01800477678</v>
      </c>
      <c r="M106" s="1">
        <v>6.0</v>
      </c>
      <c r="N106" s="4">
        <v>30.0</v>
      </c>
      <c r="O106" s="4">
        <v>30.0</v>
      </c>
      <c r="P106" s="4">
        <v>32.0</v>
      </c>
      <c r="Q106" s="4">
        <v>32.0</v>
      </c>
      <c r="R106" s="4">
        <v>34.0</v>
      </c>
    </row>
    <row r="107">
      <c r="A107" s="1">
        <v>7.0</v>
      </c>
      <c r="B107" s="7">
        <f>90/2619</f>
        <v>0.03436426117</v>
      </c>
      <c r="C107" s="7">
        <f>221/5065</f>
        <v>0.04363277394</v>
      </c>
      <c r="D107" s="7">
        <f>520/7743</f>
        <v>0.06715743252</v>
      </c>
      <c r="E107" s="7">
        <f>1103/10130</f>
        <v>0.1088845015</v>
      </c>
      <c r="F107" s="7">
        <f>1169/11588</f>
        <v>0.1008802209</v>
      </c>
      <c r="G107" s="1"/>
      <c r="H107" s="7">
        <f>90/2619</f>
        <v>0.03436426117</v>
      </c>
      <c r="I107" s="7">
        <f>221/5065</f>
        <v>0.04363277394</v>
      </c>
      <c r="J107" s="7">
        <f>520/7743</f>
        <v>0.06715743252</v>
      </c>
      <c r="K107" s="9">
        <f>84/9945</f>
        <v>0.008446455505</v>
      </c>
      <c r="L107" s="9">
        <f>241/11588</f>
        <v>0.0207973766</v>
      </c>
      <c r="M107" s="1">
        <v>7.0</v>
      </c>
      <c r="N107" s="4">
        <v>32.0</v>
      </c>
      <c r="O107" s="4">
        <v>34.0</v>
      </c>
      <c r="P107" s="4">
        <v>34.0</v>
      </c>
      <c r="Q107" s="4">
        <v>36.0</v>
      </c>
      <c r="R107" s="4">
        <v>36.0</v>
      </c>
    </row>
    <row r="108">
      <c r="A108" s="1">
        <v>8.0</v>
      </c>
      <c r="B108" s="7">
        <f>156/1084</f>
        <v>0.1439114391</v>
      </c>
      <c r="C108" s="7">
        <f>429/2469</f>
        <v>0.1737545565</v>
      </c>
      <c r="D108" s="7">
        <f>1053/4768</f>
        <v>0.2208473154</v>
      </c>
      <c r="E108" s="7">
        <f>2211/7496</f>
        <v>0.2949573106</v>
      </c>
      <c r="F108" s="7">
        <f>2371/9767</f>
        <v>0.2427562199</v>
      </c>
      <c r="G108" s="1"/>
      <c r="H108" s="9">
        <f>18/1084</f>
        <v>0.01660516605</v>
      </c>
      <c r="I108" s="9">
        <f>42/2469</f>
        <v>0.0170109356</v>
      </c>
      <c r="J108" s="9">
        <f>132/4767</f>
        <v>0.0276903713</v>
      </c>
      <c r="K108" s="9">
        <f>96/7393</f>
        <v>0.01298525632</v>
      </c>
      <c r="L108" s="9">
        <f>266/9767</f>
        <v>0.02723456537</v>
      </c>
      <c r="M108" s="1">
        <v>8.0</v>
      </c>
      <c r="N108" s="4">
        <v>32.0</v>
      </c>
      <c r="O108" s="4">
        <v>33.0</v>
      </c>
      <c r="P108" s="4">
        <v>33.0</v>
      </c>
      <c r="Q108" s="4">
        <v>37.0</v>
      </c>
      <c r="R108" s="4">
        <v>37.0</v>
      </c>
    </row>
    <row r="109">
      <c r="A109" s="1">
        <v>9.0</v>
      </c>
      <c r="B109" s="7">
        <f>67/3086</f>
        <v>0.02171095269</v>
      </c>
      <c r="C109" s="7">
        <f>202/5582</f>
        <v>0.03618774633</v>
      </c>
      <c r="D109" s="7">
        <f>538/8159</f>
        <v>0.06593945336</v>
      </c>
      <c r="E109" s="7">
        <f>957/10507</f>
        <v>0.09108213572</v>
      </c>
      <c r="F109" s="7">
        <f>1387/11879</f>
        <v>0.1167606701</v>
      </c>
      <c r="G109" s="1"/>
      <c r="H109" s="7">
        <f>67/3086</f>
        <v>0.02171095269</v>
      </c>
      <c r="I109" s="7">
        <f>202/5582</f>
        <v>0.03618774633</v>
      </c>
      <c r="J109" s="7">
        <f>538/8159</f>
        <v>0.06593945336</v>
      </c>
      <c r="K109" s="9">
        <f>44/10201</f>
        <v>0.004313302617</v>
      </c>
      <c r="L109" s="9">
        <f>130/11879</f>
        <v>0.01094368213</v>
      </c>
      <c r="M109" s="1">
        <v>9.0</v>
      </c>
      <c r="N109" s="4">
        <v>34.0</v>
      </c>
      <c r="O109" s="4">
        <v>34.0</v>
      </c>
      <c r="P109" s="4">
        <v>34.0</v>
      </c>
      <c r="Q109" s="4">
        <v>37.0</v>
      </c>
      <c r="R109" s="4">
        <v>37.0</v>
      </c>
    </row>
    <row r="110">
      <c r="A110" s="1">
        <v>10.0</v>
      </c>
      <c r="B110" s="7">
        <f>57/2301</f>
        <v>0.02477183833</v>
      </c>
      <c r="C110" s="7">
        <f>142/4545</f>
        <v>0.03124312431</v>
      </c>
      <c r="D110" s="7">
        <f>410/7116</f>
        <v>0.05761663856</v>
      </c>
      <c r="E110" s="7">
        <f>826/9815</f>
        <v>0.0841569027</v>
      </c>
      <c r="F110" s="7">
        <f>1261/11614</f>
        <v>0.1085758567</v>
      </c>
      <c r="G110" s="1"/>
      <c r="H110" s="7">
        <f>57/2301</f>
        <v>0.02477183833</v>
      </c>
      <c r="I110" s="7">
        <f>142/4545</f>
        <v>0.03124312431</v>
      </c>
      <c r="J110" s="7">
        <f>410/7116</f>
        <v>0.05761663856</v>
      </c>
      <c r="K110" s="9">
        <f>70/9512</f>
        <v>0.007359125315</v>
      </c>
      <c r="L110" s="9">
        <f>104/11614</f>
        <v>0.008954709833</v>
      </c>
      <c r="M110" s="1">
        <v>10.0</v>
      </c>
      <c r="N110" s="4">
        <v>30.0</v>
      </c>
      <c r="O110" s="4">
        <v>30.0</v>
      </c>
      <c r="P110" s="4">
        <v>32.0</v>
      </c>
      <c r="Q110" s="4">
        <v>34.0</v>
      </c>
      <c r="R110" s="4">
        <v>34.0</v>
      </c>
    </row>
    <row r="111">
      <c r="A111" s="1">
        <v>11.0</v>
      </c>
      <c r="B111" s="7">
        <f>111/2796</f>
        <v>0.03969957082</v>
      </c>
      <c r="C111" s="7">
        <f>315/5270</f>
        <v>0.05977229602</v>
      </c>
      <c r="D111" s="7">
        <f>765/8286</f>
        <v>0.09232440261</v>
      </c>
      <c r="E111" s="7">
        <f>1401/10779</f>
        <v>0.1299749513</v>
      </c>
      <c r="F111" s="7">
        <f>1976/12506</f>
        <v>0.158004158</v>
      </c>
      <c r="G111" s="1"/>
      <c r="H111" s="7">
        <f>111/2796</f>
        <v>0.03969957082</v>
      </c>
      <c r="I111" s="7">
        <f>315/5270</f>
        <v>0.05977229602</v>
      </c>
      <c r="J111" s="9">
        <f>69/8286</f>
        <v>0.008327299059</v>
      </c>
      <c r="K111" s="9">
        <f>110/10442</f>
        <v>0.01053438039</v>
      </c>
      <c r="L111" s="9">
        <f>233/12506</f>
        <v>0.01863105709</v>
      </c>
      <c r="M111" s="1">
        <v>11.0</v>
      </c>
      <c r="N111" s="4">
        <v>32.0</v>
      </c>
      <c r="O111" s="4">
        <v>32.0</v>
      </c>
      <c r="P111" s="4">
        <v>34.0</v>
      </c>
      <c r="Q111" s="4">
        <v>36.0</v>
      </c>
      <c r="R111" s="4">
        <v>36.0</v>
      </c>
    </row>
    <row r="112">
      <c r="A112" s="1">
        <v>12.0</v>
      </c>
      <c r="B112" s="7">
        <f>58/2416</f>
        <v>0.02400662252</v>
      </c>
      <c r="C112" s="7">
        <f>232/4682</f>
        <v>0.04955147373</v>
      </c>
      <c r="D112" s="7">
        <f>413/7461</f>
        <v>0.05535451012</v>
      </c>
      <c r="E112" s="7">
        <f>952/10007</f>
        <v>0.09513340662</v>
      </c>
      <c r="F112" s="7">
        <f>1485/12040</f>
        <v>0.1233388704</v>
      </c>
      <c r="G112" s="1"/>
      <c r="H112" s="7">
        <f>58/2416</f>
        <v>0.02400662252</v>
      </c>
      <c r="I112" s="7">
        <f>232/4682</f>
        <v>0.04955147373</v>
      </c>
      <c r="J112" s="7">
        <f>413/7461</f>
        <v>0.05535451012</v>
      </c>
      <c r="K112" s="9">
        <f>62/9685</f>
        <v>0.006401652039</v>
      </c>
      <c r="L112" s="9">
        <f>123/12040</f>
        <v>0.01021594684</v>
      </c>
      <c r="M112" s="1">
        <v>12.0</v>
      </c>
      <c r="N112" s="4">
        <v>30.0</v>
      </c>
      <c r="O112" s="4">
        <v>30.0</v>
      </c>
      <c r="P112" s="4">
        <v>32.0</v>
      </c>
      <c r="Q112" s="4">
        <v>34.0</v>
      </c>
      <c r="R112" s="4">
        <v>34.0</v>
      </c>
    </row>
    <row r="113">
      <c r="A113" s="1">
        <v>13.0</v>
      </c>
      <c r="B113" s="7">
        <v>0.0</v>
      </c>
      <c r="C113" s="7">
        <v>0.0</v>
      </c>
      <c r="D113" s="7">
        <v>0.0</v>
      </c>
      <c r="E113" s="7">
        <v>0.0</v>
      </c>
      <c r="F113" s="7">
        <v>0.0</v>
      </c>
      <c r="G113" s="1"/>
      <c r="H113" s="7">
        <v>0.0</v>
      </c>
      <c r="I113" s="7">
        <v>0.0</v>
      </c>
      <c r="J113" s="7">
        <v>0.0</v>
      </c>
      <c r="K113" s="7">
        <v>0.0</v>
      </c>
      <c r="L113" s="7">
        <v>0.0</v>
      </c>
      <c r="M113" s="1">
        <v>13.0</v>
      </c>
      <c r="N113" s="4">
        <v>0.0</v>
      </c>
      <c r="O113" s="4">
        <v>0.0</v>
      </c>
      <c r="P113" s="4">
        <v>0.0</v>
      </c>
      <c r="Q113" s="4">
        <v>0.0</v>
      </c>
      <c r="R113" s="4">
        <v>0.0</v>
      </c>
    </row>
    <row r="114">
      <c r="A114" s="1">
        <v>14.0</v>
      </c>
      <c r="B114" s="7">
        <f>16/1511</f>
        <v>0.0105890139</v>
      </c>
      <c r="C114" s="7">
        <f>88/3487</f>
        <v>0.02523659306</v>
      </c>
      <c r="D114" s="7">
        <f>266/5982</f>
        <v>0.04446673353</v>
      </c>
      <c r="E114" s="7">
        <f>666/8878</f>
        <v>0.0750168957</v>
      </c>
      <c r="F114" s="7">
        <f>863/10892</f>
        <v>0.07923246419</v>
      </c>
      <c r="G114" s="1"/>
      <c r="H114" s="7">
        <f>16/1511</f>
        <v>0.0105890139</v>
      </c>
      <c r="I114" s="7">
        <f>88/3487</f>
        <v>0.02523659306</v>
      </c>
      <c r="J114" s="7">
        <f>266/5982</f>
        <v>0.04446673353</v>
      </c>
      <c r="K114" s="7">
        <f>666/8878</f>
        <v>0.0750168957</v>
      </c>
      <c r="L114" s="7">
        <f>863/10892</f>
        <v>0.07923246419</v>
      </c>
      <c r="M114" s="1">
        <v>14.0</v>
      </c>
      <c r="N114" s="4">
        <v>28.0</v>
      </c>
      <c r="O114" s="4">
        <v>28.0</v>
      </c>
      <c r="P114" s="4">
        <v>30.0</v>
      </c>
      <c r="Q114" s="4">
        <v>32.0</v>
      </c>
      <c r="R114" s="4">
        <v>32.0</v>
      </c>
    </row>
    <row r="115">
      <c r="A115" s="1">
        <v>15.0</v>
      </c>
      <c r="B115" s="7">
        <f>4/295</f>
        <v>0.01355932203</v>
      </c>
      <c r="C115" s="7">
        <f>19/1082</f>
        <v>0.01756007394</v>
      </c>
      <c r="D115" s="7">
        <f>112/2644</f>
        <v>0.04236006051</v>
      </c>
      <c r="E115" s="7">
        <f>361/5045</f>
        <v>0.07155599604</v>
      </c>
      <c r="F115" s="7">
        <f>477/7704</f>
        <v>0.06191588785</v>
      </c>
      <c r="G115" s="1"/>
      <c r="H115" s="7">
        <f>4/295</f>
        <v>0.01355932203</v>
      </c>
      <c r="I115" s="7">
        <f>19/1082</f>
        <v>0.01756007394</v>
      </c>
      <c r="J115" s="7">
        <f>112/2644</f>
        <v>0.04236006051</v>
      </c>
      <c r="K115" s="7">
        <f>361/5045</f>
        <v>0.07155599604</v>
      </c>
      <c r="L115" s="7">
        <f>477/7704</f>
        <v>0.06191588785</v>
      </c>
      <c r="M115" s="1">
        <v>15.0</v>
      </c>
      <c r="N115" s="4">
        <v>24.0</v>
      </c>
      <c r="O115" s="4">
        <v>24.0</v>
      </c>
      <c r="P115" s="4">
        <v>26.0</v>
      </c>
      <c r="Q115" s="4">
        <v>26.0</v>
      </c>
      <c r="R115" s="4">
        <v>26.0</v>
      </c>
    </row>
    <row r="116">
      <c r="A116" s="1">
        <v>16.0</v>
      </c>
      <c r="B116" s="7">
        <f>43/1498</f>
        <v>0.02870493992</v>
      </c>
      <c r="C116" s="7">
        <f>134/3395</f>
        <v>0.03946980854</v>
      </c>
      <c r="D116" s="7">
        <f>354/5951</f>
        <v>0.05948580071</v>
      </c>
      <c r="E116" s="7">
        <f>943/8866</f>
        <v>0.1063613806</v>
      </c>
      <c r="F116" s="7">
        <f>1431/11416</f>
        <v>0.1253503854</v>
      </c>
      <c r="G116" s="1"/>
      <c r="H116" s="7">
        <f>43/1498</f>
        <v>0.02870493992</v>
      </c>
      <c r="I116" s="7">
        <f>134/3395</f>
        <v>0.03946980854</v>
      </c>
      <c r="J116" s="7">
        <f>354/5951</f>
        <v>0.05948580071</v>
      </c>
      <c r="K116" s="9">
        <f>96/8607</f>
        <v>0.01115371209</v>
      </c>
      <c r="L116" s="9">
        <f>208/11416</f>
        <v>0.01822004205</v>
      </c>
      <c r="M116" s="1">
        <v>16.0</v>
      </c>
      <c r="N116" s="4">
        <v>26.0</v>
      </c>
      <c r="O116" s="4">
        <v>27.0</v>
      </c>
      <c r="P116" s="4">
        <v>28.0</v>
      </c>
      <c r="Q116" s="4">
        <v>32.0</v>
      </c>
      <c r="R116" s="4">
        <v>32.0</v>
      </c>
    </row>
    <row r="117">
      <c r="A117" s="1" t="s">
        <v>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4">
        <v>1320.0</v>
      </c>
      <c r="C118" s="4">
        <v>1319.0</v>
      </c>
      <c r="D118" s="4">
        <v>1318.0</v>
      </c>
      <c r="E118" s="4">
        <v>1317.0</v>
      </c>
      <c r="F118" s="4">
        <v>1324.0</v>
      </c>
      <c r="G118" s="1"/>
      <c r="H118" s="4">
        <v>1320.0</v>
      </c>
      <c r="I118" s="4">
        <v>1319.0</v>
      </c>
      <c r="J118" s="4">
        <v>1318.0</v>
      </c>
      <c r="K118" s="4">
        <v>1317.0</v>
      </c>
      <c r="L118" s="4">
        <v>1324.0</v>
      </c>
      <c r="M118" s="1"/>
      <c r="N118" s="4">
        <v>1320.0</v>
      </c>
      <c r="O118" s="4">
        <v>1319.0</v>
      </c>
      <c r="P118" s="4">
        <v>1318.0</v>
      </c>
      <c r="Q118" s="4">
        <v>1317.0</v>
      </c>
      <c r="R118" s="4">
        <v>1324.0</v>
      </c>
    </row>
    <row r="119">
      <c r="A119" s="1" t="s">
        <v>11</v>
      </c>
      <c r="B119" s="4">
        <v>700.0</v>
      </c>
      <c r="C119" s="4">
        <v>725.0</v>
      </c>
      <c r="D119" s="4">
        <v>750.0</v>
      </c>
      <c r="E119" s="4">
        <v>775.0</v>
      </c>
      <c r="F119" s="4">
        <v>800.0</v>
      </c>
      <c r="G119" s="1"/>
      <c r="H119" s="4">
        <v>700.0</v>
      </c>
      <c r="I119" s="4">
        <v>725.0</v>
      </c>
      <c r="J119" s="4">
        <v>750.0</v>
      </c>
      <c r="K119" s="4">
        <v>775.0</v>
      </c>
      <c r="L119" s="4">
        <v>800.0</v>
      </c>
      <c r="M119" s="1" t="s">
        <v>4</v>
      </c>
      <c r="N119" s="4">
        <v>700.0</v>
      </c>
      <c r="O119" s="4">
        <v>725.0</v>
      </c>
      <c r="P119" s="4">
        <v>750.0</v>
      </c>
      <c r="Q119" s="4">
        <v>775.0</v>
      </c>
      <c r="R119" s="4">
        <v>800.0</v>
      </c>
    </row>
    <row r="120">
      <c r="A120" s="1">
        <v>1.0</v>
      </c>
      <c r="B120" s="7">
        <f>146/4877</f>
        <v>0.02993643633</v>
      </c>
      <c r="C120" s="7">
        <f>268/7531</f>
        <v>0.03558624353</v>
      </c>
      <c r="D120" s="7">
        <f>460/10048</f>
        <v>0.04578025478</v>
      </c>
      <c r="E120" s="7">
        <f>574/10042</f>
        <v>0.0571599283</v>
      </c>
      <c r="F120" s="7">
        <f>795/10486</f>
        <v>0.07581537288</v>
      </c>
      <c r="G120" s="1"/>
      <c r="H120" s="7">
        <f>146/4877</f>
        <v>0.02993643633</v>
      </c>
      <c r="I120" s="7">
        <f>268/7531</f>
        <v>0.03558624353</v>
      </c>
      <c r="J120" s="7">
        <f>460/10048</f>
        <v>0.04578025478</v>
      </c>
      <c r="K120" s="7">
        <f>574/10042</f>
        <v>0.0571599283</v>
      </c>
      <c r="L120" s="7">
        <f>795/10486</f>
        <v>0.07581537288</v>
      </c>
      <c r="M120" s="1">
        <v>1.0</v>
      </c>
      <c r="N120" s="4">
        <v>24.0</v>
      </c>
      <c r="O120" s="4">
        <v>30.0</v>
      </c>
      <c r="P120" s="4">
        <v>32.0</v>
      </c>
      <c r="Q120" s="4">
        <v>32.0</v>
      </c>
      <c r="R120" s="4">
        <v>32.0</v>
      </c>
    </row>
    <row r="121">
      <c r="A121" s="1">
        <v>2.0</v>
      </c>
      <c r="B121" s="7">
        <f>239/7621</f>
        <v>0.03136071382</v>
      </c>
      <c r="C121" s="7">
        <f>340/9893</f>
        <v>0.03436773476</v>
      </c>
      <c r="D121" s="7">
        <f>680/11660</f>
        <v>0.05831903945</v>
      </c>
      <c r="E121" s="7">
        <f>879/11635</f>
        <v>0.07554791577</v>
      </c>
      <c r="F121" s="7">
        <f>1096/11935</f>
        <v>0.0918307499</v>
      </c>
      <c r="G121" s="1"/>
      <c r="H121" s="7">
        <f>239/7621</f>
        <v>0.03136071382</v>
      </c>
      <c r="I121" s="7">
        <f>340/9893</f>
        <v>0.03436773476</v>
      </c>
      <c r="J121" s="7">
        <f>680/11660</f>
        <v>0.05831903945</v>
      </c>
      <c r="K121" s="7">
        <f>879/11635</f>
        <v>0.07554791577</v>
      </c>
      <c r="L121" s="7">
        <f>1096/11935</f>
        <v>0.0918307499</v>
      </c>
      <c r="M121" s="1">
        <v>2.0</v>
      </c>
      <c r="N121" s="4">
        <v>32.0</v>
      </c>
      <c r="O121" s="4">
        <v>33.0</v>
      </c>
      <c r="P121" s="4">
        <v>34.0</v>
      </c>
      <c r="Q121" s="4">
        <v>34.0</v>
      </c>
      <c r="R121" s="4">
        <v>34.0</v>
      </c>
    </row>
    <row r="122">
      <c r="A122" s="1">
        <v>3.0</v>
      </c>
      <c r="B122" s="7">
        <f>407/8563</f>
        <v>0.04753007124</v>
      </c>
      <c r="C122" s="7">
        <f>604/10859</f>
        <v>0.05562206465</v>
      </c>
      <c r="D122" s="7">
        <f>1039/12241</f>
        <v>0.08487868638</v>
      </c>
      <c r="E122" s="7">
        <f>1174/12235</f>
        <v>0.09595422967</v>
      </c>
      <c r="F122" s="7">
        <f>1734/12794</f>
        <v>0.1355322808</v>
      </c>
      <c r="G122" s="1"/>
      <c r="H122" s="7">
        <f>407/8563</f>
        <v>0.04753007124</v>
      </c>
      <c r="I122" s="7">
        <f>604/10859</f>
        <v>0.05562206465</v>
      </c>
      <c r="J122" s="7">
        <f>144/12241</f>
        <v>0.01176374479</v>
      </c>
      <c r="K122" s="7">
        <f>199/12235</f>
        <v>0.01626481406</v>
      </c>
      <c r="L122" s="7">
        <f>336/12794</f>
        <v>0.02626231046</v>
      </c>
      <c r="M122" s="1">
        <v>3.0</v>
      </c>
      <c r="N122" s="4">
        <v>32.0</v>
      </c>
      <c r="O122" s="4">
        <v>33.0</v>
      </c>
      <c r="P122" s="4">
        <v>34.0</v>
      </c>
      <c r="Q122" s="4">
        <v>34.0</v>
      </c>
      <c r="R122" s="4">
        <v>34.0</v>
      </c>
    </row>
    <row r="123">
      <c r="A123" s="1">
        <v>4.0</v>
      </c>
      <c r="B123" s="7">
        <f t="shared" ref="B123:F123" si="1">0</f>
        <v>0</v>
      </c>
      <c r="C123" s="7">
        <f t="shared" si="1"/>
        <v>0</v>
      </c>
      <c r="D123" s="7">
        <f t="shared" si="1"/>
        <v>0</v>
      </c>
      <c r="E123" s="7">
        <f t="shared" si="1"/>
        <v>0</v>
      </c>
      <c r="F123" s="7">
        <f t="shared" si="1"/>
        <v>0</v>
      </c>
      <c r="G123" s="1"/>
      <c r="H123" s="10">
        <f t="shared" ref="H123:L123" si="2">0</f>
        <v>0</v>
      </c>
      <c r="I123" s="7">
        <f t="shared" si="2"/>
        <v>0</v>
      </c>
      <c r="J123" s="7">
        <f t="shared" si="2"/>
        <v>0</v>
      </c>
      <c r="K123" s="7">
        <f t="shared" si="2"/>
        <v>0</v>
      </c>
      <c r="L123" s="7">
        <f t="shared" si="2"/>
        <v>0</v>
      </c>
      <c r="M123" s="1">
        <v>4.0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</row>
    <row r="124">
      <c r="A124" s="1">
        <v>5.0</v>
      </c>
      <c r="B124" s="7">
        <f>278/8851</f>
        <v>0.03140888035</v>
      </c>
      <c r="C124" s="7">
        <f>690/11316</f>
        <v>0.06097560976</v>
      </c>
      <c r="D124" s="7">
        <f>1482/13178</f>
        <v>0.1124601609</v>
      </c>
      <c r="E124" s="7">
        <f>1721/13316</f>
        <v>0.1292430159</v>
      </c>
      <c r="F124" s="7">
        <f>2121/13383</f>
        <v>0.1584846447</v>
      </c>
      <c r="G124" s="1"/>
      <c r="H124" s="7">
        <f>278/8851</f>
        <v>0.03140888035</v>
      </c>
      <c r="I124" s="7">
        <f>690/11316</f>
        <v>0.06097560976</v>
      </c>
      <c r="J124" s="7">
        <f>169/13178</f>
        <v>0.01282440431</v>
      </c>
      <c r="K124" s="7">
        <f>247/13316</f>
        <v>0.01854911385</v>
      </c>
      <c r="L124" s="7">
        <f>415/13383</f>
        <v>0.03100948965</v>
      </c>
      <c r="M124" s="1">
        <v>5.0</v>
      </c>
      <c r="N124" s="4">
        <v>32.0</v>
      </c>
      <c r="O124" s="4">
        <v>34.0</v>
      </c>
      <c r="P124" s="4">
        <v>34.0</v>
      </c>
      <c r="Q124" s="4">
        <v>34.0</v>
      </c>
      <c r="R124" s="4">
        <v>34.0</v>
      </c>
    </row>
    <row r="125">
      <c r="A125" s="1">
        <v>6.0</v>
      </c>
      <c r="B125" s="7">
        <f>43/5959</f>
        <v>0.007215975835</v>
      </c>
      <c r="C125" s="7">
        <f>114/8722</f>
        <v>0.0130703967</v>
      </c>
      <c r="D125" s="7">
        <f>317/10906</f>
        <v>0.02906656886</v>
      </c>
      <c r="E125" s="7">
        <f>380/11071</f>
        <v>0.03432390931</v>
      </c>
      <c r="F125" s="7">
        <f>501/11058</f>
        <v>0.04530656538</v>
      </c>
      <c r="G125" s="1"/>
      <c r="H125" s="7">
        <f>43/5959</f>
        <v>0.007215975835</v>
      </c>
      <c r="I125" s="7">
        <f>114/8722</f>
        <v>0.0130703967</v>
      </c>
      <c r="J125" s="7">
        <f>317/10906</f>
        <v>0.02906656886</v>
      </c>
      <c r="K125" s="7">
        <f>380/11071</f>
        <v>0.03432390931</v>
      </c>
      <c r="L125" s="7">
        <f>501/11058</f>
        <v>0.04530656538</v>
      </c>
      <c r="M125" s="1">
        <v>6.0</v>
      </c>
      <c r="N125" s="4">
        <v>26.0</v>
      </c>
      <c r="O125" s="4">
        <v>30.0</v>
      </c>
      <c r="P125" s="4">
        <v>32.0</v>
      </c>
      <c r="Q125" s="4">
        <v>32.0</v>
      </c>
      <c r="R125" s="4">
        <v>32.0</v>
      </c>
    </row>
    <row r="126">
      <c r="A126" s="1">
        <v>7.0</v>
      </c>
      <c r="B126" s="7">
        <f>20/5160</f>
        <v>0.003875968992</v>
      </c>
      <c r="C126" s="7">
        <f>72/8097</f>
        <v>0.00889218229</v>
      </c>
      <c r="D126" s="7">
        <f>163/10235</f>
        <v>0.01592574499</v>
      </c>
      <c r="E126" s="7">
        <f>212/10354</f>
        <v>0.02047517867</v>
      </c>
      <c r="F126" s="7">
        <f>316/10393</f>
        <v>0.03040508034</v>
      </c>
      <c r="G126" s="1"/>
      <c r="H126" s="7">
        <f>20/5160</f>
        <v>0.003875968992</v>
      </c>
      <c r="I126" s="7">
        <f>72/8097</f>
        <v>0.00889218229</v>
      </c>
      <c r="J126" s="7">
        <f>163/10235</f>
        <v>0.01592574499</v>
      </c>
      <c r="K126" s="7">
        <f>212/10354</f>
        <v>0.02047517867</v>
      </c>
      <c r="L126" s="7">
        <f>316/10393</f>
        <v>0.03040508034</v>
      </c>
      <c r="M126" s="1">
        <v>7.0</v>
      </c>
      <c r="N126" s="4">
        <v>26.0</v>
      </c>
      <c r="O126" s="4">
        <v>30.0</v>
      </c>
      <c r="P126" s="4">
        <v>32.0</v>
      </c>
      <c r="Q126" s="4">
        <v>32.0</v>
      </c>
      <c r="R126" s="4">
        <v>32.0</v>
      </c>
    </row>
    <row r="127">
      <c r="A127" s="1">
        <v>8.0</v>
      </c>
      <c r="B127" s="7">
        <f>279/6642</f>
        <v>0.04200542005</v>
      </c>
      <c r="C127" s="7">
        <f>473/9329</f>
        <v>0.05070211169</v>
      </c>
      <c r="D127" s="7">
        <f>911/11253</f>
        <v>0.08095618946</v>
      </c>
      <c r="E127" s="7">
        <f>968/11339</f>
        <v>0.08536908017</v>
      </c>
      <c r="F127" s="7">
        <f>1252/11463</f>
        <v>0.1092209718</v>
      </c>
      <c r="G127" s="1"/>
      <c r="H127" s="7">
        <f>279/6642</f>
        <v>0.04200542005</v>
      </c>
      <c r="I127" s="7">
        <f>473/9329</f>
        <v>0.05070211169</v>
      </c>
      <c r="J127" s="7">
        <f>147/11253</f>
        <v>0.01306318315</v>
      </c>
      <c r="K127" s="7">
        <f>183/11339</f>
        <v>0.01613898933</v>
      </c>
      <c r="L127" s="7">
        <f>256/11463</f>
        <v>0.02233272267</v>
      </c>
      <c r="M127" s="1">
        <v>8.0</v>
      </c>
      <c r="N127" s="4">
        <v>32.0</v>
      </c>
      <c r="O127" s="4">
        <v>34.0</v>
      </c>
      <c r="P127" s="4">
        <v>35.0</v>
      </c>
      <c r="Q127" s="4">
        <v>35.0</v>
      </c>
      <c r="R127" s="4">
        <v>35.0</v>
      </c>
    </row>
    <row r="128">
      <c r="A128" s="1">
        <v>9.0</v>
      </c>
      <c r="B128" s="7">
        <f>8/3082</f>
        <v>0.002595717067</v>
      </c>
      <c r="C128" s="7">
        <f>32/5591</f>
        <v>0.005723484171</v>
      </c>
      <c r="D128" s="7">
        <f>65/8128</f>
        <v>0.007997047244</v>
      </c>
      <c r="E128" s="7">
        <f>77/8268</f>
        <v>0.00931301403</v>
      </c>
      <c r="F128" s="7">
        <f>134/8402</f>
        <v>0.01594858367</v>
      </c>
      <c r="G128" s="1"/>
      <c r="H128" s="7">
        <f>8/3082</f>
        <v>0.002595717067</v>
      </c>
      <c r="I128" s="7">
        <f>32/5591</f>
        <v>0.005723484171</v>
      </c>
      <c r="J128" s="7">
        <f>65/8128</f>
        <v>0.007997047244</v>
      </c>
      <c r="K128" s="7">
        <f>77/8268</f>
        <v>0.00931301403</v>
      </c>
      <c r="L128" s="7">
        <f>134/8402</f>
        <v>0.01594858367</v>
      </c>
      <c r="M128" s="1">
        <v>9.0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</row>
    <row r="129">
      <c r="A129" s="1">
        <v>10.0</v>
      </c>
      <c r="B129" s="7">
        <f>31/5363</f>
        <v>0.005780346821</v>
      </c>
      <c r="C129" s="7">
        <f>70/8168</f>
        <v>0.008570029383</v>
      </c>
      <c r="D129" s="7">
        <f>170/10210</f>
        <v>0.0166503428</v>
      </c>
      <c r="E129" s="7">
        <f>228/10431</f>
        <v>0.0218579235</v>
      </c>
      <c r="F129" s="7">
        <f>332/10241</f>
        <v>0.03241870911</v>
      </c>
      <c r="G129" s="1"/>
      <c r="H129" s="7">
        <f>31/5363</f>
        <v>0.005780346821</v>
      </c>
      <c r="I129" s="7">
        <f>70/8168</f>
        <v>0.008570029383</v>
      </c>
      <c r="J129" s="7">
        <f>170/10210</f>
        <v>0.0166503428</v>
      </c>
      <c r="K129" s="7">
        <f>228/10431</f>
        <v>0.0218579235</v>
      </c>
      <c r="L129" s="7">
        <f>332/10241</f>
        <v>0.03241870911</v>
      </c>
      <c r="M129" s="1">
        <v>10.0</v>
      </c>
      <c r="N129" s="4">
        <v>24.0</v>
      </c>
      <c r="O129" s="4">
        <v>30.0</v>
      </c>
      <c r="P129" s="4">
        <v>32.0</v>
      </c>
      <c r="Q129" s="4">
        <v>32.0</v>
      </c>
      <c r="R129" s="4">
        <v>32.0</v>
      </c>
    </row>
    <row r="130">
      <c r="A130" s="1">
        <v>11.0</v>
      </c>
      <c r="B130" s="7">
        <f>720/10578</f>
        <v>0.06806579694</v>
      </c>
      <c r="C130" s="7">
        <f>1164/12823</f>
        <v>0.09077438977</v>
      </c>
      <c r="D130" s="7">
        <f>1661/13807</f>
        <v>0.1203012964</v>
      </c>
      <c r="E130" s="7">
        <f>1979/13953</f>
        <v>0.1418332975</v>
      </c>
      <c r="F130" s="7">
        <f>8005/13455</f>
        <v>0.5949461167</v>
      </c>
      <c r="G130" s="1"/>
      <c r="H130" s="7">
        <f>720/10578</f>
        <v>0.06806579694</v>
      </c>
      <c r="I130" s="7">
        <f>112/12823</f>
        <v>0.008734305545</v>
      </c>
      <c r="J130" s="7">
        <f>139/13807</f>
        <v>0.01006735714</v>
      </c>
      <c r="K130" s="7">
        <f>213/13953</f>
        <v>0.01526553429</v>
      </c>
      <c r="L130" s="7">
        <f>4633/13455</f>
        <v>0.3443329617</v>
      </c>
      <c r="M130" s="1">
        <v>11.0</v>
      </c>
      <c r="N130" s="4">
        <v>32.0</v>
      </c>
      <c r="O130" s="4">
        <v>34.0</v>
      </c>
      <c r="P130" s="4">
        <v>34.0</v>
      </c>
      <c r="Q130" s="4">
        <v>34.0</v>
      </c>
      <c r="R130" s="4">
        <v>34.0</v>
      </c>
    </row>
    <row r="131">
      <c r="A131" s="1">
        <v>12.0</v>
      </c>
      <c r="B131" s="7">
        <f>609/10596</f>
        <v>0.05747451869</v>
      </c>
      <c r="C131" s="7">
        <f>1112/12829</f>
        <v>0.08667861875</v>
      </c>
      <c r="D131" s="7">
        <f>1571/13713</f>
        <v>0.1145628236</v>
      </c>
      <c r="E131" s="7">
        <f>1833/13735</f>
        <v>0.1334546778</v>
      </c>
      <c r="F131" s="7">
        <f>2317/13761</f>
        <v>0.1683743914</v>
      </c>
      <c r="G131" s="1"/>
      <c r="H131" s="7">
        <f>609/10596</f>
        <v>0.05747451869</v>
      </c>
      <c r="I131" s="7">
        <f>99/12829</f>
        <v>0.007716891418</v>
      </c>
      <c r="J131" s="7">
        <f>158/13713</f>
        <v>0.01152191351</v>
      </c>
      <c r="K131" s="7">
        <f>208/13735</f>
        <v>0.01514379323</v>
      </c>
      <c r="L131" s="7">
        <f>336/13761</f>
        <v>0.02441683017</v>
      </c>
      <c r="M131" s="1">
        <v>12.0</v>
      </c>
      <c r="N131" s="4">
        <v>32.0</v>
      </c>
      <c r="O131" s="4">
        <v>34.0</v>
      </c>
      <c r="P131" s="4">
        <v>34.0</v>
      </c>
      <c r="Q131" s="4">
        <v>34.0</v>
      </c>
      <c r="R131" s="4">
        <v>34.0</v>
      </c>
    </row>
    <row r="132">
      <c r="A132" s="1">
        <v>13.0</v>
      </c>
      <c r="B132" s="7">
        <f>276/6982</f>
        <v>0.03953022057</v>
      </c>
      <c r="C132" s="7">
        <f>630/10343</f>
        <v>0.0609107609</v>
      </c>
      <c r="D132" s="7">
        <f>1667/13179</f>
        <v>0.1264891115</v>
      </c>
      <c r="E132" s="7">
        <f>1820/12999</f>
        <v>0.1400107701</v>
      </c>
      <c r="F132" s="7">
        <f>2931/13933</f>
        <v>0.2103638843</v>
      </c>
      <c r="G132" s="1"/>
      <c r="H132" s="7">
        <f>276/6982</f>
        <v>0.03953022057</v>
      </c>
      <c r="I132" s="7">
        <f>630/10343</f>
        <v>0.0609107609</v>
      </c>
      <c r="J132" s="7">
        <f>444/13179</f>
        <v>0.0336899613</v>
      </c>
      <c r="K132" s="7">
        <f>421/12999</f>
        <v>0.0323871067</v>
      </c>
      <c r="L132" s="7">
        <f>796/13933</f>
        <v>0.05713055336</v>
      </c>
      <c r="M132" s="1">
        <v>13.0</v>
      </c>
      <c r="N132" s="4">
        <v>26.0</v>
      </c>
      <c r="O132" s="4">
        <v>30.0</v>
      </c>
      <c r="P132" s="4">
        <v>32.0</v>
      </c>
      <c r="Q132" s="4">
        <v>32.0</v>
      </c>
      <c r="R132" s="4">
        <v>32.0</v>
      </c>
    </row>
    <row r="133">
      <c r="A133" s="1">
        <v>14.0</v>
      </c>
      <c r="B133" s="7">
        <f>284/7650</f>
        <v>0.03712418301</v>
      </c>
      <c r="C133" s="7">
        <f>629/10727</f>
        <v>0.05863708399</v>
      </c>
      <c r="D133" s="7">
        <f>1452/13074</f>
        <v>0.1110601193</v>
      </c>
      <c r="E133" s="7">
        <f>1682/12969</f>
        <v>0.1296938854</v>
      </c>
      <c r="F133" s="7">
        <f>1973/13066</f>
        <v>0.1510026022</v>
      </c>
      <c r="G133" s="1"/>
      <c r="H133" s="7">
        <f>284/7650</f>
        <v>0.03712418301</v>
      </c>
      <c r="I133" s="7">
        <f>629/10727</f>
        <v>0.05863708399</v>
      </c>
      <c r="J133" s="7">
        <f>228/13074</f>
        <v>0.01743919229</v>
      </c>
      <c r="K133" s="7">
        <f>299/12969</f>
        <v>0.02305497725</v>
      </c>
      <c r="L133" s="7">
        <f>511/13066</f>
        <v>0.03910913822</v>
      </c>
      <c r="M133" s="1">
        <v>14.0</v>
      </c>
      <c r="N133" s="4">
        <v>26.0</v>
      </c>
      <c r="O133" s="4">
        <v>30.0</v>
      </c>
      <c r="P133" s="4">
        <v>32.0</v>
      </c>
      <c r="Q133" s="4">
        <v>32.0</v>
      </c>
      <c r="R133" s="4">
        <v>32.0</v>
      </c>
    </row>
    <row r="134">
      <c r="A134" s="1">
        <v>15.0</v>
      </c>
      <c r="B134" s="7">
        <f>355/8870</f>
        <v>0.04002254791</v>
      </c>
      <c r="C134" s="7">
        <f>730/11298</f>
        <v>0.06461320588</v>
      </c>
      <c r="D134" s="7">
        <f>1554/13276</f>
        <v>0.1170533293</v>
      </c>
      <c r="E134" s="7">
        <f>1684/13138</f>
        <v>0.1281778048</v>
      </c>
      <c r="F134" s="7">
        <f>2184/13426</f>
        <v>0.1626694473</v>
      </c>
      <c r="G134" s="1"/>
      <c r="H134" s="7">
        <f>355/8870</f>
        <v>0.04002254791</v>
      </c>
      <c r="I134" s="7">
        <f>730/11298</f>
        <v>0.06461320588</v>
      </c>
      <c r="J134" s="7">
        <f>291/13276</f>
        <v>0.02191925279</v>
      </c>
      <c r="K134" s="7">
        <f>320/13138</f>
        <v>0.02435682752</v>
      </c>
      <c r="L134" s="7">
        <f>452/13426</f>
        <v>0.03366602115</v>
      </c>
      <c r="M134" s="1">
        <v>15.0</v>
      </c>
      <c r="N134" s="4">
        <v>30.0</v>
      </c>
      <c r="O134" s="4">
        <v>33.0</v>
      </c>
      <c r="P134" s="4">
        <v>34.0</v>
      </c>
      <c r="Q134" s="4">
        <v>34.0</v>
      </c>
      <c r="R134" s="4">
        <v>34.0</v>
      </c>
    </row>
    <row r="135">
      <c r="A135" s="1">
        <v>16.0</v>
      </c>
      <c r="B135" s="7">
        <f t="shared" ref="B135:F135" si="3">0</f>
        <v>0</v>
      </c>
      <c r="C135" s="7">
        <f t="shared" si="3"/>
        <v>0</v>
      </c>
      <c r="D135" s="7">
        <f t="shared" si="3"/>
        <v>0</v>
      </c>
      <c r="E135" s="7">
        <f t="shared" si="3"/>
        <v>0</v>
      </c>
      <c r="F135" s="7">
        <f t="shared" si="3"/>
        <v>0</v>
      </c>
      <c r="G135" s="1"/>
      <c r="H135" s="10">
        <f t="shared" ref="H135:L135" si="4">0</f>
        <v>0</v>
      </c>
      <c r="I135" s="10">
        <f t="shared" si="4"/>
        <v>0</v>
      </c>
      <c r="J135" s="10">
        <f t="shared" si="4"/>
        <v>0</v>
      </c>
      <c r="K135" s="10">
        <f t="shared" si="4"/>
        <v>0</v>
      </c>
      <c r="L135" s="10">
        <f t="shared" si="4"/>
        <v>0</v>
      </c>
      <c r="M135" s="1">
        <v>16.0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</row>
    <row r="136">
      <c r="A136" s="1" t="s">
        <v>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4">
        <v>1352.0</v>
      </c>
      <c r="C137" s="4">
        <v>1354.0</v>
      </c>
      <c r="D137" s="4">
        <v>1386.0</v>
      </c>
      <c r="E137" s="4">
        <v>1355.0</v>
      </c>
      <c r="F137" s="4">
        <v>1356.0</v>
      </c>
      <c r="G137" s="1"/>
      <c r="H137" s="4">
        <v>1352.0</v>
      </c>
      <c r="I137" s="4">
        <v>1354.0</v>
      </c>
      <c r="J137" s="4">
        <v>1386.0</v>
      </c>
      <c r="K137" s="4">
        <v>1355.0</v>
      </c>
      <c r="L137" s="4">
        <v>1356.0</v>
      </c>
      <c r="M137" s="1"/>
      <c r="N137" s="4">
        <v>1352.0</v>
      </c>
      <c r="O137" s="4">
        <v>1354.0</v>
      </c>
      <c r="P137" s="4">
        <v>1386.0</v>
      </c>
      <c r="Q137" s="4">
        <v>1355.0</v>
      </c>
      <c r="R137" s="4">
        <v>1356.0</v>
      </c>
    </row>
    <row r="138">
      <c r="A138" s="1" t="s">
        <v>12</v>
      </c>
      <c r="B138" s="4">
        <v>700.0</v>
      </c>
      <c r="C138" s="4">
        <v>725.0</v>
      </c>
      <c r="D138" s="4">
        <v>750.0</v>
      </c>
      <c r="E138" s="4">
        <v>775.0</v>
      </c>
      <c r="F138" s="4">
        <v>800.0</v>
      </c>
      <c r="G138" s="1"/>
      <c r="H138" s="4">
        <v>700.0</v>
      </c>
      <c r="I138" s="4">
        <v>725.0</v>
      </c>
      <c r="J138" s="4">
        <v>750.0</v>
      </c>
      <c r="K138" s="4">
        <v>775.0</v>
      </c>
      <c r="L138" s="4">
        <v>800.0</v>
      </c>
      <c r="M138" s="1" t="s">
        <v>4</v>
      </c>
      <c r="N138" s="4">
        <v>700.0</v>
      </c>
      <c r="O138" s="4">
        <v>725.0</v>
      </c>
      <c r="P138" s="4">
        <v>750.0</v>
      </c>
      <c r="Q138" s="4">
        <v>775.0</v>
      </c>
      <c r="R138" s="4">
        <v>800.0</v>
      </c>
    </row>
    <row r="139">
      <c r="A139" s="1">
        <v>1.0</v>
      </c>
      <c r="B139" s="7">
        <f>1/1588</f>
        <v>0.0006297229219</v>
      </c>
      <c r="C139" s="7">
        <f>13/3100</f>
        <v>0.004193548387</v>
      </c>
      <c r="D139" s="7">
        <f>56/5954</f>
        <v>0.00940544172</v>
      </c>
      <c r="E139" s="7">
        <f>86/7812</f>
        <v>0.01100870456</v>
      </c>
      <c r="F139" s="7">
        <f>153/9451</f>
        <v>0.01618876309</v>
      </c>
      <c r="G139" s="1"/>
      <c r="H139" s="7">
        <f>1/1588</f>
        <v>0.0006297229219</v>
      </c>
      <c r="I139" s="7">
        <f>13/3100</f>
        <v>0.004193548387</v>
      </c>
      <c r="J139" s="7">
        <f>56/5954</f>
        <v>0.00940544172</v>
      </c>
      <c r="K139" s="7">
        <f>86/7812</f>
        <v>0.01100870456</v>
      </c>
      <c r="L139" s="7">
        <f>153/9451</f>
        <v>0.01618876309</v>
      </c>
      <c r="M139" s="1">
        <v>1.0</v>
      </c>
      <c r="N139" s="4">
        <v>24.0</v>
      </c>
      <c r="O139" s="4">
        <v>24.0</v>
      </c>
      <c r="P139" s="4">
        <v>24.0</v>
      </c>
      <c r="Q139" s="4">
        <v>25.0</v>
      </c>
      <c r="R139" s="4">
        <v>26.0</v>
      </c>
    </row>
    <row r="140">
      <c r="A140" s="1">
        <v>2.0</v>
      </c>
      <c r="B140" s="7">
        <f>104/5305</f>
        <v>0.01960414703</v>
      </c>
      <c r="C140" s="7">
        <f>191/7562</f>
        <v>0.02525786829</v>
      </c>
      <c r="D140" s="7">
        <f>457/10633</f>
        <v>0.04297940374</v>
      </c>
      <c r="E140" s="7">
        <f>583/11307</f>
        <v>0.05156097992</v>
      </c>
      <c r="F140" s="7">
        <f>1452/12659</f>
        <v>0.1147010032</v>
      </c>
      <c r="G140" s="1"/>
      <c r="H140" s="7">
        <f>104/5305</f>
        <v>0.01960414703</v>
      </c>
      <c r="I140" s="7">
        <f>191/7562</f>
        <v>0.02525786829</v>
      </c>
      <c r="J140" s="7">
        <f>457/10633</f>
        <v>0.04297940374</v>
      </c>
      <c r="K140" s="7">
        <f>583/11307</f>
        <v>0.05156097992</v>
      </c>
      <c r="L140" s="12"/>
      <c r="M140" s="1">
        <v>2.0</v>
      </c>
      <c r="N140" s="4">
        <v>26.0</v>
      </c>
      <c r="O140" s="4">
        <v>26.0</v>
      </c>
      <c r="P140" s="4">
        <v>28.0</v>
      </c>
      <c r="Q140" s="4">
        <v>30.0</v>
      </c>
      <c r="R140" s="4">
        <v>32.0</v>
      </c>
    </row>
    <row r="141">
      <c r="A141" s="1">
        <v>3.0</v>
      </c>
      <c r="B141" s="7">
        <f>39/5089</f>
        <v>0.007663588131</v>
      </c>
      <c r="C141" s="7">
        <f>68/7445</f>
        <v>0.009133646743</v>
      </c>
      <c r="D141" s="7">
        <f>218/10433</f>
        <v>0.02089523627</v>
      </c>
      <c r="E141" s="7">
        <f>383/11246</f>
        <v>0.03405655344</v>
      </c>
      <c r="F141" s="7">
        <f>1003/12387</f>
        <v>0.08097198676</v>
      </c>
      <c r="G141" s="1"/>
      <c r="H141" s="7">
        <f>39/5089</f>
        <v>0.007663588131</v>
      </c>
      <c r="I141" s="7">
        <f>68/7445</f>
        <v>0.009133646743</v>
      </c>
      <c r="J141" s="7">
        <f>218/10433</f>
        <v>0.02089523627</v>
      </c>
      <c r="K141" s="7">
        <f>383/11246</f>
        <v>0.03405655344</v>
      </c>
      <c r="L141" s="7">
        <f>1003/12387</f>
        <v>0.08097198676</v>
      </c>
      <c r="M141" s="1">
        <v>3.0</v>
      </c>
      <c r="N141" s="4">
        <v>26.0</v>
      </c>
      <c r="O141" s="4">
        <v>26.0</v>
      </c>
      <c r="P141" s="4">
        <v>26.0</v>
      </c>
      <c r="Q141" s="4">
        <v>30.0</v>
      </c>
      <c r="R141" s="4">
        <v>34.0</v>
      </c>
    </row>
    <row r="142">
      <c r="A142" s="1">
        <v>4.0</v>
      </c>
      <c r="B142" s="7">
        <f>85/6891</f>
        <v>0.01233492962</v>
      </c>
      <c r="C142" s="7">
        <f>173/9081</f>
        <v>0.01905076533</v>
      </c>
      <c r="D142" s="7">
        <f>511/11891</f>
        <v>0.04297367757</v>
      </c>
      <c r="E142" s="7">
        <f>686/12147</f>
        <v>0.05647484976</v>
      </c>
      <c r="F142" s="7">
        <f>1665/13555</f>
        <v>0.122832903</v>
      </c>
      <c r="G142" s="1"/>
      <c r="H142" s="7">
        <f>85/6891</f>
        <v>0.01233492962</v>
      </c>
      <c r="I142" s="7">
        <f>173/9081</f>
        <v>0.01905076533</v>
      </c>
      <c r="J142" s="7">
        <f>511/11891</f>
        <v>0.04297367757</v>
      </c>
      <c r="K142" s="7">
        <f>686/12147</f>
        <v>0.05647484976</v>
      </c>
      <c r="L142" s="12"/>
      <c r="M142" s="1">
        <v>4.0</v>
      </c>
      <c r="N142" s="4">
        <v>26.0</v>
      </c>
      <c r="O142" s="4">
        <v>28.0</v>
      </c>
      <c r="P142" s="4">
        <v>30.0</v>
      </c>
      <c r="Q142" s="4">
        <v>32.0</v>
      </c>
      <c r="R142" s="4">
        <v>34.0</v>
      </c>
    </row>
    <row r="143">
      <c r="A143" s="1">
        <v>5.0</v>
      </c>
      <c r="B143" s="7">
        <f>252/6503</f>
        <v>0.03875134553</v>
      </c>
      <c r="C143" s="7">
        <f>423/9078</f>
        <v>0.04659616656</v>
      </c>
      <c r="D143" s="7">
        <f>1442/12075</f>
        <v>0.1194202899</v>
      </c>
      <c r="E143" s="7">
        <f>2147/13376</f>
        <v>0.1605113636</v>
      </c>
      <c r="F143" s="7">
        <f>7312/19233</f>
        <v>0.3801798991</v>
      </c>
      <c r="G143" s="1"/>
      <c r="H143" s="7">
        <f>252/6503</f>
        <v>0.03875134553</v>
      </c>
      <c r="I143" s="7">
        <f>423/9078</f>
        <v>0.04659616656</v>
      </c>
      <c r="J143" s="9">
        <f>352/12075</f>
        <v>0.02915113872</v>
      </c>
      <c r="K143" s="9">
        <f>623/13376</f>
        <v>0.04657595694</v>
      </c>
      <c r="L143" s="12"/>
      <c r="M143" s="1">
        <v>5.0</v>
      </c>
      <c r="N143" s="4">
        <v>28.0</v>
      </c>
      <c r="O143" s="4">
        <v>28.0</v>
      </c>
      <c r="P143" s="4">
        <v>30.0</v>
      </c>
      <c r="Q143" s="4">
        <v>32.0</v>
      </c>
      <c r="R143" s="4">
        <v>34.0</v>
      </c>
    </row>
    <row r="144">
      <c r="A144" s="1">
        <v>6.0</v>
      </c>
      <c r="B144" s="7">
        <f>89/6410</f>
        <v>0.01388455538</v>
      </c>
      <c r="C144" s="7">
        <f>180/8640</f>
        <v>0.02083333333</v>
      </c>
      <c r="D144" s="7">
        <f>915/11757</f>
        <v>0.07782597601</v>
      </c>
      <c r="E144" s="7">
        <f>1021/12537</f>
        <v>0.08143894074</v>
      </c>
      <c r="F144" s="7">
        <f>3105/15334</f>
        <v>0.202491196</v>
      </c>
      <c r="G144" s="1"/>
      <c r="H144" s="8">
        <f>89/6410</f>
        <v>0.01388455538</v>
      </c>
      <c r="I144" s="8">
        <f>180/8640</f>
        <v>0.02083333333</v>
      </c>
      <c r="J144" s="9">
        <f>176/11757</f>
        <v>0.01496980522</v>
      </c>
      <c r="K144" s="9">
        <f>218/12537</f>
        <v>0.01738852995</v>
      </c>
      <c r="L144" s="12"/>
      <c r="M144" s="1">
        <v>6.0</v>
      </c>
      <c r="N144" s="4">
        <v>27.0</v>
      </c>
      <c r="O144" s="4">
        <v>27.0</v>
      </c>
      <c r="P144" s="4">
        <v>30.0</v>
      </c>
      <c r="Q144" s="4">
        <v>30.0</v>
      </c>
      <c r="R144" s="4">
        <v>34.0</v>
      </c>
    </row>
    <row r="145">
      <c r="A145" s="1">
        <v>7.0</v>
      </c>
      <c r="B145" s="7">
        <f>68/5840</f>
        <v>0.01164383562</v>
      </c>
      <c r="C145" s="7">
        <f>121/8286</f>
        <v>0.01460294473</v>
      </c>
      <c r="D145" s="7">
        <f>540/11149</f>
        <v>0.04843483721</v>
      </c>
      <c r="E145" s="7">
        <f>598/11741</f>
        <v>0.05093262925</v>
      </c>
      <c r="F145" s="7">
        <f>1461/13249</f>
        <v>0.1102724734</v>
      </c>
      <c r="G145" s="1"/>
      <c r="H145" s="7">
        <f>68/5840</f>
        <v>0.01164383562</v>
      </c>
      <c r="I145" s="7">
        <f>121/8286</f>
        <v>0.01460294473</v>
      </c>
      <c r="J145" s="7">
        <f>540/11149</f>
        <v>0.04843483721</v>
      </c>
      <c r="K145" s="7">
        <f>598/11741</f>
        <v>0.05093262925</v>
      </c>
      <c r="L145" s="12"/>
      <c r="M145" s="1">
        <v>7.0</v>
      </c>
      <c r="N145" s="4">
        <v>28.0</v>
      </c>
      <c r="O145" s="4">
        <v>28.0</v>
      </c>
      <c r="P145" s="4">
        <v>32.0</v>
      </c>
      <c r="Q145" s="4">
        <v>32.0</v>
      </c>
      <c r="R145" s="4">
        <v>34.0</v>
      </c>
    </row>
    <row r="146">
      <c r="A146" s="1">
        <v>8.0</v>
      </c>
      <c r="B146" s="7">
        <f>78/4770</f>
        <v>0.01635220126</v>
      </c>
      <c r="C146" s="7">
        <f>130/7202</f>
        <v>0.01805054152</v>
      </c>
      <c r="D146" s="7">
        <f>526/10369</f>
        <v>0.05072813193</v>
      </c>
      <c r="E146" s="7">
        <f>567/11175</f>
        <v>0.05073825503</v>
      </c>
      <c r="F146" s="7">
        <f>1435/12829</f>
        <v>0.1118559514</v>
      </c>
      <c r="G146" s="1"/>
      <c r="H146" s="7">
        <f>78/4770</f>
        <v>0.01635220126</v>
      </c>
      <c r="I146" s="7">
        <f>130/7202</f>
        <v>0.01805054152</v>
      </c>
      <c r="J146" s="7">
        <f>526/10369</f>
        <v>0.05072813193</v>
      </c>
      <c r="K146" s="7">
        <f>567/11175</f>
        <v>0.05073825503</v>
      </c>
      <c r="L146" s="12"/>
      <c r="M146" s="1">
        <v>8.0</v>
      </c>
      <c r="N146" s="4">
        <v>26.0</v>
      </c>
      <c r="O146" s="4">
        <v>27.0</v>
      </c>
      <c r="P146" s="4">
        <v>32.0</v>
      </c>
      <c r="Q146" s="4">
        <v>32.0</v>
      </c>
      <c r="R146" s="4">
        <v>34.0</v>
      </c>
    </row>
    <row r="147">
      <c r="A147" s="1">
        <v>9.0</v>
      </c>
      <c r="B147" s="7">
        <f>42/4325</f>
        <v>0.009710982659</v>
      </c>
      <c r="C147" s="7">
        <f>72/6681</f>
        <v>0.01077682982</v>
      </c>
      <c r="D147" s="7">
        <f>230/10015</f>
        <v>0.02296555167</v>
      </c>
      <c r="E147" s="7">
        <f>256/10724</f>
        <v>0.02387168967</v>
      </c>
      <c r="F147" s="7">
        <f>638/12028</f>
        <v>0.0530428999</v>
      </c>
      <c r="G147" s="1"/>
      <c r="H147" s="7">
        <f>42/4325</f>
        <v>0.009710982659</v>
      </c>
      <c r="I147" s="7">
        <f>72/6681</f>
        <v>0.01077682982</v>
      </c>
      <c r="J147" s="7">
        <f>230/10015</f>
        <v>0.02296555167</v>
      </c>
      <c r="K147" s="7">
        <f>256/10724</f>
        <v>0.02387168967</v>
      </c>
      <c r="L147" s="7">
        <f>638/12028</f>
        <v>0.0530428999</v>
      </c>
      <c r="M147" s="1">
        <v>9.0</v>
      </c>
      <c r="N147" s="4">
        <v>25.0</v>
      </c>
      <c r="O147" s="4">
        <v>25.0</v>
      </c>
      <c r="P147" s="4">
        <v>26.0</v>
      </c>
      <c r="Q147" s="4">
        <v>30.0</v>
      </c>
      <c r="R147" s="4">
        <v>32.0</v>
      </c>
    </row>
    <row r="148">
      <c r="A148" s="1">
        <v>10.0</v>
      </c>
      <c r="B148" s="7">
        <f>20/4109</f>
        <v>0.004867364322</v>
      </c>
      <c r="C148" s="7">
        <f>50/6491</f>
        <v>0.007702973348</v>
      </c>
      <c r="D148" s="7">
        <f>192/9806</f>
        <v>0.01957984907</v>
      </c>
      <c r="E148" s="7">
        <f>270/10726</f>
        <v>0.02517247809</v>
      </c>
      <c r="F148" s="7">
        <f>575/12142</f>
        <v>0.04735628397</v>
      </c>
      <c r="G148" s="1"/>
      <c r="H148" s="7">
        <f>20/4109</f>
        <v>0.004867364322</v>
      </c>
      <c r="I148" s="7">
        <f>50/6491</f>
        <v>0.007702973348</v>
      </c>
      <c r="J148" s="7">
        <f>192/9806</f>
        <v>0.01957984907</v>
      </c>
      <c r="K148" s="7">
        <f>270/10726</f>
        <v>0.02517247809</v>
      </c>
      <c r="L148" s="7">
        <f>575/12142</f>
        <v>0.04735628397</v>
      </c>
      <c r="M148" s="1">
        <v>10.0</v>
      </c>
      <c r="N148" s="4">
        <v>26.0</v>
      </c>
      <c r="O148" s="4">
        <v>26.0</v>
      </c>
      <c r="P148" s="4">
        <v>26.0</v>
      </c>
      <c r="Q148" s="4">
        <v>32.0</v>
      </c>
      <c r="R148" s="4">
        <v>34.0</v>
      </c>
    </row>
    <row r="149">
      <c r="A149" s="1">
        <v>11.0</v>
      </c>
      <c r="B149" s="7">
        <f>78/6284</f>
        <v>0.01241247613</v>
      </c>
      <c r="C149" s="7">
        <f>145/8312</f>
        <v>0.01744465833</v>
      </c>
      <c r="D149" s="7">
        <f>330/11383</f>
        <v>0.02899060002</v>
      </c>
      <c r="E149" s="7">
        <f>557/11703</f>
        <v>0.04759463385</v>
      </c>
      <c r="F149" s="7">
        <f>1088/13007</f>
        <v>0.08364726686</v>
      </c>
      <c r="G149" s="1"/>
      <c r="H149" s="7">
        <f>78/6284</f>
        <v>0.01241247613</v>
      </c>
      <c r="I149" s="7">
        <f>145/8312</f>
        <v>0.01744465833</v>
      </c>
      <c r="J149" s="7">
        <f>330/11383</f>
        <v>0.02899060002</v>
      </c>
      <c r="K149" s="7">
        <f>557/11703</f>
        <v>0.04759463385</v>
      </c>
      <c r="L149" s="7">
        <f>1088/13007</f>
        <v>0.08364726686</v>
      </c>
      <c r="M149" s="1">
        <v>11.0</v>
      </c>
      <c r="N149" s="4">
        <v>28.0</v>
      </c>
      <c r="O149" s="4">
        <v>30.0</v>
      </c>
      <c r="P149" s="4">
        <v>30.0</v>
      </c>
      <c r="Q149" s="4">
        <v>32.0</v>
      </c>
      <c r="R149" s="4">
        <v>34.0</v>
      </c>
    </row>
    <row r="150">
      <c r="A150" s="1">
        <v>12.0</v>
      </c>
      <c r="B150" s="7">
        <f>21/3951</f>
        <v>0.005315110099</v>
      </c>
      <c r="C150" s="7">
        <f>32/6202</f>
        <v>0.005159625927</v>
      </c>
      <c r="D150" s="7">
        <f>151/9483</f>
        <v>0.01592323105</v>
      </c>
      <c r="E150" s="7">
        <f>208/10411</f>
        <v>0.0199788685</v>
      </c>
      <c r="F150" s="7">
        <f>412/11930</f>
        <v>0.03453478625</v>
      </c>
      <c r="G150" s="1"/>
      <c r="H150" s="7">
        <f>21/3951</f>
        <v>0.005315110099</v>
      </c>
      <c r="I150" s="7">
        <f>32/6202</f>
        <v>0.005159625927</v>
      </c>
      <c r="J150" s="7">
        <f>151/9483</f>
        <v>0.01592323105</v>
      </c>
      <c r="K150" s="7">
        <f>208/10411</f>
        <v>0.0199788685</v>
      </c>
      <c r="L150" s="7">
        <f>412/11930</f>
        <v>0.03453478625</v>
      </c>
      <c r="M150" s="1">
        <v>12.0</v>
      </c>
      <c r="N150" s="4">
        <v>25.0</v>
      </c>
      <c r="O150" s="4">
        <v>25.0</v>
      </c>
      <c r="P150" s="4">
        <v>26.0</v>
      </c>
      <c r="Q150" s="4">
        <v>28.0</v>
      </c>
      <c r="R150" s="4">
        <v>34.0</v>
      </c>
    </row>
    <row r="151">
      <c r="A151" s="1">
        <v>13.0</v>
      </c>
      <c r="B151" s="7">
        <v>0.0</v>
      </c>
      <c r="C151" s="7">
        <v>0.0</v>
      </c>
      <c r="D151" s="7">
        <v>0.0</v>
      </c>
      <c r="E151" s="7">
        <v>0.0</v>
      </c>
      <c r="F151" s="7">
        <v>0.0</v>
      </c>
      <c r="G151" s="1"/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1">
        <v>13.0</v>
      </c>
      <c r="N151" s="4">
        <v>0.0</v>
      </c>
      <c r="O151" s="4">
        <v>0.0</v>
      </c>
      <c r="P151" s="4">
        <v>0.0</v>
      </c>
      <c r="Q151" s="4">
        <v>0.0</v>
      </c>
      <c r="R151" s="4">
        <v>0.0</v>
      </c>
    </row>
    <row r="152">
      <c r="A152" s="1">
        <v>14.0</v>
      </c>
      <c r="B152" s="7">
        <f>99/5945</f>
        <v>0.01665264929</v>
      </c>
      <c r="C152" s="7">
        <f>158/8503</f>
        <v>0.01858167706</v>
      </c>
      <c r="D152" s="7">
        <f>801/11570</f>
        <v>0.06923076923</v>
      </c>
      <c r="E152" s="7">
        <f>985/12093</f>
        <v>0.08145207972</v>
      </c>
      <c r="F152" s="7">
        <f>3303/15126</f>
        <v>0.2183657279</v>
      </c>
      <c r="G152" s="1"/>
      <c r="H152" s="7">
        <f>99/5945</f>
        <v>0.01665264929</v>
      </c>
      <c r="I152" s="7">
        <f>158/8503</f>
        <v>0.01858167706</v>
      </c>
      <c r="J152" s="7">
        <f>801/11570</f>
        <v>0.06923076923</v>
      </c>
      <c r="K152" s="9">
        <f>256/12093</f>
        <v>0.02116927148</v>
      </c>
      <c r="L152" s="12"/>
      <c r="M152" s="1">
        <v>14.0</v>
      </c>
      <c r="N152" s="4">
        <v>27.0</v>
      </c>
      <c r="O152" s="4">
        <v>28.0</v>
      </c>
      <c r="P152" s="4">
        <v>32.0</v>
      </c>
      <c r="Q152" s="4">
        <v>32.0</v>
      </c>
      <c r="R152" s="4">
        <v>36.0</v>
      </c>
    </row>
    <row r="153">
      <c r="A153" s="1">
        <v>15.0</v>
      </c>
      <c r="B153" s="7">
        <f>48/4645</f>
        <v>0.01033369214</v>
      </c>
      <c r="C153" s="7">
        <f>75/7332</f>
        <v>0.01022913257</v>
      </c>
      <c r="D153" s="7">
        <f>452/10359</f>
        <v>0.04363355536</v>
      </c>
      <c r="E153" s="7">
        <f>528/11459</f>
        <v>0.04607731914</v>
      </c>
      <c r="F153" s="7">
        <f>1858/13599</f>
        <v>0.1366276932</v>
      </c>
      <c r="G153" s="1"/>
      <c r="H153" s="7">
        <f>48/4645</f>
        <v>0.01033369214</v>
      </c>
      <c r="I153" s="7">
        <f>75/7332</f>
        <v>0.01022913257</v>
      </c>
      <c r="J153" s="7">
        <f>452/10359</f>
        <v>0.04363355536</v>
      </c>
      <c r="K153" s="7">
        <f>528/11459</f>
        <v>0.04607731914</v>
      </c>
      <c r="L153" s="12"/>
      <c r="M153" s="1">
        <v>15.0</v>
      </c>
      <c r="N153" s="4">
        <v>26.0</v>
      </c>
      <c r="O153" s="4">
        <v>26.0</v>
      </c>
      <c r="P153" s="4">
        <v>28.0</v>
      </c>
      <c r="Q153" s="4">
        <v>30.0</v>
      </c>
      <c r="R153" s="4">
        <v>34.0</v>
      </c>
    </row>
    <row r="154">
      <c r="A154" s="1">
        <v>16.0</v>
      </c>
      <c r="B154" s="7">
        <v>0.0</v>
      </c>
      <c r="C154" s="7">
        <v>0.0</v>
      </c>
      <c r="D154" s="7">
        <v>0.0</v>
      </c>
      <c r="E154" s="7">
        <v>0.0</v>
      </c>
      <c r="F154" s="7">
        <v>0.0</v>
      </c>
      <c r="G154" s="1"/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1">
        <v>16.0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</row>
    <row r="155">
      <c r="A155" s="1" t="s">
        <v>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4">
        <v>1352.0</v>
      </c>
      <c r="C156" s="4">
        <v>1386.0</v>
      </c>
      <c r="D156" s="4">
        <v>1354.0</v>
      </c>
      <c r="E156" s="4">
        <v>1355.0</v>
      </c>
      <c r="F156" s="4">
        <v>1356.0</v>
      </c>
      <c r="G156" s="1"/>
      <c r="H156" s="4">
        <v>1352.0</v>
      </c>
      <c r="I156" s="4">
        <v>1386.0</v>
      </c>
      <c r="J156" s="4">
        <v>1354.0</v>
      </c>
      <c r="K156" s="4">
        <v>1355.0</v>
      </c>
      <c r="L156" s="4">
        <v>1356.0</v>
      </c>
      <c r="M156" s="1"/>
      <c r="N156" s="4">
        <v>1352.0</v>
      </c>
      <c r="O156" s="4">
        <v>1386.0</v>
      </c>
      <c r="P156" s="4">
        <v>1354.0</v>
      </c>
      <c r="Q156" s="4">
        <v>1355.0</v>
      </c>
      <c r="R156" s="4">
        <v>1356.0</v>
      </c>
    </row>
    <row r="157">
      <c r="A157" s="1" t="s">
        <v>13</v>
      </c>
      <c r="B157" s="4">
        <v>700.0</v>
      </c>
      <c r="C157" s="4">
        <v>725.0</v>
      </c>
      <c r="D157" s="4">
        <v>750.0</v>
      </c>
      <c r="E157" s="4">
        <v>775.0</v>
      </c>
      <c r="F157" s="4">
        <v>800.0</v>
      </c>
      <c r="G157" s="1"/>
      <c r="H157" s="4">
        <v>700.0</v>
      </c>
      <c r="I157" s="4">
        <v>725.0</v>
      </c>
      <c r="J157" s="4">
        <v>750.0</v>
      </c>
      <c r="K157" s="4">
        <v>775.0</v>
      </c>
      <c r="L157" s="4">
        <v>800.0</v>
      </c>
      <c r="M157" s="1" t="s">
        <v>4</v>
      </c>
      <c r="N157" s="4">
        <v>700.0</v>
      </c>
      <c r="O157" s="4">
        <v>725.0</v>
      </c>
      <c r="P157" s="4">
        <v>750.0</v>
      </c>
      <c r="Q157" s="4">
        <v>775.0</v>
      </c>
      <c r="R157" s="4">
        <v>800.0</v>
      </c>
    </row>
    <row r="158">
      <c r="A158" s="1">
        <v>1.0</v>
      </c>
      <c r="B158" s="7">
        <f>123/3959</f>
        <v>0.03106845163</v>
      </c>
      <c r="C158" s="7">
        <f>237/6851</f>
        <v>0.03459349</v>
      </c>
      <c r="D158" s="7">
        <f>257/7891</f>
        <v>0.03256874921</v>
      </c>
      <c r="E158" s="7">
        <f>433/9796</f>
        <v>0.04420171499</v>
      </c>
      <c r="F158" s="7">
        <f>827/11104</f>
        <v>0.07447766571</v>
      </c>
      <c r="G158" s="1"/>
      <c r="H158" s="7">
        <f>123/3959</f>
        <v>0.03106845163</v>
      </c>
      <c r="I158" s="7">
        <f>237/6851</f>
        <v>0.03459349</v>
      </c>
      <c r="J158" s="7">
        <f>257/7891</f>
        <v>0.03256874921</v>
      </c>
      <c r="K158" s="7">
        <f>433/9796</f>
        <v>0.04420171499</v>
      </c>
      <c r="L158" s="7">
        <f>827/11104</f>
        <v>0.07447766571</v>
      </c>
      <c r="M158" s="1">
        <v>1.0</v>
      </c>
      <c r="N158" s="4">
        <v>26.0</v>
      </c>
      <c r="O158" s="4">
        <v>26.0</v>
      </c>
      <c r="P158" s="4">
        <v>26.0</v>
      </c>
      <c r="Q158" s="4">
        <v>28.0</v>
      </c>
      <c r="R158" s="4">
        <v>30.0</v>
      </c>
    </row>
    <row r="159">
      <c r="A159" s="1">
        <v>2.0</v>
      </c>
      <c r="B159" s="7">
        <f>180/5597</f>
        <v>0.03216008576</v>
      </c>
      <c r="C159" s="7">
        <f>306/8671</f>
        <v>0.03529004728</v>
      </c>
      <c r="D159" s="7">
        <f>428/9354</f>
        <v>0.04575582638</v>
      </c>
      <c r="E159" s="7">
        <f>698/11119</f>
        <v>0.06277542945</v>
      </c>
      <c r="F159" s="7">
        <f>1560/12693</f>
        <v>0.1229023871</v>
      </c>
      <c r="G159" s="1"/>
      <c r="H159" s="7">
        <f>180/5597</f>
        <v>0.03216008576</v>
      </c>
      <c r="I159" s="7">
        <f>306/8671</f>
        <v>0.03529004728</v>
      </c>
      <c r="J159" s="7">
        <f>428/9354</f>
        <v>0.04575582638</v>
      </c>
      <c r="K159" s="7">
        <f>698/11119</f>
        <v>0.06277542945</v>
      </c>
      <c r="L159" s="12"/>
      <c r="M159" s="1">
        <v>2.0</v>
      </c>
      <c r="N159" s="4">
        <v>26.0</v>
      </c>
      <c r="O159" s="4">
        <v>26.0</v>
      </c>
      <c r="P159" s="4">
        <v>26.0</v>
      </c>
      <c r="Q159" s="4">
        <v>28.0</v>
      </c>
      <c r="R159" s="4">
        <v>30.0</v>
      </c>
    </row>
    <row r="160">
      <c r="A160" s="1">
        <v>3.0</v>
      </c>
      <c r="B160" s="7">
        <f>121/5556</f>
        <v>0.02177825774</v>
      </c>
      <c r="C160" s="7">
        <f>234/8485</f>
        <v>0.02757807896</v>
      </c>
      <c r="D160" s="7">
        <f>342/9161</f>
        <v>0.03733216898</v>
      </c>
      <c r="E160" s="7">
        <f>529/10691</f>
        <v>0.04948087176</v>
      </c>
      <c r="F160" s="7">
        <f>1016/11971</f>
        <v>0.08487177345</v>
      </c>
      <c r="G160" s="1"/>
      <c r="H160" s="7">
        <f>121/5556</f>
        <v>0.02177825774</v>
      </c>
      <c r="I160" s="7">
        <f>234/8485</f>
        <v>0.02757807896</v>
      </c>
      <c r="J160" s="7">
        <f>342/9161</f>
        <v>0.03733216898</v>
      </c>
      <c r="K160" s="7">
        <f>529/10691</f>
        <v>0.04948087176</v>
      </c>
      <c r="L160" s="7">
        <f>1016/11971</f>
        <v>0.08487177345</v>
      </c>
      <c r="M160" s="1">
        <v>3.0</v>
      </c>
      <c r="N160" s="4">
        <v>26.0</v>
      </c>
      <c r="O160" s="4">
        <v>26.0</v>
      </c>
      <c r="P160" s="4">
        <v>26.0</v>
      </c>
      <c r="Q160" s="4">
        <v>28.0</v>
      </c>
      <c r="R160" s="4">
        <v>30.0</v>
      </c>
    </row>
    <row r="161">
      <c r="A161" s="1">
        <v>4.0</v>
      </c>
      <c r="B161" s="7">
        <v>0.0</v>
      </c>
      <c r="C161" s="7">
        <v>0.0</v>
      </c>
      <c r="D161" s="7">
        <v>0.0</v>
      </c>
      <c r="E161" s="7">
        <v>0.0</v>
      </c>
      <c r="F161" s="7">
        <v>0.0</v>
      </c>
      <c r="G161" s="1"/>
      <c r="H161" s="7">
        <v>0.0</v>
      </c>
      <c r="I161" s="7">
        <v>0.0</v>
      </c>
      <c r="J161" s="7">
        <v>0.0</v>
      </c>
      <c r="K161" s="7">
        <v>0.0</v>
      </c>
      <c r="L161" s="7">
        <v>0.0</v>
      </c>
      <c r="M161" s="1">
        <v>4.0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</row>
    <row r="162">
      <c r="A162" s="1">
        <v>5.0</v>
      </c>
      <c r="B162" s="7">
        <f>98/4916</f>
        <v>0.01993490643</v>
      </c>
      <c r="C162" s="7">
        <f>344/8023</f>
        <v>0.0428767294</v>
      </c>
      <c r="D162" s="7">
        <f>309/8834</f>
        <v>0.03497849219</v>
      </c>
      <c r="E162" s="7">
        <f>626/10635</f>
        <v>0.0588622473</v>
      </c>
      <c r="F162" s="7">
        <f>1600/12434</f>
        <v>0.1286794274</v>
      </c>
      <c r="G162" s="1"/>
      <c r="H162" s="7">
        <f>98/4916</f>
        <v>0.01993490643</v>
      </c>
      <c r="I162" s="7">
        <f>344/8023</f>
        <v>0.0428767294</v>
      </c>
      <c r="J162" s="7">
        <f>309/8834</f>
        <v>0.03497849219</v>
      </c>
      <c r="K162" s="7">
        <f>626/10635</f>
        <v>0.0588622473</v>
      </c>
      <c r="L162" s="12"/>
      <c r="M162" s="1">
        <v>5.0</v>
      </c>
      <c r="N162" s="4">
        <v>26.0</v>
      </c>
      <c r="O162" s="4">
        <v>26.0</v>
      </c>
      <c r="P162" s="4">
        <v>26.0</v>
      </c>
      <c r="Q162" s="4">
        <v>28.0</v>
      </c>
      <c r="R162" s="4">
        <v>30.0</v>
      </c>
    </row>
    <row r="163">
      <c r="A163" s="1">
        <v>6.0</v>
      </c>
      <c r="B163" s="7">
        <f>314/9176</f>
        <v>0.03421970357</v>
      </c>
      <c r="C163" s="7">
        <f>655/11793</f>
        <v>0.05554142288</v>
      </c>
      <c r="D163" s="7">
        <f>928/11512</f>
        <v>0.08061153579</v>
      </c>
      <c r="E163" s="7">
        <f>1449/12951</f>
        <v>0.1118832523</v>
      </c>
      <c r="F163" s="7">
        <f>3078/14916</f>
        <v>0.2063555913</v>
      </c>
      <c r="G163" s="1"/>
      <c r="H163" s="7">
        <f>314/9176</f>
        <v>0.03421970357</v>
      </c>
      <c r="I163" s="7">
        <f>655/11793</f>
        <v>0.05554142288</v>
      </c>
      <c r="J163" s="11">
        <f>91/11512</f>
        <v>0.007904794997</v>
      </c>
      <c r="K163" s="11">
        <f>196/12951</f>
        <v>0.01513396649</v>
      </c>
      <c r="L163" s="12"/>
      <c r="M163" s="1">
        <v>6.0</v>
      </c>
      <c r="N163" s="4">
        <v>28.0</v>
      </c>
      <c r="O163" s="4">
        <v>32.0</v>
      </c>
      <c r="P163" s="4">
        <v>34.0</v>
      </c>
      <c r="Q163" s="4">
        <v>36.0</v>
      </c>
      <c r="R163" s="4">
        <v>34.0</v>
      </c>
    </row>
    <row r="164">
      <c r="A164" s="1">
        <v>7.0</v>
      </c>
      <c r="B164" s="7">
        <f>512/10665</f>
        <v>0.04800750117</v>
      </c>
      <c r="C164" s="7">
        <f>1069/13330</f>
        <v>0.08019504876</v>
      </c>
      <c r="D164" s="7">
        <f>1240/12761</f>
        <v>0.0971710681</v>
      </c>
      <c r="E164" s="7">
        <f>2176/14427</f>
        <v>0.150828308</v>
      </c>
      <c r="F164" s="7">
        <f>5620/18513</f>
        <v>0.303570464</v>
      </c>
      <c r="G164" s="1"/>
      <c r="H164" s="7">
        <f>512/10665</f>
        <v>0.04800750117</v>
      </c>
      <c r="I164" s="11">
        <f>122/13330</f>
        <v>0.009152288072</v>
      </c>
      <c r="J164" s="11">
        <f>111/12761</f>
        <v>0.00869837787</v>
      </c>
      <c r="K164" s="11">
        <f>373/14427</f>
        <v>0.02585430096</v>
      </c>
      <c r="L164" s="12"/>
      <c r="M164" s="1">
        <v>7.0</v>
      </c>
      <c r="N164" s="4">
        <v>29.0</v>
      </c>
      <c r="O164" s="4">
        <v>34.0</v>
      </c>
      <c r="P164" s="4">
        <v>34.0</v>
      </c>
      <c r="Q164" s="4">
        <v>34.0</v>
      </c>
      <c r="R164" s="4">
        <v>34.0</v>
      </c>
    </row>
    <row r="165">
      <c r="A165" s="1">
        <v>8.0</v>
      </c>
      <c r="B165" s="7">
        <f>1303/10629</f>
        <v>0.1225891429</v>
      </c>
      <c r="C165" s="7">
        <f>2169/13872</f>
        <v>0.1563581315</v>
      </c>
      <c r="D165" s="7">
        <f>2976/12761</f>
        <v>0.2332105634</v>
      </c>
      <c r="E165" s="7">
        <f>7681/20763</f>
        <v>0.369936907</v>
      </c>
      <c r="F165" s="7">
        <f>15930/30031</f>
        <v>0.5304518664</v>
      </c>
      <c r="G165" s="1"/>
      <c r="H165" s="11">
        <f>252/10629</f>
        <v>0.02370872142</v>
      </c>
      <c r="I165" s="11">
        <f>478/13872</f>
        <v>0.03445790081</v>
      </c>
      <c r="J165" s="11">
        <f>857/14415</f>
        <v>0.05945195976</v>
      </c>
      <c r="K165" s="11">
        <f>3587/20763</f>
        <v>0.1727592352</v>
      </c>
      <c r="L165" s="12"/>
      <c r="M165" s="1">
        <v>8.0</v>
      </c>
      <c r="N165" s="4">
        <v>30.0</v>
      </c>
      <c r="O165" s="4">
        <v>32.0</v>
      </c>
      <c r="P165" s="4">
        <v>32.0</v>
      </c>
      <c r="Q165" s="4">
        <v>33.0</v>
      </c>
      <c r="R165" s="4">
        <v>34.0</v>
      </c>
    </row>
    <row r="166">
      <c r="A166" s="1">
        <v>9.0</v>
      </c>
      <c r="B166" s="7">
        <f>31/2237</f>
        <v>0.01385784533</v>
      </c>
      <c r="C166" s="7">
        <f>57/4652</f>
        <v>0.0122527945</v>
      </c>
      <c r="D166" s="7">
        <f>2976/14415</f>
        <v>0.2064516129</v>
      </c>
      <c r="E166" s="7">
        <f>141/8497</f>
        <v>0.01659409203</v>
      </c>
      <c r="F166" s="7">
        <f>247/9999</f>
        <v>0.02470247025</v>
      </c>
      <c r="G166" s="1"/>
      <c r="H166" s="7">
        <f>31/2237</f>
        <v>0.01385784533</v>
      </c>
      <c r="I166" s="7">
        <f>57/4652</f>
        <v>0.0122527945</v>
      </c>
      <c r="J166" s="13">
        <f>2976/14415</f>
        <v>0.2064516129</v>
      </c>
      <c r="K166" s="7">
        <f>141/8497</f>
        <v>0.01659409203</v>
      </c>
      <c r="L166" s="7">
        <f>247/9999</f>
        <v>0.02470247025</v>
      </c>
      <c r="M166" s="1">
        <v>9.0</v>
      </c>
      <c r="N166" s="4">
        <v>25.0</v>
      </c>
      <c r="O166" s="4">
        <v>26.0</v>
      </c>
      <c r="P166" s="4">
        <v>26.0</v>
      </c>
      <c r="Q166" s="4">
        <v>26.0</v>
      </c>
      <c r="R166" s="4">
        <v>26.0</v>
      </c>
    </row>
    <row r="167">
      <c r="A167" s="1">
        <v>10.0</v>
      </c>
      <c r="B167" s="7">
        <f>22/2114</f>
        <v>0.01040681173</v>
      </c>
      <c r="C167" s="7">
        <f>51/4493</f>
        <v>0.01135099043</v>
      </c>
      <c r="D167" s="7">
        <f>81/6468</f>
        <v>0.01252319109</v>
      </c>
      <c r="E167" s="7">
        <f>115/8490</f>
        <v>0.01354534747</v>
      </c>
      <c r="F167" s="7">
        <f>191/9988</f>
        <v>0.01912294754</v>
      </c>
      <c r="G167" s="1"/>
      <c r="H167" s="7">
        <f>22/2114</f>
        <v>0.01040681173</v>
      </c>
      <c r="I167" s="7">
        <f>51/4493</f>
        <v>0.01135099043</v>
      </c>
      <c r="J167" s="7">
        <f>81/6468</f>
        <v>0.01252319109</v>
      </c>
      <c r="K167" s="7">
        <f>115/8490</f>
        <v>0.01354534747</v>
      </c>
      <c r="L167" s="7">
        <f>191/9988</f>
        <v>0.01912294754</v>
      </c>
      <c r="M167" s="1">
        <v>10.0</v>
      </c>
      <c r="N167" s="4">
        <v>25.0</v>
      </c>
      <c r="O167" s="4">
        <v>26.0</v>
      </c>
      <c r="P167" s="4">
        <v>26.0</v>
      </c>
      <c r="Q167" s="4">
        <v>26.0</v>
      </c>
      <c r="R167" s="4">
        <v>26.0</v>
      </c>
    </row>
    <row r="168">
      <c r="A168" s="1">
        <v>11.0</v>
      </c>
      <c r="B168" s="7">
        <f>18/1723</f>
        <v>0.01044689495</v>
      </c>
      <c r="C168" s="7">
        <f>53/3857</f>
        <v>0.01374124968</v>
      </c>
      <c r="D168" s="7">
        <f>78/6549</f>
        <v>0.0119102153</v>
      </c>
      <c r="E168" s="7">
        <f>112/8036</f>
        <v>0.01393728223</v>
      </c>
      <c r="F168" s="7">
        <f>253/9730</f>
        <v>0.0260020555</v>
      </c>
      <c r="G168" s="1"/>
      <c r="H168" s="7">
        <f>18/1723</f>
        <v>0.01044689495</v>
      </c>
      <c r="I168" s="7">
        <f>53/3857</f>
        <v>0.01374124968</v>
      </c>
      <c r="J168" s="7">
        <f>78/6549</f>
        <v>0.0119102153</v>
      </c>
      <c r="K168" s="7">
        <f>112/8036</f>
        <v>0.01393728223</v>
      </c>
      <c r="L168" s="7">
        <f>253/9730</f>
        <v>0.0260020555</v>
      </c>
      <c r="M168" s="1">
        <v>11.0</v>
      </c>
      <c r="N168" s="4">
        <v>25.0</v>
      </c>
      <c r="O168" s="4">
        <v>25.0</v>
      </c>
      <c r="P168" s="4">
        <v>25.0</v>
      </c>
      <c r="Q168" s="4">
        <v>26.0</v>
      </c>
      <c r="R168" s="4">
        <v>26.0</v>
      </c>
    </row>
    <row r="169">
      <c r="A169" s="1">
        <v>12.0</v>
      </c>
      <c r="B169" s="7">
        <f>27/2332</f>
        <v>0.0115780446</v>
      </c>
      <c r="C169" s="7">
        <f>64/4892</f>
        <v>0.01308258381</v>
      </c>
      <c r="D169" s="7">
        <f>84/6993</f>
        <v>0.01201201201</v>
      </c>
      <c r="E169" s="7">
        <f>129/8904</f>
        <v>0.01448787062</v>
      </c>
      <c r="F169" s="7">
        <f>25/10438</f>
        <v>0.002395094846</v>
      </c>
      <c r="G169" s="1"/>
      <c r="H169" s="7">
        <f>27/2332</f>
        <v>0.0115780446</v>
      </c>
      <c r="I169" s="7">
        <f>64/4892</f>
        <v>0.01308258381</v>
      </c>
      <c r="J169" s="7">
        <f>84/6993</f>
        <v>0.01201201201</v>
      </c>
      <c r="K169" s="7">
        <f>129/8904</f>
        <v>0.01448787062</v>
      </c>
      <c r="L169" s="7">
        <f>25/10438</f>
        <v>0.002395094846</v>
      </c>
      <c r="M169" s="1">
        <v>12.0</v>
      </c>
      <c r="N169" s="4">
        <v>25.0</v>
      </c>
      <c r="O169" s="4">
        <v>26.0</v>
      </c>
      <c r="P169" s="4">
        <v>26.0</v>
      </c>
      <c r="Q169" s="4">
        <v>26.0</v>
      </c>
      <c r="R169" s="4">
        <v>26.0</v>
      </c>
    </row>
    <row r="170">
      <c r="A170" s="1">
        <v>13.0</v>
      </c>
      <c r="B170" s="7">
        <f>4/769</f>
        <v>0.005201560468</v>
      </c>
      <c r="C170" s="7">
        <f>47/2086</f>
        <v>0.02253116012</v>
      </c>
      <c r="D170" s="7">
        <f>39/3729</f>
        <v>0.01045856798</v>
      </c>
      <c r="E170" s="7">
        <f>139/5988</f>
        <v>0.02321309285</v>
      </c>
      <c r="F170" s="7">
        <f>561/8874</f>
        <v>0.0632183908</v>
      </c>
      <c r="G170" s="1"/>
      <c r="H170" s="7">
        <f>4/769</f>
        <v>0.005201560468</v>
      </c>
      <c r="I170" s="7">
        <f>47/2086</f>
        <v>0.02253116012</v>
      </c>
      <c r="J170" s="7">
        <f>39/3729</f>
        <v>0.01045856798</v>
      </c>
      <c r="K170" s="7">
        <f>139/5988</f>
        <v>0.02321309285</v>
      </c>
      <c r="L170" s="7">
        <f>561/8874</f>
        <v>0.0632183908</v>
      </c>
      <c r="M170" s="1">
        <v>13.0</v>
      </c>
      <c r="N170" s="4">
        <v>0.0</v>
      </c>
      <c r="O170" s="4">
        <v>26.0</v>
      </c>
      <c r="P170" s="4">
        <v>26.0</v>
      </c>
      <c r="Q170" s="4">
        <v>26.0</v>
      </c>
      <c r="R170" s="4">
        <v>26.0</v>
      </c>
    </row>
    <row r="171">
      <c r="A171" s="1">
        <v>14.0</v>
      </c>
      <c r="B171" s="7">
        <f>5/632</f>
        <v>0.007911392405</v>
      </c>
      <c r="C171" s="7">
        <f>9/1744</f>
        <v>0.005160550459</v>
      </c>
      <c r="D171" s="7">
        <f>14/3463</f>
        <v>0.004042737511</v>
      </c>
      <c r="E171" s="7">
        <f>33/5646</f>
        <v>0.005844845909</v>
      </c>
      <c r="F171" s="7">
        <f>58/7772</f>
        <v>0.007462686567</v>
      </c>
      <c r="G171" s="1"/>
      <c r="H171" s="7">
        <f>5/632</f>
        <v>0.007911392405</v>
      </c>
      <c r="I171" s="7">
        <f>9/1744</f>
        <v>0.005160550459</v>
      </c>
      <c r="J171" s="7">
        <f>14/3463</f>
        <v>0.004042737511</v>
      </c>
      <c r="K171" s="7">
        <f>33/5646</f>
        <v>0.005844845909</v>
      </c>
      <c r="L171" s="7">
        <f>58/7772</f>
        <v>0.007462686567</v>
      </c>
      <c r="M171" s="1">
        <v>14.0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</row>
    <row r="172">
      <c r="A172" s="1">
        <v>15.0</v>
      </c>
      <c r="B172" s="7">
        <f>6/836</f>
        <v>0.007177033493</v>
      </c>
      <c r="C172" s="7">
        <f>27/2198</f>
        <v>0.01228389445</v>
      </c>
      <c r="D172" s="7">
        <f>32/4124</f>
        <v>0.007759456838</v>
      </c>
      <c r="E172" s="7">
        <f>66/6466</f>
        <v>0.01020723786</v>
      </c>
      <c r="F172" s="7">
        <f>194/8826</f>
        <v>0.02198051212</v>
      </c>
      <c r="G172" s="1"/>
      <c r="H172" s="7">
        <f>6/836</f>
        <v>0.007177033493</v>
      </c>
      <c r="I172" s="7">
        <f>27/2198</f>
        <v>0.01228389445</v>
      </c>
      <c r="J172" s="7">
        <f>32/4124</f>
        <v>0.007759456838</v>
      </c>
      <c r="K172" s="7">
        <f>66/6466</f>
        <v>0.01020723786</v>
      </c>
      <c r="L172" s="7">
        <f>194/8826</f>
        <v>0.02198051212</v>
      </c>
      <c r="M172" s="1">
        <v>15.0</v>
      </c>
      <c r="N172" s="4">
        <v>0.0</v>
      </c>
      <c r="O172" s="4">
        <v>0.0</v>
      </c>
      <c r="P172" s="4">
        <v>25.0</v>
      </c>
      <c r="Q172" s="4">
        <v>25.0</v>
      </c>
      <c r="R172" s="4">
        <v>25.0</v>
      </c>
    </row>
    <row r="173">
      <c r="A173" s="1">
        <v>16.0</v>
      </c>
      <c r="B173" s="7">
        <v>0.0</v>
      </c>
      <c r="C173" s="7">
        <v>0.0</v>
      </c>
      <c r="D173" s="7">
        <v>0.0</v>
      </c>
      <c r="E173" s="7">
        <v>0.0</v>
      </c>
      <c r="F173" s="7">
        <v>0.0</v>
      </c>
      <c r="G173" s="1"/>
      <c r="H173" s="7">
        <v>0.0</v>
      </c>
      <c r="I173" s="7">
        <v>0.0</v>
      </c>
      <c r="J173" s="7">
        <v>0.0</v>
      </c>
      <c r="K173" s="7">
        <v>0.0</v>
      </c>
      <c r="L173" s="7">
        <v>0.0</v>
      </c>
      <c r="M173" s="1">
        <v>16.0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</row>
    <row r="174">
      <c r="A174" s="1" t="s">
        <v>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4">
        <v>1363.0</v>
      </c>
      <c r="C175" s="4">
        <v>1360.0</v>
      </c>
      <c r="D175" s="4">
        <v>1359.0</v>
      </c>
      <c r="E175" s="4">
        <v>1357.0</v>
      </c>
      <c r="F175" s="4">
        <v>1356.0</v>
      </c>
      <c r="G175" s="1"/>
      <c r="H175" s="4">
        <v>1363.0</v>
      </c>
      <c r="I175" s="4">
        <v>1360.0</v>
      </c>
      <c r="J175" s="4">
        <v>1359.0</v>
      </c>
      <c r="K175" s="4">
        <v>1357.0</v>
      </c>
      <c r="L175" s="4">
        <v>1356.0</v>
      </c>
      <c r="M175" s="1"/>
      <c r="N175" s="4">
        <v>1363.0</v>
      </c>
      <c r="O175" s="4">
        <v>1360.0</v>
      </c>
      <c r="P175" s="4">
        <v>1359.0</v>
      </c>
      <c r="Q175" s="4">
        <v>1357.0</v>
      </c>
      <c r="R175" s="4">
        <v>1356.0</v>
      </c>
    </row>
    <row r="176">
      <c r="A176" s="1" t="s">
        <v>14</v>
      </c>
      <c r="B176" s="4">
        <v>700.0</v>
      </c>
      <c r="C176" s="4">
        <v>725.0</v>
      </c>
      <c r="D176" s="4">
        <v>750.0</v>
      </c>
      <c r="E176" s="4">
        <v>775.0</v>
      </c>
      <c r="F176" s="4">
        <v>800.0</v>
      </c>
      <c r="G176" s="1"/>
      <c r="H176" s="14">
        <v>700.0</v>
      </c>
      <c r="I176" s="14">
        <v>725.0</v>
      </c>
      <c r="J176" s="14">
        <v>750.0</v>
      </c>
      <c r="K176" s="14">
        <v>775.0</v>
      </c>
      <c r="L176" s="14">
        <v>800.0</v>
      </c>
      <c r="M176" s="1" t="s">
        <v>4</v>
      </c>
      <c r="N176" s="14">
        <v>700.0</v>
      </c>
      <c r="O176" s="14">
        <v>725.0</v>
      </c>
      <c r="P176" s="14">
        <v>750.0</v>
      </c>
      <c r="Q176" s="14">
        <v>775.0</v>
      </c>
      <c r="R176" s="14">
        <v>800.0</v>
      </c>
    </row>
    <row r="177">
      <c r="A177" s="1">
        <v>1.0</v>
      </c>
      <c r="B177" s="7">
        <f>66/6572</f>
        <v>0.01004260499</v>
      </c>
      <c r="C177" s="7">
        <f>149/8978</f>
        <v>0.01659612386</v>
      </c>
      <c r="D177" s="7">
        <f>286/8291</f>
        <v>0.0344952358</v>
      </c>
      <c r="E177" s="7">
        <f>569/9079</f>
        <v>0.06267210045</v>
      </c>
      <c r="F177" s="7">
        <f>1253/10215</f>
        <v>0.1226627509</v>
      </c>
      <c r="G177" s="1"/>
      <c r="H177" s="7">
        <f>66/6572</f>
        <v>0.01004260499</v>
      </c>
      <c r="I177" s="7">
        <f>149/8978</f>
        <v>0.01659612386</v>
      </c>
      <c r="J177" s="7">
        <f>286/8291</f>
        <v>0.0344952358</v>
      </c>
      <c r="K177" s="7">
        <f>569/9079</f>
        <v>0.06267210045</v>
      </c>
      <c r="L177" s="12"/>
      <c r="M177" s="1">
        <v>1.0</v>
      </c>
      <c r="N177" s="4">
        <v>28.0</v>
      </c>
      <c r="O177" s="4">
        <v>28.0</v>
      </c>
      <c r="P177" s="4">
        <v>30.0</v>
      </c>
      <c r="Q177" s="4">
        <v>32.0</v>
      </c>
      <c r="R177" s="4">
        <v>35.0</v>
      </c>
    </row>
    <row r="178">
      <c r="A178" s="1">
        <v>2.0</v>
      </c>
      <c r="B178" s="7">
        <f>21/5248</f>
        <v>0.00400152439</v>
      </c>
      <c r="C178" s="7">
        <f>47/7833</f>
        <v>0.00600025533</v>
      </c>
      <c r="D178" s="7">
        <f>86/7702</f>
        <v>0.01116593093</v>
      </c>
      <c r="E178" s="7">
        <f>240/8839</f>
        <v>0.0271523928</v>
      </c>
      <c r="F178" s="7">
        <f>577/9728</f>
        <v>0.05931332237</v>
      </c>
      <c r="G178" s="1"/>
      <c r="H178" s="7">
        <f>21/5248</f>
        <v>0.00400152439</v>
      </c>
      <c r="I178" s="7">
        <f>47/7833</f>
        <v>0.00600025533</v>
      </c>
      <c r="J178" s="7">
        <f>86/7702</f>
        <v>0.01116593093</v>
      </c>
      <c r="K178" s="7">
        <f>240/8839</f>
        <v>0.0271523928</v>
      </c>
      <c r="L178" s="7">
        <f>577/9728</f>
        <v>0.05931332237</v>
      </c>
      <c r="M178" s="1">
        <v>2.0</v>
      </c>
      <c r="N178" s="4">
        <v>24.0</v>
      </c>
      <c r="O178" s="4">
        <v>26.0</v>
      </c>
      <c r="P178" s="4">
        <v>28.0</v>
      </c>
      <c r="Q178" s="4">
        <v>30.0</v>
      </c>
      <c r="R178" s="4">
        <v>34.0</v>
      </c>
    </row>
    <row r="179">
      <c r="A179" s="1">
        <v>3.0</v>
      </c>
      <c r="B179" s="7">
        <f>19/6385</f>
        <v>0.002975724354</v>
      </c>
      <c r="C179" s="7">
        <f>46/8707</f>
        <v>0.005283105547</v>
      </c>
      <c r="D179" s="7">
        <f>124/8269</f>
        <v>0.01499576732</v>
      </c>
      <c r="E179" s="7">
        <f>291/9268</f>
        <v>0.03139835995</v>
      </c>
      <c r="F179" s="7">
        <f>740/10192</f>
        <v>0.07260596546</v>
      </c>
      <c r="G179" s="1"/>
      <c r="H179" s="7">
        <f>19/6385</f>
        <v>0.002975724354</v>
      </c>
      <c r="I179" s="7">
        <f>46/8707</f>
        <v>0.005283105547</v>
      </c>
      <c r="J179" s="7">
        <f>124/8269</f>
        <v>0.01499576732</v>
      </c>
      <c r="K179" s="7">
        <f>291/9268</f>
        <v>0.03139835995</v>
      </c>
      <c r="L179" s="7">
        <f>740/10192</f>
        <v>0.07260596546</v>
      </c>
      <c r="M179" s="1">
        <v>3.0</v>
      </c>
      <c r="N179" s="4">
        <v>24.0</v>
      </c>
      <c r="O179" s="4">
        <v>26.0</v>
      </c>
      <c r="P179" s="4">
        <v>30.0</v>
      </c>
      <c r="Q179" s="4">
        <v>30.0</v>
      </c>
      <c r="R179" s="4">
        <v>34.0</v>
      </c>
    </row>
    <row r="180">
      <c r="A180" s="1">
        <v>4.0</v>
      </c>
      <c r="B180" s="7">
        <f>7/4828</f>
        <v>0.001449875725</v>
      </c>
      <c r="C180" s="7">
        <f>14/7286</f>
        <v>0.001921493275</v>
      </c>
      <c r="D180" s="7">
        <f>37/7428</f>
        <v>0.004981152396</v>
      </c>
      <c r="E180" s="7">
        <f>134/8633</f>
        <v>0.01552183482</v>
      </c>
      <c r="F180" s="7">
        <f>353/9629</f>
        <v>0.03666008931</v>
      </c>
      <c r="G180" s="1"/>
      <c r="H180" s="7">
        <f>7/4828</f>
        <v>0.001449875725</v>
      </c>
      <c r="I180" s="7">
        <f>14/7286</f>
        <v>0.001921493275</v>
      </c>
      <c r="J180" s="7">
        <f>37/7428</f>
        <v>0.004981152396</v>
      </c>
      <c r="K180" s="7">
        <f>134/8633</f>
        <v>0.01552183482</v>
      </c>
      <c r="L180" s="7">
        <f>353/9629</f>
        <v>0.03666008931</v>
      </c>
      <c r="M180" s="1">
        <v>4.0</v>
      </c>
      <c r="N180" s="4">
        <v>24.0</v>
      </c>
      <c r="O180" s="4">
        <v>26.0</v>
      </c>
      <c r="P180" s="4">
        <v>28.0</v>
      </c>
      <c r="Q180" s="4">
        <v>30.0</v>
      </c>
      <c r="R180" s="4">
        <v>34.0</v>
      </c>
    </row>
    <row r="181">
      <c r="A181" s="1">
        <v>5.0</v>
      </c>
      <c r="B181" s="7">
        <f>0/3149</f>
        <v>0</v>
      </c>
      <c r="C181" s="7">
        <f>6/5152</f>
        <v>0.001164596273</v>
      </c>
      <c r="D181" s="7">
        <f>12/6309</f>
        <v>0.001902044698</v>
      </c>
      <c r="E181" s="7">
        <f>44/7730</f>
        <v>0.005692108668</v>
      </c>
      <c r="F181" s="7">
        <f>177/8774</f>
        <v>0.02017323912</v>
      </c>
      <c r="G181" s="1"/>
      <c r="H181" s="7">
        <f>0/3149</f>
        <v>0</v>
      </c>
      <c r="I181" s="7">
        <f>6/5152</f>
        <v>0.001164596273</v>
      </c>
      <c r="J181" s="7">
        <f>12/6309</f>
        <v>0.001902044698</v>
      </c>
      <c r="K181" s="7">
        <f>44/7730</f>
        <v>0.005692108668</v>
      </c>
      <c r="L181" s="7">
        <f>177/8774</f>
        <v>0.02017323912</v>
      </c>
      <c r="M181" s="1">
        <v>5.0</v>
      </c>
      <c r="N181" s="4">
        <v>24.0</v>
      </c>
      <c r="O181" s="4">
        <v>24.0</v>
      </c>
      <c r="P181" s="4">
        <v>25.0</v>
      </c>
      <c r="Q181" s="4">
        <v>26.0</v>
      </c>
      <c r="R181" s="4">
        <v>30.0</v>
      </c>
    </row>
    <row r="182">
      <c r="A182" s="1">
        <v>6.0</v>
      </c>
      <c r="B182" s="7">
        <f>14/4741</f>
        <v>0.00295296351</v>
      </c>
      <c r="C182" s="7">
        <f>29/7056</f>
        <v>0.004109977324</v>
      </c>
      <c r="D182" s="7">
        <f>71/7466</f>
        <v>0.009509777659</v>
      </c>
      <c r="E182" s="7">
        <f>273/8911</f>
        <v>0.03063629222</v>
      </c>
      <c r="F182" s="7">
        <f>631/10006</f>
        <v>0.0630621627</v>
      </c>
      <c r="G182" s="1"/>
      <c r="H182" s="7">
        <f>14/4741</f>
        <v>0.00295296351</v>
      </c>
      <c r="I182" s="7">
        <f>29/7056</f>
        <v>0.004109977324</v>
      </c>
      <c r="J182" s="7">
        <f>71/7466</f>
        <v>0.009509777659</v>
      </c>
      <c r="K182" s="7">
        <f>273/8911</f>
        <v>0.03063629222</v>
      </c>
      <c r="L182" s="7">
        <f>631/10006</f>
        <v>0.0630621627</v>
      </c>
      <c r="M182" s="1">
        <v>6.0</v>
      </c>
      <c r="N182" s="4">
        <v>24.0</v>
      </c>
      <c r="O182" s="4">
        <v>25.0</v>
      </c>
      <c r="P182" s="4">
        <v>26.0</v>
      </c>
      <c r="Q182" s="4">
        <v>30.0</v>
      </c>
      <c r="R182" s="4">
        <v>34.0</v>
      </c>
    </row>
    <row r="183">
      <c r="A183" s="1">
        <v>7.0</v>
      </c>
      <c r="B183" s="7">
        <f>1/2807</f>
        <v>0.0003562522266</v>
      </c>
      <c r="C183" s="7">
        <f>7/4906</f>
        <v>0.001426824297</v>
      </c>
      <c r="D183" s="7">
        <f>11/6284</f>
        <v>0.001750477403</v>
      </c>
      <c r="E183" s="7">
        <f>30/7781</f>
        <v>0.00385554556</v>
      </c>
      <c r="F183" s="7">
        <f>200/9061</f>
        <v>0.02207261892</v>
      </c>
      <c r="G183" s="1"/>
      <c r="H183" s="7">
        <f>1/2807</f>
        <v>0.0003562522266</v>
      </c>
      <c r="I183" s="7">
        <f>7/4906</f>
        <v>0.001426824297</v>
      </c>
      <c r="J183" s="7">
        <f>11/6284</f>
        <v>0.001750477403</v>
      </c>
      <c r="K183" s="7">
        <f>30/7781</f>
        <v>0.00385554556</v>
      </c>
      <c r="L183" s="7">
        <f>200/9061</f>
        <v>0.02207261892</v>
      </c>
      <c r="M183" s="1">
        <v>7.0</v>
      </c>
      <c r="N183" s="4">
        <v>24.0</v>
      </c>
      <c r="O183" s="4">
        <v>24.0</v>
      </c>
      <c r="P183" s="4">
        <v>25.0</v>
      </c>
      <c r="Q183" s="4">
        <v>26.0</v>
      </c>
      <c r="R183" s="4">
        <v>30.0</v>
      </c>
    </row>
    <row r="184">
      <c r="A184" s="1">
        <v>8.0</v>
      </c>
      <c r="B184" s="7">
        <f>80/4463</f>
        <v>0.01792516245</v>
      </c>
      <c r="C184" s="7">
        <f>207/6882</f>
        <v>0.03007846556</v>
      </c>
      <c r="D184" s="7">
        <f>286/7700</f>
        <v>0.03714285714</v>
      </c>
      <c r="E184" s="7">
        <f>614/8964</f>
        <v>0.06849620705</v>
      </c>
      <c r="F184" s="7">
        <f>1147/10107</f>
        <v>0.113485703</v>
      </c>
      <c r="G184" s="1"/>
      <c r="H184" s="7">
        <f>80/4463</f>
        <v>0.01792516245</v>
      </c>
      <c r="I184" s="7">
        <f>207/6882</f>
        <v>0.03007846556</v>
      </c>
      <c r="J184" s="7">
        <f>286/7700</f>
        <v>0.03714285714</v>
      </c>
      <c r="K184" s="7">
        <f>614/8964</f>
        <v>0.06849620705</v>
      </c>
      <c r="L184" s="12"/>
      <c r="M184" s="1">
        <v>8.0</v>
      </c>
      <c r="N184" s="4">
        <v>26.0</v>
      </c>
      <c r="O184" s="4">
        <v>28.0</v>
      </c>
      <c r="P184" s="4">
        <v>30.0</v>
      </c>
      <c r="Q184" s="4">
        <v>30.0</v>
      </c>
      <c r="R184" s="4">
        <v>34.0</v>
      </c>
    </row>
    <row r="185">
      <c r="A185" s="1">
        <v>9.0</v>
      </c>
      <c r="B185" s="7">
        <f>46/6636</f>
        <v>0.006931886679</v>
      </c>
      <c r="C185" s="7">
        <f>103/8847</f>
        <v>0.01164236464</v>
      </c>
      <c r="D185" s="7">
        <f>183/8774</f>
        <v>0.02085707773</v>
      </c>
      <c r="E185" s="7">
        <f>524/9894</f>
        <v>0.05296139074</v>
      </c>
      <c r="F185" s="7">
        <f>870/10472</f>
        <v>0.08307868602</v>
      </c>
      <c r="G185" s="1"/>
      <c r="H185" s="7">
        <f>46/6636</f>
        <v>0.006931886679</v>
      </c>
      <c r="I185" s="7">
        <f>103/8847</f>
        <v>0.01164236464</v>
      </c>
      <c r="J185" s="7">
        <f>183/8774</f>
        <v>0.02085707773</v>
      </c>
      <c r="K185" s="7">
        <f>524/9894</f>
        <v>0.05296139074</v>
      </c>
      <c r="L185" s="7">
        <f>870/10472</f>
        <v>0.08307868602</v>
      </c>
      <c r="M185" s="1">
        <v>9.0</v>
      </c>
      <c r="N185" s="4">
        <v>26.0</v>
      </c>
      <c r="O185" s="4">
        <v>28.0</v>
      </c>
      <c r="P185" s="4">
        <v>30.0</v>
      </c>
      <c r="Q185" s="4">
        <v>30.0</v>
      </c>
      <c r="R185" s="4">
        <v>35.0</v>
      </c>
    </row>
    <row r="186">
      <c r="A186" s="1">
        <v>10.0</v>
      </c>
      <c r="B186" s="7">
        <f>180/8478</f>
        <v>0.02123142251</v>
      </c>
      <c r="C186" s="7">
        <f>413/10442</f>
        <v>0.03955181</v>
      </c>
      <c r="D186" s="7">
        <f>835/10065</f>
        <v>0.08296075509</v>
      </c>
      <c r="E186" s="7">
        <f>1448/11246</f>
        <v>0.1287568913</v>
      </c>
      <c r="F186" s="7">
        <f>1971/11908</f>
        <v>0.1655189788</v>
      </c>
      <c r="G186" s="1"/>
      <c r="H186" s="7">
        <f>180/8478</f>
        <v>0.02123142251</v>
      </c>
      <c r="I186" s="7">
        <f>413/10442</f>
        <v>0.03955181</v>
      </c>
      <c r="J186" s="13">
        <f>59/10066</f>
        <v>0.005861315319</v>
      </c>
      <c r="K186" s="13">
        <f>154/11246</f>
        <v>0.01369375778</v>
      </c>
      <c r="L186" s="12"/>
      <c r="M186" s="1">
        <v>10.0</v>
      </c>
      <c r="N186" s="4">
        <v>32.0</v>
      </c>
      <c r="O186" s="4">
        <v>32.0</v>
      </c>
      <c r="P186" s="4">
        <v>34.0</v>
      </c>
      <c r="Q186" s="4">
        <v>34.0</v>
      </c>
      <c r="R186" s="4">
        <v>38.0</v>
      </c>
    </row>
    <row r="187">
      <c r="A187" s="1">
        <v>11.0</v>
      </c>
      <c r="B187" s="7">
        <f>719/11337</f>
        <v>0.06342065802</v>
      </c>
      <c r="C187" s="7">
        <f>1352/12822</f>
        <v>0.1054437685</v>
      </c>
      <c r="D187" s="7">
        <f>1981/11798</f>
        <v>0.1679098152</v>
      </c>
      <c r="E187" s="7">
        <f>2444/12499</f>
        <v>0.1955356429</v>
      </c>
      <c r="F187" s="7">
        <f>3036/13276</f>
        <v>0.2286833384</v>
      </c>
      <c r="G187" s="1"/>
      <c r="H187" s="7">
        <f>719/11337</f>
        <v>0.06342065802</v>
      </c>
      <c r="I187" s="11">
        <f>111/12822</f>
        <v>0.008656995788</v>
      </c>
      <c r="J187" s="11">
        <f>149/11799</f>
        <v>0.01262818883</v>
      </c>
      <c r="K187" s="11">
        <f>195/12499</f>
        <v>0.0156012481</v>
      </c>
      <c r="L187" s="12"/>
      <c r="M187" s="1">
        <v>11.0</v>
      </c>
      <c r="N187" s="4">
        <v>34.0</v>
      </c>
      <c r="O187" s="4">
        <v>34.0</v>
      </c>
      <c r="P187" s="4">
        <v>36.0</v>
      </c>
      <c r="Q187" s="4">
        <v>38.0</v>
      </c>
      <c r="R187" s="4">
        <v>38.0</v>
      </c>
    </row>
    <row r="188">
      <c r="A188" s="1">
        <v>12.0</v>
      </c>
      <c r="B188" s="7">
        <f>67/6576</f>
        <v>0.01018856448</v>
      </c>
      <c r="C188" s="7">
        <f>155/8769</f>
        <v>0.01767590375</v>
      </c>
      <c r="D188" s="7">
        <f>323/9483</f>
        <v>0.03406095118</v>
      </c>
      <c r="E188" s="7">
        <f>693/10266</f>
        <v>0.0675043834</v>
      </c>
      <c r="F188" s="7">
        <f>1198/11290</f>
        <v>0.1061116032</v>
      </c>
      <c r="G188" s="1"/>
      <c r="H188" s="7">
        <f>67/6576</f>
        <v>0.01018856448</v>
      </c>
      <c r="I188" s="7">
        <f>155/8769</f>
        <v>0.01767590375</v>
      </c>
      <c r="J188" s="7">
        <f>323/9483</f>
        <v>0.03406095118</v>
      </c>
      <c r="K188" s="7">
        <f>693/10266</f>
        <v>0.0675043834</v>
      </c>
      <c r="L188" s="12"/>
      <c r="M188" s="1">
        <v>12.0</v>
      </c>
      <c r="N188" s="4">
        <v>28.0</v>
      </c>
      <c r="O188" s="4">
        <v>30.0</v>
      </c>
      <c r="P188" s="4">
        <v>32.0</v>
      </c>
      <c r="Q188" s="4">
        <v>34.0</v>
      </c>
      <c r="R188" s="4">
        <v>34.0</v>
      </c>
    </row>
    <row r="189">
      <c r="A189" s="1">
        <v>13.0</v>
      </c>
      <c r="B189" s="7">
        <v>0.0</v>
      </c>
      <c r="C189" s="7">
        <v>0.0</v>
      </c>
      <c r="D189" s="7">
        <v>0.0</v>
      </c>
      <c r="E189" s="7">
        <v>0.0</v>
      </c>
      <c r="F189" s="7">
        <v>0.0</v>
      </c>
      <c r="G189" s="1"/>
      <c r="H189" s="7">
        <v>0.0</v>
      </c>
      <c r="I189" s="7">
        <v>0.0</v>
      </c>
      <c r="J189" s="7">
        <v>0.0</v>
      </c>
      <c r="K189" s="7">
        <v>0.0</v>
      </c>
      <c r="L189" s="7">
        <v>0.0</v>
      </c>
      <c r="M189" s="1">
        <v>13.0</v>
      </c>
      <c r="N189" s="4">
        <v>0.0</v>
      </c>
      <c r="O189" s="4">
        <v>0.0</v>
      </c>
      <c r="P189" s="4">
        <v>0.0</v>
      </c>
      <c r="Q189" s="4">
        <v>0.0</v>
      </c>
      <c r="R189" s="4">
        <v>0.0</v>
      </c>
    </row>
    <row r="190">
      <c r="A190" s="1">
        <v>14.0</v>
      </c>
      <c r="B190" s="7">
        <f>69/7181</f>
        <v>0.009608689598</v>
      </c>
      <c r="C190" s="7">
        <f>150/9396</f>
        <v>0.0159642401</v>
      </c>
      <c r="D190" s="7">
        <f>276/9483</f>
        <v>0.0291047137</v>
      </c>
      <c r="E190" s="7">
        <f>669/10506</f>
        <v>0.06367789834</v>
      </c>
      <c r="F190" s="7">
        <f>1274/11420</f>
        <v>0.111558669</v>
      </c>
      <c r="G190" s="1"/>
      <c r="H190" s="7">
        <f>69/7181</f>
        <v>0.009608689598</v>
      </c>
      <c r="I190" s="7">
        <f>150/9396</f>
        <v>0.0159642401</v>
      </c>
      <c r="J190" s="7">
        <f>276/9483</f>
        <v>0.0291047137</v>
      </c>
      <c r="K190" s="7">
        <f>669/10506</f>
        <v>0.06367789834</v>
      </c>
      <c r="L190" s="12"/>
      <c r="M190" s="1">
        <v>14.0</v>
      </c>
      <c r="N190" s="4">
        <v>28.0</v>
      </c>
      <c r="O190" s="4">
        <v>30.0</v>
      </c>
      <c r="P190" s="4">
        <v>32.0</v>
      </c>
      <c r="Q190" s="4">
        <v>34.0</v>
      </c>
      <c r="R190" s="4">
        <v>34.0</v>
      </c>
    </row>
    <row r="191">
      <c r="A191" s="1">
        <v>15.0</v>
      </c>
      <c r="B191" s="7">
        <f>539/9995</f>
        <v>0.05392696348</v>
      </c>
      <c r="C191" s="7">
        <f>1047/11957</f>
        <v>0.08756377018</v>
      </c>
      <c r="D191" s="7">
        <f>1399/11566</f>
        <v>0.1209579803</v>
      </c>
      <c r="E191" s="7">
        <f>2157/12383</f>
        <v>0.1741904224</v>
      </c>
      <c r="F191" s="7">
        <f>4200/14437</f>
        <v>0.290919166</v>
      </c>
      <c r="G191" s="1"/>
      <c r="H191" s="7">
        <f>539/9995</f>
        <v>0.05392696348</v>
      </c>
      <c r="I191" s="11">
        <f>128/11957</f>
        <v>0.01070502634</v>
      </c>
      <c r="J191" s="11">
        <f>142/11567</f>
        <v>0.01227630328</v>
      </c>
      <c r="K191" s="11">
        <f>294/12383</f>
        <v>0.02374222725</v>
      </c>
      <c r="L191" s="12"/>
      <c r="M191" s="1">
        <v>15.0</v>
      </c>
      <c r="N191" s="4">
        <v>32.0</v>
      </c>
      <c r="O191" s="4">
        <v>32.0</v>
      </c>
      <c r="P191" s="4">
        <v>33.0</v>
      </c>
      <c r="Q191" s="4">
        <v>35.0</v>
      </c>
      <c r="R191" s="4">
        <v>36.0</v>
      </c>
    </row>
    <row r="192">
      <c r="A192" s="1">
        <v>16.0</v>
      </c>
      <c r="B192" s="7">
        <v>0.0</v>
      </c>
      <c r="C192" s="7">
        <v>0.0</v>
      </c>
      <c r="D192" s="7">
        <v>0.0</v>
      </c>
      <c r="E192" s="7">
        <v>0.0</v>
      </c>
      <c r="F192" s="7">
        <v>0.0</v>
      </c>
      <c r="G192" s="1"/>
      <c r="H192" s="7">
        <v>0.0</v>
      </c>
      <c r="I192" s="7">
        <v>0.0</v>
      </c>
      <c r="J192" s="7">
        <v>0.0</v>
      </c>
      <c r="K192" s="7">
        <v>0.0</v>
      </c>
      <c r="L192" s="7">
        <v>0.0</v>
      </c>
      <c r="M192" s="1">
        <v>16.0</v>
      </c>
      <c r="N192" s="4">
        <v>0.0</v>
      </c>
      <c r="O192" s="4">
        <v>0.0</v>
      </c>
      <c r="P192" s="4">
        <v>0.0</v>
      </c>
      <c r="Q192" s="4">
        <v>0.0</v>
      </c>
      <c r="R192" s="4">
        <v>0.0</v>
      </c>
    </row>
    <row r="193">
      <c r="A193" s="1" t="s">
        <v>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4">
        <v>1364.0</v>
      </c>
      <c r="C194" s="4">
        <v>1363.0</v>
      </c>
      <c r="D194" s="4">
        <v>1360.0</v>
      </c>
      <c r="E194" s="4">
        <v>1359.0</v>
      </c>
      <c r="F194" s="4">
        <v>1365.0</v>
      </c>
      <c r="G194" s="1"/>
      <c r="H194" s="4">
        <v>1364.0</v>
      </c>
      <c r="I194" s="4">
        <v>1363.0</v>
      </c>
      <c r="J194" s="4">
        <v>1360.0</v>
      </c>
      <c r="K194" s="4">
        <v>1359.0</v>
      </c>
      <c r="L194" s="4">
        <v>1365.0</v>
      </c>
      <c r="M194" s="1"/>
      <c r="N194" s="4">
        <v>1364.0</v>
      </c>
      <c r="O194" s="4">
        <v>1363.0</v>
      </c>
      <c r="P194" s="4">
        <v>1360.0</v>
      </c>
      <c r="Q194" s="4">
        <v>1359.0</v>
      </c>
      <c r="R194" s="4">
        <v>1365.0</v>
      </c>
    </row>
    <row r="195">
      <c r="A195" s="1" t="s">
        <v>15</v>
      </c>
      <c r="B195" s="4">
        <v>700.0</v>
      </c>
      <c r="C195" s="4">
        <v>725.0</v>
      </c>
      <c r="D195" s="4">
        <v>750.0</v>
      </c>
      <c r="E195" s="4">
        <v>775.0</v>
      </c>
      <c r="F195" s="4">
        <v>800.0</v>
      </c>
      <c r="G195" s="1"/>
      <c r="H195" s="4">
        <v>700.0</v>
      </c>
      <c r="I195" s="4">
        <v>725.0</v>
      </c>
      <c r="J195" s="4">
        <v>750.0</v>
      </c>
      <c r="K195" s="4">
        <v>775.0</v>
      </c>
      <c r="L195" s="4">
        <v>800.0</v>
      </c>
      <c r="M195" s="1" t="s">
        <v>4</v>
      </c>
      <c r="N195" s="4">
        <v>700.0</v>
      </c>
      <c r="O195" s="4">
        <v>725.0</v>
      </c>
      <c r="P195" s="4">
        <v>750.0</v>
      </c>
      <c r="Q195" s="4">
        <v>775.0</v>
      </c>
      <c r="R195" s="4">
        <v>800.0</v>
      </c>
    </row>
    <row r="196">
      <c r="A196" s="1">
        <v>1.0</v>
      </c>
      <c r="B196" s="7">
        <f>10/3654</f>
        <v>0.002736726875</v>
      </c>
      <c r="C196" s="7">
        <f>44/6090</f>
        <v>0.007224958949</v>
      </c>
      <c r="D196" s="7">
        <f>143/8941</f>
        <v>0.01599373672</v>
      </c>
      <c r="E196" s="7">
        <f>605/6685</f>
        <v>0.09050112191</v>
      </c>
      <c r="F196" s="7">
        <f>3411/15247</f>
        <v>0.2237161409</v>
      </c>
      <c r="G196" s="1"/>
      <c r="H196" s="7">
        <f>10/3654</f>
        <v>0.002736726875</v>
      </c>
      <c r="I196" s="7">
        <f>44/6090</f>
        <v>0.007224958949</v>
      </c>
      <c r="J196" s="7">
        <f>143/8941</f>
        <v>0.01599373672</v>
      </c>
      <c r="K196" s="13">
        <f>442/6685</f>
        <v>0.06611817502</v>
      </c>
      <c r="L196" s="12"/>
      <c r="M196" s="1">
        <v>1.0</v>
      </c>
      <c r="N196" s="4">
        <v>24.0</v>
      </c>
      <c r="O196" s="4">
        <v>24.0</v>
      </c>
      <c r="P196" s="4">
        <v>25.0</v>
      </c>
      <c r="Q196" s="4">
        <v>26.0</v>
      </c>
      <c r="R196" s="4">
        <v>32.0</v>
      </c>
    </row>
    <row r="197">
      <c r="A197" s="1">
        <v>2.0</v>
      </c>
      <c r="B197" s="7">
        <f>729/10675</f>
        <v>0.06829039813</v>
      </c>
      <c r="C197" s="7">
        <f>1285/12806</f>
        <v>0.1003435889</v>
      </c>
      <c r="D197" s="7">
        <f>2937/15379</f>
        <v>0.1909747058</v>
      </c>
      <c r="E197" s="7">
        <f>6276/14152</f>
        <v>0.4434708875</v>
      </c>
      <c r="F197" s="7">
        <f>19005/32730</f>
        <v>0.580659945</v>
      </c>
      <c r="G197" s="1"/>
      <c r="H197" s="7">
        <f>729/10675</f>
        <v>0.06829039813</v>
      </c>
      <c r="I197" s="13">
        <f>206/12806</f>
        <v>0.01608620959</v>
      </c>
      <c r="J197" s="13">
        <f>802/15379</f>
        <v>0.0521490344</v>
      </c>
      <c r="K197" s="13">
        <f>2224/14152</f>
        <v>0.1571509327</v>
      </c>
      <c r="L197" s="12"/>
      <c r="M197" s="1">
        <v>2.0</v>
      </c>
      <c r="N197" s="4">
        <v>30.0</v>
      </c>
      <c r="O197" s="4">
        <v>32.0</v>
      </c>
      <c r="P197" s="4">
        <v>34.0</v>
      </c>
      <c r="Q197" s="4">
        <v>34.0</v>
      </c>
      <c r="R197" s="4">
        <v>36.0</v>
      </c>
    </row>
    <row r="198">
      <c r="A198" s="1">
        <v>3.0</v>
      </c>
      <c r="B198" s="7">
        <f>6/3842</f>
        <v>0.001561686622</v>
      </c>
      <c r="C198" s="7">
        <f>21/6725</f>
        <v>0.00312267658</v>
      </c>
      <c r="D198" s="7">
        <f>57/9369</f>
        <v>0.006083893692</v>
      </c>
      <c r="E198" s="7">
        <f>228/7096</f>
        <v>0.0321307779</v>
      </c>
      <c r="F198" s="7">
        <f>1266/13979</f>
        <v>0.09056441806</v>
      </c>
      <c r="G198" s="1"/>
      <c r="H198" s="7">
        <f>6/3842</f>
        <v>0.001561686622</v>
      </c>
      <c r="I198" s="7">
        <f>21/6725</f>
        <v>0.00312267658</v>
      </c>
      <c r="J198" s="7">
        <f>57/9369</f>
        <v>0.006083893692</v>
      </c>
      <c r="K198" s="7">
        <f>228/7096</f>
        <v>0.0321307779</v>
      </c>
      <c r="L198" s="7">
        <f>1266/13979</f>
        <v>0.09056441806</v>
      </c>
      <c r="M198" s="1">
        <v>3.0</v>
      </c>
      <c r="N198" s="4">
        <v>24.0</v>
      </c>
      <c r="O198" s="4">
        <v>24.0</v>
      </c>
      <c r="P198" s="4">
        <v>25.0</v>
      </c>
      <c r="Q198" s="4">
        <v>25.0</v>
      </c>
      <c r="R198" s="4">
        <v>30.0</v>
      </c>
    </row>
    <row r="199">
      <c r="A199" s="1">
        <v>4.0</v>
      </c>
      <c r="B199" s="7">
        <f>17/5302</f>
        <v>0.003206337231</v>
      </c>
      <c r="C199" s="7">
        <f>56/8360</f>
        <v>0.006698564593</v>
      </c>
      <c r="D199" s="7">
        <f>170/10715</f>
        <v>0.01586560896</v>
      </c>
      <c r="E199" s="7">
        <f>475/8232</f>
        <v>0.05770165209</v>
      </c>
      <c r="F199" s="7">
        <f>2263/15455</f>
        <v>0.1464251051</v>
      </c>
      <c r="G199" s="1"/>
      <c r="H199" s="7">
        <f>17/5302</f>
        <v>0.003206337231</v>
      </c>
      <c r="I199" s="7">
        <f>56/8360</f>
        <v>0.006698564593</v>
      </c>
      <c r="J199" s="7">
        <f>170/10715</f>
        <v>0.01586560896</v>
      </c>
      <c r="K199" s="7">
        <f>475/8232</f>
        <v>0.05770165209</v>
      </c>
      <c r="L199" s="12"/>
      <c r="M199" s="1">
        <v>4.0</v>
      </c>
      <c r="N199" s="4">
        <v>24.0</v>
      </c>
      <c r="O199" s="4">
        <v>24.0</v>
      </c>
      <c r="P199" s="4">
        <v>25.0</v>
      </c>
      <c r="Q199" s="4">
        <v>30.0</v>
      </c>
      <c r="R199" s="4">
        <v>32.0</v>
      </c>
    </row>
    <row r="200">
      <c r="A200" s="1">
        <v>5.0</v>
      </c>
      <c r="B200" s="7">
        <f>9/3689</f>
        <v>0.002439685552</v>
      </c>
      <c r="C200" s="7">
        <f>38/6487</f>
        <v>0.005857869585</v>
      </c>
      <c r="D200" s="7">
        <f>211/9191</f>
        <v>0.02295724078</v>
      </c>
      <c r="E200" s="7">
        <f>808/7736</f>
        <v>0.1044467425</v>
      </c>
      <c r="F200" s="7">
        <f>4403/16431</f>
        <v>0.2679690828</v>
      </c>
      <c r="G200" s="1"/>
      <c r="H200" s="7">
        <f>9/3689</f>
        <v>0.002439685552</v>
      </c>
      <c r="I200" s="7">
        <f>38/6487</f>
        <v>0.005857869585</v>
      </c>
      <c r="J200" s="7">
        <f>211/9191</f>
        <v>0.02295724078</v>
      </c>
      <c r="K200" s="13">
        <f>636/7736</f>
        <v>0.08221302999</v>
      </c>
      <c r="L200" s="12"/>
      <c r="M200" s="1">
        <v>5.0</v>
      </c>
      <c r="N200" s="4">
        <v>24.0</v>
      </c>
      <c r="O200" s="4">
        <v>24.0</v>
      </c>
      <c r="P200" s="4">
        <v>24.0</v>
      </c>
      <c r="Q200" s="4">
        <v>27.0</v>
      </c>
      <c r="R200" s="4">
        <v>32.0</v>
      </c>
    </row>
    <row r="201">
      <c r="A201" s="1">
        <v>6.0</v>
      </c>
      <c r="B201" s="7">
        <f>1/1793</f>
        <v>0.0005577244841</v>
      </c>
      <c r="C201" s="7">
        <f>3/3937</f>
        <v>0.000762001524</v>
      </c>
      <c r="D201" s="7">
        <f>11/6573</f>
        <v>0.001673512856</v>
      </c>
      <c r="E201" s="7">
        <f>31/6093</f>
        <v>0.005087805679</v>
      </c>
      <c r="F201" s="7">
        <f>216/11440</f>
        <v>0.01888111888</v>
      </c>
      <c r="G201" s="1"/>
      <c r="H201" s="7">
        <f>1/1793</f>
        <v>0.0005577244841</v>
      </c>
      <c r="I201" s="7">
        <f>3/3937</f>
        <v>0.000762001524</v>
      </c>
      <c r="J201" s="7">
        <f>11/6573</f>
        <v>0.001673512856</v>
      </c>
      <c r="K201" s="7">
        <f>31/6093</f>
        <v>0.005087805679</v>
      </c>
      <c r="L201" s="7">
        <f>216/11440</f>
        <v>0.01888111888</v>
      </c>
      <c r="M201" s="1">
        <v>6.0</v>
      </c>
      <c r="N201" s="4">
        <v>0.0</v>
      </c>
      <c r="O201" s="4">
        <v>0.0</v>
      </c>
      <c r="P201" s="4">
        <v>0.0</v>
      </c>
      <c r="Q201" s="4">
        <v>0.0</v>
      </c>
      <c r="R201" s="4">
        <v>24.0</v>
      </c>
    </row>
    <row r="202">
      <c r="A202" s="1">
        <v>7.0</v>
      </c>
      <c r="B202" s="7">
        <f>24/3062</f>
        <v>0.00783801437</v>
      </c>
      <c r="C202" s="7">
        <f>88/6374</f>
        <v>0.01380608723</v>
      </c>
      <c r="D202" s="7">
        <f>325/10004</f>
        <v>0.0324870052</v>
      </c>
      <c r="E202" s="7">
        <f>892/9237</f>
        <v>0.09656814983</v>
      </c>
      <c r="F202" s="7">
        <f>4452/19154</f>
        <v>0.232431868</v>
      </c>
      <c r="G202" s="1"/>
      <c r="H202" s="7">
        <f>24/3062</f>
        <v>0.00783801437</v>
      </c>
      <c r="I202" s="7">
        <f>88/6374</f>
        <v>0.01380608723</v>
      </c>
      <c r="J202" s="7">
        <f>325/10004</f>
        <v>0.0324870052</v>
      </c>
      <c r="K202" s="13">
        <f>712/9237</f>
        <v>0.07708130345</v>
      </c>
      <c r="L202" s="12"/>
      <c r="M202" s="1">
        <v>7.0</v>
      </c>
      <c r="N202" s="4">
        <v>22.0</v>
      </c>
      <c r="O202" s="4">
        <v>24.0</v>
      </c>
      <c r="P202" s="4">
        <v>24.0</v>
      </c>
      <c r="Q202" s="4">
        <v>25.0</v>
      </c>
      <c r="R202" s="4">
        <v>26.0</v>
      </c>
    </row>
    <row r="203">
      <c r="A203" s="1">
        <v>8.0</v>
      </c>
      <c r="B203" s="7">
        <f>0/481</f>
        <v>0</v>
      </c>
      <c r="C203" s="7">
        <f>0/1301</f>
        <v>0</v>
      </c>
      <c r="D203" s="7">
        <f>12/2880</f>
        <v>0.004166666667</v>
      </c>
      <c r="E203" s="7">
        <f>20/3620</f>
        <v>0.005524861878</v>
      </c>
      <c r="F203" s="7">
        <f>95/7703</f>
        <v>0.01233285733</v>
      </c>
      <c r="G203" s="1"/>
      <c r="H203" s="7">
        <f>0/481</f>
        <v>0</v>
      </c>
      <c r="I203" s="7">
        <f>0/1301</f>
        <v>0</v>
      </c>
      <c r="J203" s="7">
        <f>12/2880</f>
        <v>0.004166666667</v>
      </c>
      <c r="K203" s="7">
        <f>20/3620</f>
        <v>0.005524861878</v>
      </c>
      <c r="L203" s="7">
        <f>95/7703</f>
        <v>0.01233285733</v>
      </c>
      <c r="M203" s="1">
        <v>8.0</v>
      </c>
      <c r="N203" s="4">
        <v>0.0</v>
      </c>
      <c r="O203" s="4">
        <v>0.0</v>
      </c>
      <c r="P203" s="4">
        <v>0.0</v>
      </c>
      <c r="Q203" s="4">
        <v>0.0</v>
      </c>
      <c r="R203" s="4">
        <v>0.0</v>
      </c>
    </row>
    <row r="204">
      <c r="A204" s="1">
        <v>9.0</v>
      </c>
      <c r="B204" s="7">
        <f>730/10590</f>
        <v>0.06893295562</v>
      </c>
      <c r="C204" s="7">
        <f>1203/12272</f>
        <v>0.09802803129</v>
      </c>
      <c r="D204" s="7">
        <f>2503/14077</f>
        <v>0.1778077715</v>
      </c>
      <c r="E204" s="7">
        <f>5833/14111</f>
        <v>0.4133654596</v>
      </c>
      <c r="F204" s="7">
        <f>18422/30807</f>
        <v>0.5979809783</v>
      </c>
      <c r="G204" s="1"/>
      <c r="H204" s="7">
        <f>730/10590</f>
        <v>0.06893295562</v>
      </c>
      <c r="I204" s="13">
        <f>177/12272</f>
        <v>0.01442307692</v>
      </c>
      <c r="J204" s="13">
        <f>575/14077</f>
        <v>0.04084677133</v>
      </c>
      <c r="K204" s="13">
        <f>1698/14111</f>
        <v>0.1203316562</v>
      </c>
      <c r="L204" s="12"/>
      <c r="M204" s="1">
        <v>9.0</v>
      </c>
      <c r="N204" s="4">
        <v>33.0</v>
      </c>
      <c r="O204" s="4">
        <v>34.0</v>
      </c>
      <c r="P204" s="4">
        <v>36.0</v>
      </c>
      <c r="Q204" s="4">
        <v>38.0</v>
      </c>
      <c r="R204" s="4">
        <v>38.0</v>
      </c>
    </row>
    <row r="205">
      <c r="A205" s="1">
        <v>10.0</v>
      </c>
      <c r="B205" s="7">
        <f>17/5823</f>
        <v>0.002919457324</v>
      </c>
      <c r="C205" s="7">
        <f>45/8611</f>
        <v>0.005225873882</v>
      </c>
      <c r="D205" s="7">
        <f>161/10821</f>
        <v>0.01487847704</v>
      </c>
      <c r="E205" s="7">
        <f>323/9071</f>
        <v>0.03560798148</v>
      </c>
      <c r="F205" s="7">
        <f>987/14211</f>
        <v>0.06945324045</v>
      </c>
      <c r="G205" s="1"/>
      <c r="H205" s="7">
        <f>17/5823</f>
        <v>0.002919457324</v>
      </c>
      <c r="I205" s="7">
        <f>45/8611</f>
        <v>0.005225873882</v>
      </c>
      <c r="J205" s="7">
        <f>161/10821</f>
        <v>0.01487847704</v>
      </c>
      <c r="K205" s="7">
        <f>323/9071</f>
        <v>0.03560798148</v>
      </c>
      <c r="L205" s="7">
        <f>987/14211</f>
        <v>0.06945324045</v>
      </c>
      <c r="M205" s="1">
        <v>10.0</v>
      </c>
      <c r="N205" s="4">
        <v>24.0</v>
      </c>
      <c r="O205" s="4">
        <v>28.0</v>
      </c>
      <c r="P205" s="4">
        <v>32.0</v>
      </c>
      <c r="Q205" s="4">
        <v>34.0</v>
      </c>
      <c r="R205" s="4">
        <v>34.0</v>
      </c>
    </row>
    <row r="206">
      <c r="A206" s="1">
        <v>11.0</v>
      </c>
      <c r="B206" s="7">
        <f>249/10335</f>
        <v>0.02409288824</v>
      </c>
      <c r="C206" s="7">
        <f>601/12547</f>
        <v>0.04789989639</v>
      </c>
      <c r="D206" s="7">
        <f>1286/13852</f>
        <v>0.09283857927</v>
      </c>
      <c r="E206" s="7">
        <f>1648/11268</f>
        <v>0.1462548811</v>
      </c>
      <c r="F206" s="7">
        <f>6053/19519</f>
        <v>0.3101080998</v>
      </c>
      <c r="G206" s="1"/>
      <c r="H206" s="7">
        <f>249/10335</f>
        <v>0.02409288824</v>
      </c>
      <c r="I206" s="7">
        <f>601/12547</f>
        <v>0.04789989639</v>
      </c>
      <c r="J206" s="13">
        <f>80/13852</f>
        <v>0.005775339301</v>
      </c>
      <c r="K206" s="13">
        <f>224/11268</f>
        <v>0.01987930422</v>
      </c>
      <c r="L206" s="12"/>
      <c r="M206" s="1">
        <v>11.0</v>
      </c>
      <c r="N206" s="4">
        <v>35.0</v>
      </c>
      <c r="O206" s="4">
        <v>36.0</v>
      </c>
      <c r="P206" s="4">
        <v>38.0</v>
      </c>
      <c r="Q206" s="4">
        <v>38.0</v>
      </c>
      <c r="R206" s="4">
        <v>40.0</v>
      </c>
    </row>
    <row r="207">
      <c r="A207" s="1">
        <v>12.0</v>
      </c>
      <c r="B207" s="7">
        <f>0/261</f>
        <v>0</v>
      </c>
      <c r="C207" s="7">
        <f>0/998</f>
        <v>0</v>
      </c>
      <c r="D207" s="7">
        <f>1/2305</f>
        <v>0.0004338394794</v>
      </c>
      <c r="E207" s="7">
        <f>1/3674</f>
        <v>0.0002721829069</v>
      </c>
      <c r="F207" s="7">
        <f>3/7052</f>
        <v>0.0004254112309</v>
      </c>
      <c r="G207" s="1"/>
      <c r="H207" s="7">
        <f>0/261</f>
        <v>0</v>
      </c>
      <c r="I207" s="7">
        <f>0/998</f>
        <v>0</v>
      </c>
      <c r="J207" s="7">
        <f>1/2305</f>
        <v>0.0004338394794</v>
      </c>
      <c r="K207" s="7">
        <f>1/3674</f>
        <v>0.0002721829069</v>
      </c>
      <c r="L207" s="7">
        <f>3/7052</f>
        <v>0.0004254112309</v>
      </c>
      <c r="M207" s="1">
        <v>12.0</v>
      </c>
      <c r="N207" s="4">
        <v>24.0</v>
      </c>
      <c r="O207" s="4">
        <v>24.0</v>
      </c>
      <c r="P207" s="4">
        <v>24.0</v>
      </c>
      <c r="Q207" s="4">
        <v>25.0</v>
      </c>
      <c r="R207" s="4">
        <v>28.0</v>
      </c>
    </row>
    <row r="208">
      <c r="A208" s="1">
        <v>13.0</v>
      </c>
      <c r="B208" s="7">
        <v>0.0</v>
      </c>
      <c r="C208" s="7">
        <v>0.0</v>
      </c>
      <c r="D208" s="7">
        <v>0.0</v>
      </c>
      <c r="E208" s="7">
        <v>0.0</v>
      </c>
      <c r="F208" s="7">
        <v>0.0</v>
      </c>
      <c r="G208" s="1"/>
      <c r="H208" s="7">
        <v>0.0</v>
      </c>
      <c r="I208" s="7">
        <v>0.0</v>
      </c>
      <c r="J208" s="7">
        <v>0.0</v>
      </c>
      <c r="K208" s="7">
        <v>0.0</v>
      </c>
      <c r="L208" s="7">
        <v>0.0</v>
      </c>
      <c r="M208" s="1">
        <v>13.0</v>
      </c>
      <c r="N208" s="4">
        <v>0.0</v>
      </c>
      <c r="O208" s="4">
        <v>0.0</v>
      </c>
      <c r="P208" s="4">
        <v>0.0</v>
      </c>
      <c r="Q208" s="4">
        <v>0.0</v>
      </c>
      <c r="R208" s="4">
        <v>0.0</v>
      </c>
    </row>
    <row r="209">
      <c r="A209" s="1">
        <v>14.0</v>
      </c>
      <c r="B209" s="7">
        <f>6/2597</f>
        <v>0.002310358106</v>
      </c>
      <c r="C209" s="7">
        <f>26/5023</f>
        <v>0.005176189528</v>
      </c>
      <c r="D209" s="7">
        <f>104/7513</f>
        <v>0.0138426727</v>
      </c>
      <c r="E209" s="7">
        <f>441/7731</f>
        <v>0.05704307334</v>
      </c>
      <c r="F209" s="7">
        <f>2958/14343</f>
        <v>0.2062330056</v>
      </c>
      <c r="G209" s="1"/>
      <c r="H209" s="7">
        <f>6/2597</f>
        <v>0.002310358106</v>
      </c>
      <c r="I209" s="7">
        <f>26/5023</f>
        <v>0.005176189528</v>
      </c>
      <c r="J209" s="7">
        <f>104/7513</f>
        <v>0.0138426727</v>
      </c>
      <c r="K209" s="7">
        <f>441/7731</f>
        <v>0.05704307334</v>
      </c>
      <c r="L209" s="12"/>
      <c r="M209" s="1">
        <v>14.0</v>
      </c>
      <c r="N209" s="4">
        <v>24.0</v>
      </c>
      <c r="O209" s="4">
        <v>24.0</v>
      </c>
      <c r="P209" s="4">
        <v>24.0</v>
      </c>
      <c r="Q209" s="4">
        <v>25.0</v>
      </c>
      <c r="R209" s="4">
        <v>28.0</v>
      </c>
    </row>
    <row r="210">
      <c r="A210" s="1">
        <v>15.0</v>
      </c>
      <c r="B210" s="7">
        <f>107/6209</f>
        <v>0.0172330488</v>
      </c>
      <c r="C210" s="7">
        <f>283/9419</f>
        <v>0.0300456524</v>
      </c>
      <c r="D210" s="7">
        <f>1372/12763</f>
        <v>0.1074982371</v>
      </c>
      <c r="E210" s="7">
        <f>3624/13606</f>
        <v>0.2663530795</v>
      </c>
      <c r="F210" s="7">
        <f>15125/29624</f>
        <v>0.5105657575</v>
      </c>
      <c r="G210" s="1"/>
      <c r="H210" s="7">
        <f>107/6209</f>
        <v>0.0172330488</v>
      </c>
      <c r="I210" s="7">
        <f>283/9419</f>
        <v>0.0300456524</v>
      </c>
      <c r="J210" s="13">
        <f>822/12763</f>
        <v>0.06440492047</v>
      </c>
      <c r="K210" s="13">
        <f>2105/13607</f>
        <v>0.1546997869</v>
      </c>
      <c r="L210" s="12"/>
      <c r="M210" s="1">
        <v>15.0</v>
      </c>
      <c r="N210" s="4">
        <v>24.0</v>
      </c>
      <c r="O210" s="4">
        <v>26.0</v>
      </c>
      <c r="P210" s="4">
        <v>30.0</v>
      </c>
      <c r="Q210" s="4">
        <v>36.0</v>
      </c>
      <c r="R210" s="4">
        <v>40.0</v>
      </c>
    </row>
    <row r="211">
      <c r="A211" s="1">
        <v>16.0</v>
      </c>
      <c r="B211" s="7">
        <v>0.0</v>
      </c>
      <c r="C211" s="7">
        <v>0.0</v>
      </c>
      <c r="D211" s="7">
        <v>0.0</v>
      </c>
      <c r="E211" s="7">
        <v>0.0</v>
      </c>
      <c r="F211" s="7">
        <v>0.0</v>
      </c>
      <c r="G211" s="1"/>
      <c r="H211" s="7">
        <v>0.0</v>
      </c>
      <c r="I211" s="7">
        <v>0.0</v>
      </c>
      <c r="J211" s="7">
        <v>0.0</v>
      </c>
      <c r="K211" s="7">
        <v>0.0</v>
      </c>
      <c r="L211" s="7">
        <v>0.0</v>
      </c>
      <c r="M211" s="1">
        <v>16.0</v>
      </c>
      <c r="N211" s="4">
        <v>0.0</v>
      </c>
      <c r="O211" s="4">
        <v>0.0</v>
      </c>
      <c r="P211" s="4">
        <v>0.0</v>
      </c>
      <c r="Q211" s="4">
        <v>0.0</v>
      </c>
      <c r="R211" s="4">
        <v>0.0</v>
      </c>
    </row>
    <row r="212">
      <c r="A212" s="1" t="s">
        <v>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>
      <c r="A213" s="1"/>
      <c r="B213" s="4">
        <v>1365.0</v>
      </c>
      <c r="C213" s="4">
        <v>1364.0</v>
      </c>
      <c r="D213" s="4">
        <v>1363.0</v>
      </c>
      <c r="E213" s="4">
        <v>1360.0</v>
      </c>
      <c r="F213" s="4">
        <v>1356.0</v>
      </c>
      <c r="G213" s="1"/>
      <c r="H213" s="4">
        <v>1365.0</v>
      </c>
      <c r="I213" s="4">
        <v>1364.0</v>
      </c>
      <c r="J213" s="4">
        <v>1363.0</v>
      </c>
      <c r="K213" s="4">
        <v>1360.0</v>
      </c>
      <c r="L213" s="4">
        <v>1356.0</v>
      </c>
      <c r="M213" s="1"/>
      <c r="N213" s="4">
        <v>1365.0</v>
      </c>
      <c r="O213" s="4">
        <v>1364.0</v>
      </c>
      <c r="P213" s="4">
        <v>1363.0</v>
      </c>
      <c r="Q213" s="4">
        <v>1360.0</v>
      </c>
      <c r="R213" s="4">
        <v>1356.0</v>
      </c>
    </row>
    <row r="214">
      <c r="A214" s="1" t="s">
        <v>16</v>
      </c>
      <c r="B214" s="4">
        <v>700.0</v>
      </c>
      <c r="C214" s="4">
        <v>725.0</v>
      </c>
      <c r="D214" s="4">
        <v>750.0</v>
      </c>
      <c r="E214" s="4">
        <v>775.0</v>
      </c>
      <c r="F214" s="4">
        <v>800.0</v>
      </c>
      <c r="G214" s="1"/>
      <c r="H214" s="4">
        <v>700.0</v>
      </c>
      <c r="I214" s="4">
        <v>725.0</v>
      </c>
      <c r="J214" s="4">
        <v>750.0</v>
      </c>
      <c r="K214" s="4">
        <v>775.0</v>
      </c>
      <c r="L214" s="4">
        <v>800.0</v>
      </c>
      <c r="M214" s="1" t="s">
        <v>4</v>
      </c>
      <c r="N214" s="4">
        <v>700.0</v>
      </c>
      <c r="O214" s="4">
        <v>725.0</v>
      </c>
      <c r="P214" s="4">
        <v>750.0</v>
      </c>
      <c r="Q214" s="4">
        <v>775.0</v>
      </c>
      <c r="R214" s="4">
        <v>800.0</v>
      </c>
    </row>
    <row r="215">
      <c r="A215" s="1">
        <v>1.0</v>
      </c>
      <c r="B215" s="7">
        <f>1/126</f>
        <v>0.007936507937</v>
      </c>
      <c r="C215" s="7">
        <f>2/571</f>
        <v>0.00350262697</v>
      </c>
      <c r="D215" s="7">
        <f>1/1504</f>
        <v>0.000664893617</v>
      </c>
      <c r="E215" s="7">
        <f>3/2963</f>
        <v>0.001012487344</v>
      </c>
      <c r="F215" s="7">
        <f>6/414</f>
        <v>0.01449275362</v>
      </c>
      <c r="G215" s="1"/>
      <c r="H215" s="7">
        <f>1/126</f>
        <v>0.007936507937</v>
      </c>
      <c r="I215" s="7">
        <f>2/571</f>
        <v>0.00350262697</v>
      </c>
      <c r="J215" s="7">
        <f>1/1504</f>
        <v>0.000664893617</v>
      </c>
      <c r="K215" s="7">
        <f>3/2963</f>
        <v>0.001012487344</v>
      </c>
      <c r="L215" s="7">
        <f>6/414</f>
        <v>0.01449275362</v>
      </c>
      <c r="M215" s="1">
        <v>1.0</v>
      </c>
      <c r="N215" s="4">
        <v>0.0</v>
      </c>
      <c r="O215" s="4">
        <v>0.0</v>
      </c>
      <c r="P215" s="4">
        <v>0.0</v>
      </c>
      <c r="Q215" s="4">
        <v>0.0</v>
      </c>
      <c r="R215" s="4">
        <v>0.0</v>
      </c>
    </row>
    <row r="216">
      <c r="A216" s="1">
        <v>2.0</v>
      </c>
      <c r="B216" s="7">
        <f>864/8423</f>
        <v>0.1025762792</v>
      </c>
      <c r="C216" s="7">
        <f>1128/10640</f>
        <v>0.1060150376</v>
      </c>
      <c r="D216" s="7">
        <f>1809/12417</f>
        <v>0.1456873641</v>
      </c>
      <c r="E216" s="7">
        <f>4939/16574</f>
        <v>0.2979968626</v>
      </c>
      <c r="F216" s="7">
        <f>4785/6361</f>
        <v>0.7522402138</v>
      </c>
      <c r="G216" s="1"/>
      <c r="H216" s="13">
        <f>501/8423</f>
        <v>0.05947999525</v>
      </c>
      <c r="I216" s="13">
        <f>311/10640</f>
        <v>0.02922932331</v>
      </c>
      <c r="J216" s="13">
        <f>592/12417</f>
        <v>0.04767657244</v>
      </c>
      <c r="K216" s="13">
        <f>2331/16574</f>
        <v>0.1406419693</v>
      </c>
      <c r="L216" s="12"/>
      <c r="M216" s="1">
        <v>2.0</v>
      </c>
      <c r="N216" s="4">
        <v>28.0</v>
      </c>
      <c r="O216" s="4">
        <v>28.0</v>
      </c>
      <c r="P216" s="4">
        <v>30.0</v>
      </c>
      <c r="Q216" s="4">
        <v>32.0</v>
      </c>
      <c r="R216" s="4">
        <v>33.0</v>
      </c>
    </row>
    <row r="217">
      <c r="A217" s="1">
        <v>3.0</v>
      </c>
      <c r="B217" s="7">
        <f>710/8954</f>
        <v>0.0792941702</v>
      </c>
      <c r="C217" s="7">
        <f>956/10838</f>
        <v>0.08820815649</v>
      </c>
      <c r="D217" s="7">
        <f>1705/12364</f>
        <v>0.1379003559</v>
      </c>
      <c r="E217" s="7">
        <f>3530/14997</f>
        <v>0.2353804094</v>
      </c>
      <c r="F217" s="7">
        <f>3619/4897</f>
        <v>0.7390238922</v>
      </c>
      <c r="G217" s="1"/>
      <c r="H217" s="13">
        <f>141/8954</f>
        <v>0.01574715211</v>
      </c>
      <c r="I217" s="13">
        <f>121/10838</f>
        <v>0.01116442148</v>
      </c>
      <c r="J217" s="13">
        <f>289/12364</f>
        <v>0.02337431252</v>
      </c>
      <c r="K217" s="13">
        <f>1119/14997</f>
        <v>0.07461492298</v>
      </c>
      <c r="L217" s="12"/>
      <c r="M217" s="1">
        <v>3.0</v>
      </c>
      <c r="N217" s="4">
        <v>30.0</v>
      </c>
      <c r="O217" s="4">
        <v>30.0</v>
      </c>
      <c r="P217" s="4">
        <v>32.0</v>
      </c>
      <c r="Q217" s="4">
        <v>33.0</v>
      </c>
      <c r="R217" s="4">
        <v>33.0</v>
      </c>
    </row>
    <row r="218">
      <c r="A218" s="1">
        <v>4.0</v>
      </c>
      <c r="B218" s="7">
        <f>544/9013</f>
        <v>0.06035726173</v>
      </c>
      <c r="C218" s="7">
        <f>825/10796</f>
        <v>0.07641719155</v>
      </c>
      <c r="D218" s="7">
        <f>1444/12326</f>
        <v>0.1171507383</v>
      </c>
      <c r="E218" s="7">
        <f>4302/15904</f>
        <v>0.2704979879</v>
      </c>
      <c r="F218" s="7">
        <f>4672/6242</f>
        <v>0.7484780519</v>
      </c>
      <c r="G218" s="1"/>
      <c r="H218" s="7">
        <f>544/9013</f>
        <v>0.06035726173</v>
      </c>
      <c r="I218" s="13">
        <f>154/10796</f>
        <v>0.01426454242</v>
      </c>
      <c r="J218" s="13">
        <f>312/12326</f>
        <v>0.02531234788</v>
      </c>
      <c r="K218" s="13">
        <f>1492/15904</f>
        <v>0.09381287726</v>
      </c>
      <c r="L218" s="12"/>
      <c r="M218" s="1">
        <v>4.0</v>
      </c>
      <c r="N218" s="4">
        <v>28.0</v>
      </c>
      <c r="O218" s="4">
        <v>30.0</v>
      </c>
      <c r="P218" s="4">
        <v>30.0</v>
      </c>
      <c r="Q218" s="4">
        <v>32.0</v>
      </c>
      <c r="R218" s="4">
        <v>33.0</v>
      </c>
    </row>
    <row r="219">
      <c r="A219" s="1">
        <v>5.0</v>
      </c>
      <c r="B219" s="7">
        <f>0/132</f>
        <v>0</v>
      </c>
      <c r="C219" s="7">
        <f>0/698</f>
        <v>0</v>
      </c>
      <c r="D219" s="7">
        <f>0/1667</f>
        <v>0</v>
      </c>
      <c r="E219" s="7">
        <f>1/3398</f>
        <v>0.0002942907593</v>
      </c>
      <c r="F219" s="7">
        <f>0/753</f>
        <v>0</v>
      </c>
      <c r="G219" s="1"/>
      <c r="H219" s="7">
        <f>0/132</f>
        <v>0</v>
      </c>
      <c r="I219" s="7">
        <f>0/698</f>
        <v>0</v>
      </c>
      <c r="J219" s="7">
        <f>0/1667</f>
        <v>0</v>
      </c>
      <c r="K219" s="7">
        <f>1/3398</f>
        <v>0.0002942907593</v>
      </c>
      <c r="L219" s="7">
        <f>0/753</f>
        <v>0</v>
      </c>
      <c r="M219" s="1">
        <v>5.0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</row>
    <row r="220">
      <c r="A220" s="1">
        <v>6.0</v>
      </c>
      <c r="B220" s="7">
        <f>3/2409</f>
        <v>0.001245330012</v>
      </c>
      <c r="C220" s="7">
        <f>6/4792</f>
        <v>0.001252086811</v>
      </c>
      <c r="D220" s="7">
        <f>7/7254</f>
        <v>0.000964984836</v>
      </c>
      <c r="E220" s="7">
        <f>44/9586</f>
        <v>0.004590027123</v>
      </c>
      <c r="F220" s="7">
        <f>59/1965</f>
        <v>0.03002544529</v>
      </c>
      <c r="G220" s="1"/>
      <c r="H220" s="7">
        <f>3/2409</f>
        <v>0.001245330012</v>
      </c>
      <c r="I220" s="7">
        <f>6/4792</f>
        <v>0.001252086811</v>
      </c>
      <c r="J220" s="7">
        <f>7/7254</f>
        <v>0.000964984836</v>
      </c>
      <c r="K220" s="7">
        <f>44/9586</f>
        <v>0.004590027123</v>
      </c>
      <c r="L220" s="7">
        <f>59/1965</f>
        <v>0.03002544529</v>
      </c>
      <c r="M220" s="1">
        <v>6.0</v>
      </c>
      <c r="N220" s="4">
        <v>24.0</v>
      </c>
      <c r="O220" s="4">
        <v>24.0</v>
      </c>
      <c r="P220" s="4">
        <v>24.0</v>
      </c>
      <c r="Q220" s="4">
        <v>26.0</v>
      </c>
      <c r="R220" s="4">
        <v>30.0</v>
      </c>
    </row>
    <row r="221">
      <c r="A221" s="1">
        <v>7.0</v>
      </c>
      <c r="B221" s="7">
        <f>2/2501</f>
        <v>0.0007996801279</v>
      </c>
      <c r="C221" s="7">
        <f>1/4658</f>
        <v>0.0002146844139</v>
      </c>
      <c r="D221" s="7">
        <f>5/7084</f>
        <v>0.0007058159232</v>
      </c>
      <c r="E221" s="7">
        <f>21/9262</f>
        <v>0.002267328871</v>
      </c>
      <c r="F221" s="7">
        <f>36/2537</f>
        <v>0.01418998818</v>
      </c>
      <c r="G221" s="1"/>
      <c r="H221" s="7">
        <f>2/2501</f>
        <v>0.0007996801279</v>
      </c>
      <c r="I221" s="7">
        <f>1/4658</f>
        <v>0.0002146844139</v>
      </c>
      <c r="J221" s="7">
        <f>5/7084</f>
        <v>0.0007058159232</v>
      </c>
      <c r="K221" s="7">
        <f>21/9262</f>
        <v>0.002267328871</v>
      </c>
      <c r="L221" s="7">
        <f>36/2537</f>
        <v>0.01418998818</v>
      </c>
      <c r="M221" s="1">
        <v>7.0</v>
      </c>
      <c r="N221" s="4">
        <v>24.0</v>
      </c>
      <c r="O221" s="4">
        <v>24.0</v>
      </c>
      <c r="P221" s="4">
        <v>24.0</v>
      </c>
      <c r="Q221" s="4">
        <v>26.0</v>
      </c>
      <c r="R221" s="4">
        <v>36.0</v>
      </c>
    </row>
    <row r="222">
      <c r="A222" s="1">
        <v>8.0</v>
      </c>
      <c r="B222" s="7">
        <f>8/2367</f>
        <v>0.003379805661</v>
      </c>
      <c r="C222" s="7">
        <f>26/4633</f>
        <v>0.005611914526</v>
      </c>
      <c r="D222" s="7">
        <f>109/7074</f>
        <v>0.01540853831</v>
      </c>
      <c r="E222" s="7">
        <f>329/9433</f>
        <v>0.03487755751</v>
      </c>
      <c r="F222" s="7">
        <f>312/3459</f>
        <v>0.09019947962</v>
      </c>
      <c r="G222" s="1"/>
      <c r="H222" s="7">
        <f>8/2367</f>
        <v>0.003379805661</v>
      </c>
      <c r="I222" s="7">
        <f>26/4633</f>
        <v>0.005611914526</v>
      </c>
      <c r="J222" s="7">
        <f>109/7074</f>
        <v>0.01540853831</v>
      </c>
      <c r="K222" s="7">
        <f>329/9433</f>
        <v>0.03487755751</v>
      </c>
      <c r="L222" s="7">
        <f>312/3459</f>
        <v>0.09019947962</v>
      </c>
      <c r="M222" s="1">
        <v>8.0</v>
      </c>
      <c r="N222" s="4">
        <v>24.0</v>
      </c>
      <c r="O222" s="4">
        <v>24.0</v>
      </c>
      <c r="P222" s="4">
        <v>26.0</v>
      </c>
      <c r="Q222" s="4">
        <v>30.0</v>
      </c>
      <c r="R222" s="4">
        <v>34.0</v>
      </c>
    </row>
    <row r="223">
      <c r="A223" s="1">
        <v>9.0</v>
      </c>
      <c r="B223" s="7">
        <f>0/1095</f>
        <v>0</v>
      </c>
      <c r="C223" s="7">
        <f>0/2339</f>
        <v>0</v>
      </c>
      <c r="D223" s="7">
        <f>0/4498</f>
        <v>0</v>
      </c>
      <c r="E223" s="7">
        <f>0/6903</f>
        <v>0</v>
      </c>
      <c r="F223" s="7">
        <f>6/3351</f>
        <v>0.001790510295</v>
      </c>
      <c r="G223" s="1"/>
      <c r="H223" s="7">
        <f>0/1095</f>
        <v>0</v>
      </c>
      <c r="I223" s="7">
        <f>0/2339</f>
        <v>0</v>
      </c>
      <c r="J223" s="7">
        <f>0/4498</f>
        <v>0</v>
      </c>
      <c r="K223" s="7">
        <f>0/6903</f>
        <v>0</v>
      </c>
      <c r="L223" s="7">
        <f>6/3351</f>
        <v>0.001790510295</v>
      </c>
      <c r="M223" s="1">
        <v>9.0</v>
      </c>
      <c r="N223" s="4">
        <v>0.0</v>
      </c>
      <c r="O223" s="4">
        <v>0.0</v>
      </c>
      <c r="P223" s="4">
        <v>0.0</v>
      </c>
      <c r="Q223" s="4">
        <v>0.0</v>
      </c>
      <c r="R223" s="4">
        <v>24.0</v>
      </c>
    </row>
    <row r="224">
      <c r="A224" s="1">
        <v>10.0</v>
      </c>
      <c r="B224" s="7">
        <f>29/4728</f>
        <v>0.006133671743</v>
      </c>
      <c r="C224" s="7">
        <f>67/7444</f>
        <v>0.009000537346</v>
      </c>
      <c r="D224" s="7">
        <f>260/9673</f>
        <v>0.02687894138</v>
      </c>
      <c r="E224" s="7">
        <f>500/11357</f>
        <v>0.04402571102</v>
      </c>
      <c r="F224" s="7">
        <f>326/4954</f>
        <v>0.06580540977</v>
      </c>
      <c r="G224" s="1"/>
      <c r="H224" s="7">
        <f>29/4728</f>
        <v>0.006133671743</v>
      </c>
      <c r="I224" s="7">
        <f>67/7444</f>
        <v>0.009000537346</v>
      </c>
      <c r="J224" s="7">
        <f>260/9673</f>
        <v>0.02687894138</v>
      </c>
      <c r="K224" s="7">
        <f>500/11357</f>
        <v>0.04402571102</v>
      </c>
      <c r="L224" s="7">
        <f>326/4954</f>
        <v>0.06580540977</v>
      </c>
      <c r="M224" s="1">
        <v>10.0</v>
      </c>
      <c r="N224" s="4">
        <v>28.0</v>
      </c>
      <c r="O224" s="4">
        <v>30.0</v>
      </c>
      <c r="P224" s="4">
        <v>32.0</v>
      </c>
      <c r="Q224" s="4">
        <v>34.0</v>
      </c>
      <c r="R224" s="4">
        <v>40.0</v>
      </c>
    </row>
    <row r="225">
      <c r="A225" s="1">
        <v>11.0</v>
      </c>
      <c r="B225" s="7">
        <f>56/5819</f>
        <v>0.009623646675</v>
      </c>
      <c r="C225" s="7">
        <f>156/8338</f>
        <v>0.01870952267</v>
      </c>
      <c r="D225" s="7">
        <f>394/10458</f>
        <v>0.03767450755</v>
      </c>
      <c r="E225" s="7">
        <f>678/11893</f>
        <v>0.05700832422</v>
      </c>
      <c r="F225" s="7">
        <f>513/5588</f>
        <v>0.09180386543</v>
      </c>
      <c r="G225" s="1"/>
      <c r="H225" s="7">
        <f>56/5819</f>
        <v>0.009623646675</v>
      </c>
      <c r="I225" s="7">
        <f>156/8338</f>
        <v>0.01870952267</v>
      </c>
      <c r="J225" s="7">
        <f>394/10458</f>
        <v>0.03767450755</v>
      </c>
      <c r="K225" s="7">
        <f>678/11893</f>
        <v>0.05700832422</v>
      </c>
      <c r="L225" s="7">
        <f>513/5588</f>
        <v>0.09180386543</v>
      </c>
      <c r="M225" s="1">
        <v>11.0</v>
      </c>
      <c r="N225" s="4">
        <v>32.0</v>
      </c>
      <c r="O225" s="4">
        <v>34.0</v>
      </c>
      <c r="P225" s="4">
        <v>36.0</v>
      </c>
      <c r="Q225" s="4">
        <v>40.0</v>
      </c>
      <c r="R225" s="4">
        <v>40.0</v>
      </c>
    </row>
    <row r="226">
      <c r="A226" s="1">
        <v>12.0</v>
      </c>
      <c r="B226" s="7">
        <f>16/3376</f>
        <v>0.004739336493</v>
      </c>
      <c r="C226" s="7">
        <f>34/6025</f>
        <v>0.005643153527</v>
      </c>
      <c r="D226" s="7">
        <f>133/8456</f>
        <v>0.01572847682</v>
      </c>
      <c r="E226" s="7">
        <f>227/10322</f>
        <v>0.02199186204</v>
      </c>
      <c r="F226" s="7">
        <f>250/5381</f>
        <v>0.04645976584</v>
      </c>
      <c r="G226" s="1"/>
      <c r="H226" s="7">
        <f>16/3376</f>
        <v>0.004739336493</v>
      </c>
      <c r="I226" s="7">
        <f>34/6025</f>
        <v>0.005643153527</v>
      </c>
      <c r="J226" s="7">
        <f>133/8456</f>
        <v>0.01572847682</v>
      </c>
      <c r="K226" s="7">
        <f>227/10322</f>
        <v>0.02199186204</v>
      </c>
      <c r="L226" s="7">
        <f>250/5381</f>
        <v>0.04645976584</v>
      </c>
      <c r="M226" s="1">
        <v>12.0</v>
      </c>
      <c r="N226" s="4">
        <v>24.0</v>
      </c>
      <c r="O226" s="4">
        <v>24.0</v>
      </c>
      <c r="P226" s="4">
        <v>26.0</v>
      </c>
      <c r="Q226" s="4">
        <v>32.0</v>
      </c>
      <c r="R226" s="4">
        <v>36.0</v>
      </c>
    </row>
    <row r="227">
      <c r="A227" s="1">
        <v>13.0</v>
      </c>
      <c r="B227" s="7">
        <v>0.0</v>
      </c>
      <c r="C227" s="7">
        <v>0.0</v>
      </c>
      <c r="D227" s="7">
        <v>0.0</v>
      </c>
      <c r="E227" s="7">
        <v>0.0</v>
      </c>
      <c r="F227" s="7">
        <v>0.0</v>
      </c>
      <c r="G227" s="1"/>
      <c r="H227" s="7">
        <v>0.0</v>
      </c>
      <c r="I227" s="7">
        <v>0.0</v>
      </c>
      <c r="J227" s="7">
        <v>0.0</v>
      </c>
      <c r="K227" s="7">
        <v>0.0</v>
      </c>
      <c r="L227" s="7">
        <v>0.0</v>
      </c>
      <c r="M227" s="1">
        <v>13.0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</row>
    <row r="228">
      <c r="A228" s="1">
        <v>14.0</v>
      </c>
      <c r="B228" s="7">
        <f>4/2080</f>
        <v>0.001923076923</v>
      </c>
      <c r="C228" s="7">
        <f>5/4121</f>
        <v>0.001213297743</v>
      </c>
      <c r="D228" s="7">
        <f>19/6822</f>
        <v>0.002785107007</v>
      </c>
      <c r="E228" s="7">
        <f>62/9123</f>
        <v>0.006796010084</v>
      </c>
      <c r="F228" s="7">
        <f>121/5425</f>
        <v>0.02230414747</v>
      </c>
      <c r="G228" s="1"/>
      <c r="H228" s="7">
        <f>4/2080</f>
        <v>0.001923076923</v>
      </c>
      <c r="I228" s="7">
        <f>5/4121</f>
        <v>0.001213297743</v>
      </c>
      <c r="J228" s="7">
        <f>19/6822</f>
        <v>0.002785107007</v>
      </c>
      <c r="K228" s="7">
        <f>62/9123</f>
        <v>0.006796010084</v>
      </c>
      <c r="L228" s="7">
        <f>121/5425</f>
        <v>0.02230414747</v>
      </c>
      <c r="M228" s="1">
        <v>14.0</v>
      </c>
      <c r="N228" s="4">
        <v>24.0</v>
      </c>
      <c r="O228" s="4">
        <v>24.0</v>
      </c>
      <c r="P228" s="4">
        <v>24.0</v>
      </c>
      <c r="Q228" s="4">
        <v>26.0</v>
      </c>
      <c r="R228" s="4">
        <v>27.0</v>
      </c>
    </row>
    <row r="229">
      <c r="A229" s="1">
        <v>15.0</v>
      </c>
      <c r="B229" s="7">
        <f>1/1709</f>
        <v>0.0005851375073</v>
      </c>
      <c r="C229" s="7">
        <f>3/3510</f>
        <v>0.0008547008547</v>
      </c>
      <c r="D229" s="7">
        <f>9/6064</f>
        <v>0.001484168865</v>
      </c>
      <c r="E229" s="7">
        <f>25/8657</f>
        <v>0.002887836433</v>
      </c>
      <c r="F229" s="7">
        <f>48/5444</f>
        <v>0.008817046289</v>
      </c>
      <c r="G229" s="1"/>
      <c r="H229" s="7">
        <f>1/1709</f>
        <v>0.0005851375073</v>
      </c>
      <c r="I229" s="7">
        <f>3/3510</f>
        <v>0.0008547008547</v>
      </c>
      <c r="J229" s="7">
        <f>9/6064</f>
        <v>0.001484168865</v>
      </c>
      <c r="K229" s="7">
        <f>25/8657</f>
        <v>0.002887836433</v>
      </c>
      <c r="L229" s="7">
        <f>48/5444</f>
        <v>0.008817046289</v>
      </c>
      <c r="M229" s="1">
        <v>15.0</v>
      </c>
      <c r="N229" s="4">
        <v>24.0</v>
      </c>
      <c r="O229" s="4">
        <v>0.0</v>
      </c>
      <c r="P229" s="4">
        <v>24.0</v>
      </c>
      <c r="Q229" s="4">
        <v>25.0</v>
      </c>
      <c r="R229" s="4">
        <v>27.0</v>
      </c>
    </row>
    <row r="230">
      <c r="A230" s="1">
        <v>16.0</v>
      </c>
      <c r="B230" s="7">
        <v>0.0</v>
      </c>
      <c r="C230" s="7">
        <v>0.0</v>
      </c>
      <c r="D230" s="7">
        <v>0.0</v>
      </c>
      <c r="E230" s="7">
        <v>0.0</v>
      </c>
      <c r="F230" s="7">
        <v>0.0</v>
      </c>
      <c r="G230" s="1"/>
      <c r="H230" s="7">
        <v>0.0</v>
      </c>
      <c r="I230" s="7">
        <v>0.0</v>
      </c>
      <c r="J230" s="7">
        <v>0.0</v>
      </c>
      <c r="K230" s="7">
        <v>0.0</v>
      </c>
      <c r="L230" s="7">
        <v>0.0</v>
      </c>
      <c r="M230" s="1">
        <v>16.0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</row>
    <row r="231">
      <c r="A231" s="1" t="s">
        <v>5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6"/>
      <c r="O231" s="6"/>
      <c r="P231" s="1"/>
      <c r="Q231" s="1"/>
      <c r="R231" s="1"/>
    </row>
    <row r="232">
      <c r="A232" s="1"/>
      <c r="B232" s="4">
        <v>1371.0</v>
      </c>
      <c r="C232" s="4">
        <v>1370.0</v>
      </c>
      <c r="D232" s="4">
        <v>1369.0</v>
      </c>
      <c r="E232" s="4">
        <v>1372.0</v>
      </c>
      <c r="F232" s="4">
        <v>1373.0</v>
      </c>
      <c r="G232" s="1"/>
      <c r="H232" s="4">
        <v>1371.0</v>
      </c>
      <c r="I232" s="4">
        <v>1370.0</v>
      </c>
      <c r="J232" s="4">
        <v>1369.0</v>
      </c>
      <c r="K232" s="4">
        <v>1372.0</v>
      </c>
      <c r="L232" s="4">
        <v>1373.0</v>
      </c>
      <c r="M232" s="6"/>
      <c r="N232" s="4">
        <v>1371.0</v>
      </c>
      <c r="O232" s="4">
        <v>1370.0</v>
      </c>
      <c r="P232" s="4">
        <v>1369.0</v>
      </c>
      <c r="Q232" s="4">
        <v>1372.0</v>
      </c>
      <c r="R232" s="4">
        <v>1373.0</v>
      </c>
    </row>
    <row r="233">
      <c r="A233" s="1" t="s">
        <v>17</v>
      </c>
      <c r="B233" s="4">
        <v>700.0</v>
      </c>
      <c r="C233" s="4">
        <v>725.0</v>
      </c>
      <c r="D233" s="4">
        <v>750.0</v>
      </c>
      <c r="E233" s="4">
        <v>775.0</v>
      </c>
      <c r="F233" s="4">
        <v>800.0</v>
      </c>
      <c r="G233" s="1"/>
      <c r="H233" s="4">
        <v>700.0</v>
      </c>
      <c r="I233" s="4">
        <v>725.0</v>
      </c>
      <c r="J233" s="4">
        <v>750.0</v>
      </c>
      <c r="K233" s="4">
        <v>775.0</v>
      </c>
      <c r="L233" s="4">
        <v>800.0</v>
      </c>
      <c r="M233" s="1" t="s">
        <v>4</v>
      </c>
      <c r="N233" s="4">
        <v>700.0</v>
      </c>
      <c r="O233" s="4">
        <v>725.0</v>
      </c>
      <c r="P233" s="4">
        <v>750.0</v>
      </c>
      <c r="Q233" s="4">
        <v>775.0</v>
      </c>
      <c r="R233" s="4">
        <v>800.0</v>
      </c>
    </row>
    <row r="234">
      <c r="A234" s="1">
        <v>1.0</v>
      </c>
      <c r="B234" s="7">
        <f>1267/7193</f>
        <v>0.1761434728</v>
      </c>
      <c r="C234" s="7">
        <f>425/7311</f>
        <v>0.05813158255</v>
      </c>
      <c r="D234" s="7">
        <f>783/9449</f>
        <v>0.08286591174</v>
      </c>
      <c r="E234" s="7">
        <f>1838/11921</f>
        <v>0.1541816962</v>
      </c>
      <c r="F234" s="7">
        <f>4932/14979</f>
        <v>0.3292609654</v>
      </c>
      <c r="G234" s="1"/>
      <c r="H234" s="13">
        <f>990/7193</f>
        <v>0.1376338106</v>
      </c>
      <c r="I234" s="7">
        <f>425/7311</f>
        <v>0.05813158255</v>
      </c>
      <c r="J234" s="13">
        <f>688/9449</f>
        <v>0.07281193777</v>
      </c>
      <c r="K234" s="13">
        <f>1330/11921</f>
        <v>0.1115678215</v>
      </c>
      <c r="L234" s="12"/>
      <c r="M234" s="1">
        <v>1.0</v>
      </c>
      <c r="N234" s="4">
        <v>26.0</v>
      </c>
      <c r="O234" s="4">
        <v>26.0</v>
      </c>
      <c r="P234" s="4">
        <v>27.0</v>
      </c>
      <c r="Q234" s="4">
        <v>30.0</v>
      </c>
      <c r="R234" s="4">
        <v>30.0</v>
      </c>
    </row>
    <row r="235">
      <c r="A235" s="1">
        <v>2.0</v>
      </c>
      <c r="B235" s="7">
        <f>233/3652</f>
        <v>0.06380065717</v>
      </c>
      <c r="C235" s="7">
        <f>57/5940</f>
        <v>0.009595959596</v>
      </c>
      <c r="D235" s="7">
        <f>129/8116</f>
        <v>0.01589452932</v>
      </c>
      <c r="E235" s="7">
        <f>282/10228</f>
        <v>0.0275713727</v>
      </c>
      <c r="F235" s="7">
        <f>632/10063</f>
        <v>0.0628043327</v>
      </c>
      <c r="G235" s="1"/>
      <c r="H235" s="7">
        <f>233/3652</f>
        <v>0.06380065717</v>
      </c>
      <c r="I235" s="7">
        <f>57/5940</f>
        <v>0.009595959596</v>
      </c>
      <c r="J235" s="7">
        <f>129/8116</f>
        <v>0.01589452932</v>
      </c>
      <c r="K235" s="7">
        <f>282/10228</f>
        <v>0.0275713727</v>
      </c>
      <c r="L235" s="7">
        <f>632/10063</f>
        <v>0.0628043327</v>
      </c>
      <c r="M235" s="1">
        <v>2.0</v>
      </c>
      <c r="N235" s="4">
        <v>25.0</v>
      </c>
      <c r="O235" s="4">
        <v>25.0</v>
      </c>
      <c r="P235" s="4">
        <v>26.0</v>
      </c>
      <c r="Q235" s="4">
        <v>26.0</v>
      </c>
      <c r="R235" s="4">
        <v>28.0</v>
      </c>
    </row>
    <row r="236">
      <c r="A236" s="1">
        <v>3.0</v>
      </c>
      <c r="B236" s="7">
        <f>1167/10445</f>
        <v>0.1117280996</v>
      </c>
      <c r="C236" s="7">
        <f>778/11743</f>
        <v>0.06625223537</v>
      </c>
      <c r="D236" s="7">
        <f>1419/13301</f>
        <v>0.106683708</v>
      </c>
      <c r="E236" s="7">
        <f>3253/16152</f>
        <v>0.2013992075</v>
      </c>
      <c r="F236" s="7">
        <f>8095/19948</f>
        <v>0.4058050932</v>
      </c>
      <c r="G236" s="1"/>
      <c r="H236" s="13">
        <f>650/10445</f>
        <v>0.06223073241</v>
      </c>
      <c r="I236" s="7">
        <f>778/11743</f>
        <v>0.06625223537</v>
      </c>
      <c r="J236" s="13">
        <f>267/13301</f>
        <v>0.02007367867</v>
      </c>
      <c r="K236" s="13">
        <f>904/16152</f>
        <v>0.05596830114</v>
      </c>
      <c r="L236" s="12"/>
      <c r="M236" s="1">
        <v>3.0</v>
      </c>
      <c r="N236" s="4">
        <v>30.0</v>
      </c>
      <c r="O236" s="4">
        <v>31.0</v>
      </c>
      <c r="P236" s="4">
        <v>32.0</v>
      </c>
      <c r="Q236" s="4">
        <v>33.0</v>
      </c>
      <c r="R236" s="4">
        <v>34.0</v>
      </c>
    </row>
    <row r="237">
      <c r="A237" s="1">
        <v>4.0</v>
      </c>
      <c r="B237" s="7">
        <f>21/1712</f>
        <v>0.01226635514</v>
      </c>
      <c r="C237" s="7">
        <f>32/3658</f>
        <v>0.008747949699</v>
      </c>
      <c r="D237" s="7">
        <f>91/6057</f>
        <v>0.01502393924</v>
      </c>
      <c r="E237" s="7">
        <f>155/8673</f>
        <v>0.0178715554</v>
      </c>
      <c r="F237" s="7">
        <f>298/9069</f>
        <v>0.03285919065</v>
      </c>
      <c r="G237" s="1"/>
      <c r="H237" s="7">
        <f>21/1712</f>
        <v>0.01226635514</v>
      </c>
      <c r="I237" s="7">
        <f>32/3658</f>
        <v>0.008747949699</v>
      </c>
      <c r="J237" s="7">
        <f>91/6057</f>
        <v>0.01502393924</v>
      </c>
      <c r="K237" s="7">
        <f>155/8673</f>
        <v>0.0178715554</v>
      </c>
      <c r="L237" s="7">
        <f>298/9069</f>
        <v>0.03285919065</v>
      </c>
      <c r="M237" s="1">
        <v>4.0</v>
      </c>
      <c r="N237" s="4">
        <v>25.0</v>
      </c>
      <c r="O237" s="4">
        <v>25.0</v>
      </c>
      <c r="P237" s="4">
        <v>26.0</v>
      </c>
      <c r="Q237" s="4">
        <v>26.0</v>
      </c>
      <c r="R237" s="4">
        <v>26.0</v>
      </c>
    </row>
    <row r="238">
      <c r="A238" s="1">
        <v>5.0</v>
      </c>
      <c r="B238" s="7">
        <f>623/4275</f>
        <v>0.1457309942</v>
      </c>
      <c r="C238" s="7">
        <v>0.0</v>
      </c>
      <c r="D238" s="7">
        <v>0.0</v>
      </c>
      <c r="E238" s="7">
        <v>0.0</v>
      </c>
      <c r="F238" s="7">
        <v>0.0</v>
      </c>
      <c r="G238" s="1"/>
      <c r="H238" s="7">
        <f>623/4275</f>
        <v>0.1457309942</v>
      </c>
      <c r="I238" s="7">
        <v>0.0</v>
      </c>
      <c r="J238" s="7">
        <v>0.0</v>
      </c>
      <c r="K238" s="7">
        <v>0.0</v>
      </c>
      <c r="L238" s="7">
        <v>0.0</v>
      </c>
      <c r="M238" s="1">
        <v>5.0</v>
      </c>
      <c r="N238" s="4">
        <v>0.0</v>
      </c>
      <c r="O238" s="4">
        <v>0.0</v>
      </c>
      <c r="P238" s="4">
        <v>0.0</v>
      </c>
      <c r="Q238" s="4">
        <v>0.0</v>
      </c>
      <c r="R238" s="4">
        <v>0.0</v>
      </c>
    </row>
    <row r="239">
      <c r="A239" s="1">
        <v>6.0</v>
      </c>
      <c r="B239" s="7">
        <f>3517/8429</f>
        <v>0.4172499703</v>
      </c>
      <c r="C239" s="7">
        <f>199/6167</f>
        <v>0.03226852603</v>
      </c>
      <c r="D239" s="7">
        <f>394/8473</f>
        <v>0.04650064912</v>
      </c>
      <c r="E239" s="7">
        <f>643/10326</f>
        <v>0.06226999806</v>
      </c>
      <c r="F239" s="7">
        <f>978/10124</f>
        <v>0.09660213354</v>
      </c>
      <c r="G239" s="1"/>
      <c r="H239" s="7">
        <f>3517/8429</f>
        <v>0.4172499703</v>
      </c>
      <c r="I239" s="7">
        <f>199/6167</f>
        <v>0.03226852603</v>
      </c>
      <c r="J239" s="7">
        <f>394/8473</f>
        <v>0.04650064912</v>
      </c>
      <c r="K239" s="7">
        <f>643/10326</f>
        <v>0.06226999806</v>
      </c>
      <c r="L239" s="7">
        <f>978/10124</f>
        <v>0.09660213354</v>
      </c>
      <c r="M239" s="1">
        <v>6.0</v>
      </c>
      <c r="N239" s="4">
        <v>26.0</v>
      </c>
      <c r="O239" s="4">
        <v>26.0</v>
      </c>
      <c r="P239" s="4">
        <v>28.0</v>
      </c>
      <c r="Q239" s="4">
        <v>28.0</v>
      </c>
      <c r="R239" s="4">
        <v>32.0</v>
      </c>
    </row>
    <row r="240">
      <c r="A240" s="1">
        <v>7.0</v>
      </c>
      <c r="B240" s="7">
        <f>4625/9242</f>
        <v>0.5004328068</v>
      </c>
      <c r="C240" s="7">
        <f>2576/9568</f>
        <v>0.2692307692</v>
      </c>
      <c r="D240" s="7">
        <f>3121/11755</f>
        <v>0.2655040408</v>
      </c>
      <c r="E240" s="7">
        <f>3439/13374</f>
        <v>0.2571407208</v>
      </c>
      <c r="F240" s="7">
        <f>3858/13108</f>
        <v>0.2943240769</v>
      </c>
      <c r="G240" s="1"/>
      <c r="H240" s="13">
        <f>607/8429</f>
        <v>0.07201328746</v>
      </c>
      <c r="I240" s="13">
        <f>342/9568</f>
        <v>0.03574414716</v>
      </c>
      <c r="J240" s="13">
        <f>493/11755</f>
        <v>0.04193960017</v>
      </c>
      <c r="K240" s="13">
        <f>609/13374</f>
        <v>0.04553611485</v>
      </c>
      <c r="L240" s="12"/>
      <c r="M240" s="1">
        <v>7.0</v>
      </c>
      <c r="N240" s="4">
        <v>36.0</v>
      </c>
      <c r="O240" s="4">
        <v>37.0</v>
      </c>
      <c r="P240" s="4">
        <v>38.0</v>
      </c>
      <c r="Q240" s="4">
        <v>40.0</v>
      </c>
      <c r="R240" s="4">
        <v>41.0</v>
      </c>
    </row>
    <row r="241">
      <c r="A241" s="1">
        <v>8.0</v>
      </c>
      <c r="B241" s="7">
        <f>1446/6241</f>
        <v>0.2316936388</v>
      </c>
      <c r="C241" s="7">
        <f>2737/9491</f>
        <v>0.2883784638</v>
      </c>
      <c r="D241" s="7">
        <f>3334/11755</f>
        <v>0.2836239898</v>
      </c>
      <c r="E241" s="7">
        <f>4191/13871</f>
        <v>0.3021411578</v>
      </c>
      <c r="F241" s="7">
        <f>5881/14925</f>
        <v>0.3940368509</v>
      </c>
      <c r="G241" s="1"/>
      <c r="H241" s="13">
        <f>1427/9242</f>
        <v>0.1544038087</v>
      </c>
      <c r="I241" s="13">
        <f>444/9491</f>
        <v>0.0467811611</v>
      </c>
      <c r="J241" s="13">
        <f>751/11755</f>
        <v>0.06388770736</v>
      </c>
      <c r="K241" s="13">
        <f>1003/13871</f>
        <v>0.07230913416</v>
      </c>
      <c r="L241" s="12"/>
      <c r="M241" s="1">
        <v>8.0</v>
      </c>
      <c r="N241" s="4">
        <v>38.0</v>
      </c>
      <c r="O241" s="4">
        <v>38.0</v>
      </c>
      <c r="P241" s="4">
        <v>38.0</v>
      </c>
      <c r="Q241" s="4">
        <v>40.0</v>
      </c>
      <c r="R241" s="4">
        <v>42.0</v>
      </c>
    </row>
    <row r="242">
      <c r="A242" s="1">
        <v>9.0</v>
      </c>
      <c r="B242" s="7">
        <f t="shared" ref="B242:B243" si="5">2773/13317</f>
        <v>0.2082300819</v>
      </c>
      <c r="C242" s="7">
        <f>460/7690</f>
        <v>0.05981794538</v>
      </c>
      <c r="D242" s="7">
        <f>787/9652</f>
        <v>0.08153750518</v>
      </c>
      <c r="E242" s="7">
        <f>1118/11097</f>
        <v>0.1007479499</v>
      </c>
      <c r="F242" s="7">
        <f>1374/10478</f>
        <v>0.1311318954</v>
      </c>
      <c r="G242" s="1"/>
      <c r="H242" s="13">
        <f>521/6241</f>
        <v>0.0834802115</v>
      </c>
      <c r="I242" s="7">
        <f>460/7690</f>
        <v>0.05981794538</v>
      </c>
      <c r="J242" s="13">
        <f>192/9652</f>
        <v>0.01989225031</v>
      </c>
      <c r="K242" s="13">
        <f>251/11097</f>
        <v>0.02261872578</v>
      </c>
      <c r="L242" s="12"/>
      <c r="M242" s="1">
        <v>9.0</v>
      </c>
      <c r="N242" s="4">
        <v>29.0</v>
      </c>
      <c r="O242" s="4">
        <v>29.0</v>
      </c>
      <c r="P242" s="4">
        <v>32.0</v>
      </c>
      <c r="Q242" s="4">
        <v>34.0</v>
      </c>
      <c r="R242" s="4">
        <v>34.0</v>
      </c>
    </row>
    <row r="243">
      <c r="A243" s="1">
        <v>10.0</v>
      </c>
      <c r="B243" s="7">
        <f t="shared" si="5"/>
        <v>0.2082300819</v>
      </c>
      <c r="C243" s="7">
        <f>1439/12891</f>
        <v>0.1116282678</v>
      </c>
      <c r="D243" s="7">
        <f>1794/13785</f>
        <v>0.1301414581</v>
      </c>
      <c r="E243" s="7">
        <f>2178/14664</f>
        <v>0.1485270049</v>
      </c>
      <c r="F243" s="7">
        <f>3459/14443</f>
        <v>0.2394931801</v>
      </c>
      <c r="G243" s="1"/>
      <c r="H243" s="13">
        <f>1231/13317</f>
        <v>0.09243823684</v>
      </c>
      <c r="I243" s="13">
        <f>128/12891</f>
        <v>0.009929408114</v>
      </c>
      <c r="J243" s="13">
        <f>163/13786</f>
        <v>0.01182358915</v>
      </c>
      <c r="K243" s="13">
        <f>247/14664</f>
        <v>0.01684397163</v>
      </c>
      <c r="L243" s="12"/>
      <c r="M243" s="1">
        <v>10.0</v>
      </c>
      <c r="N243" s="4">
        <v>34.0</v>
      </c>
      <c r="O243" s="4">
        <v>35.0</v>
      </c>
      <c r="P243" s="4">
        <v>36.0</v>
      </c>
      <c r="Q243" s="4">
        <v>36.0</v>
      </c>
      <c r="R243" s="4">
        <v>36.0</v>
      </c>
    </row>
    <row r="244">
      <c r="A244" s="1">
        <v>11.0</v>
      </c>
      <c r="B244" s="7">
        <f>1825/12732</f>
        <v>0.1433396167</v>
      </c>
      <c r="C244" s="7">
        <f>1492/13409</f>
        <v>0.111268551</v>
      </c>
      <c r="D244" s="7">
        <f>1851/14491</f>
        <v>0.1277344559</v>
      </c>
      <c r="E244" s="7">
        <f>2485/15586</f>
        <v>0.1594379571</v>
      </c>
      <c r="F244" s="7">
        <f>4968/16675</f>
        <v>0.2979310345</v>
      </c>
      <c r="G244" s="1"/>
      <c r="H244" s="13">
        <f>637/12732</f>
        <v>0.0500314169</v>
      </c>
      <c r="I244" s="13">
        <f>125/13409</f>
        <v>0.009322097099</v>
      </c>
      <c r="J244" s="13">
        <f>162/14491</f>
        <v>0.0111793527</v>
      </c>
      <c r="K244" s="13">
        <f>370/15586</f>
        <v>0.02373925318</v>
      </c>
      <c r="L244" s="12"/>
      <c r="M244" s="1">
        <v>11.0</v>
      </c>
      <c r="N244" s="4">
        <v>24.0</v>
      </c>
      <c r="O244" s="4">
        <v>35.0</v>
      </c>
      <c r="P244" s="4">
        <v>35.0</v>
      </c>
      <c r="Q244" s="4">
        <v>36.0</v>
      </c>
      <c r="R244" s="4">
        <v>36.0</v>
      </c>
    </row>
    <row r="245">
      <c r="A245" s="1">
        <v>12.0</v>
      </c>
      <c r="B245" s="7">
        <f>8/1937</f>
        <v>0.00413009809</v>
      </c>
      <c r="C245" s="7">
        <f>21/4099</f>
        <v>0.005123200781</v>
      </c>
      <c r="D245" s="7">
        <f>60/6657</f>
        <v>0.00901306895</v>
      </c>
      <c r="E245" s="7">
        <f>108/8892</f>
        <v>0.01214574899</v>
      </c>
      <c r="F245" s="7">
        <f>247/9514</f>
        <v>0.02596174059</v>
      </c>
      <c r="G245" s="1"/>
      <c r="H245" s="7">
        <f>8/1937</f>
        <v>0.00413009809</v>
      </c>
      <c r="I245" s="7">
        <f>21/4099</f>
        <v>0.005123200781</v>
      </c>
      <c r="J245" s="7">
        <f>60/6657</f>
        <v>0.00901306895</v>
      </c>
      <c r="K245" s="7">
        <f>108/8892</f>
        <v>0.01214574899</v>
      </c>
      <c r="L245" s="7">
        <f>247/9514</f>
        <v>0.02596174059</v>
      </c>
      <c r="M245" s="1">
        <v>12.0</v>
      </c>
      <c r="N245" s="4">
        <v>24.0</v>
      </c>
      <c r="O245" s="4">
        <v>25.0</v>
      </c>
      <c r="P245" s="4">
        <v>25.0</v>
      </c>
      <c r="Q245" s="4">
        <v>25.0</v>
      </c>
      <c r="R245" s="4">
        <v>26.0</v>
      </c>
    </row>
    <row r="246">
      <c r="A246" s="1">
        <v>13.0</v>
      </c>
      <c r="B246" s="7">
        <f>2915/8284</f>
        <v>0.3518831482</v>
      </c>
      <c r="C246" s="7">
        <f>812/8167</f>
        <v>0.09942451329</v>
      </c>
      <c r="D246" s="7">
        <f>1319/10532</f>
        <v>0.1252373718</v>
      </c>
      <c r="E246" s="7">
        <f>2719/12804</f>
        <v>0.2123555139</v>
      </c>
      <c r="F246" s="7">
        <f>6511/15921</f>
        <v>0.4089567238</v>
      </c>
      <c r="G246" s="1"/>
      <c r="H246" s="13">
        <f>1519/8284</f>
        <v>0.1833655239</v>
      </c>
      <c r="I246" s="13">
        <f>233/8167</f>
        <v>0.02852944778</v>
      </c>
      <c r="J246" s="13">
        <f>524/10532</f>
        <v>0.04975313331</v>
      </c>
      <c r="K246" s="13">
        <f>965/12804</f>
        <v>0.07536707279</v>
      </c>
      <c r="L246" s="12"/>
      <c r="M246" s="1">
        <v>13.0</v>
      </c>
      <c r="N246" s="4">
        <v>28.0</v>
      </c>
      <c r="O246" s="4">
        <v>28.0</v>
      </c>
      <c r="P246" s="4">
        <v>32.0</v>
      </c>
      <c r="Q246" s="4">
        <v>34.0</v>
      </c>
      <c r="R246" s="4">
        <v>39.0</v>
      </c>
    </row>
    <row r="247">
      <c r="A247" s="1">
        <v>14.0</v>
      </c>
      <c r="B247" s="7">
        <f>1718/9049</f>
        <v>0.1898552326</v>
      </c>
      <c r="C247" s="7">
        <f>269/9292</f>
        <v>0.02894963409</v>
      </c>
      <c r="D247" s="7">
        <f>595/11818</f>
        <v>0.05034692841</v>
      </c>
      <c r="E247" s="7">
        <f>1575/14069</f>
        <v>0.111948255</v>
      </c>
      <c r="F247" s="7">
        <f>4169/16268</f>
        <v>0.2562699779</v>
      </c>
      <c r="G247" s="1"/>
      <c r="H247" s="13">
        <f>974/9049</f>
        <v>0.1076362029</v>
      </c>
      <c r="I247" s="7">
        <f>269/9292</f>
        <v>0.02894963409</v>
      </c>
      <c r="J247" s="7">
        <f>595/11818</f>
        <v>0.05034692841</v>
      </c>
      <c r="K247" s="13">
        <f>1076/14069</f>
        <v>0.07648020471</v>
      </c>
      <c r="L247" s="12"/>
      <c r="M247" s="1">
        <v>14.0</v>
      </c>
      <c r="N247" s="4">
        <v>26.0</v>
      </c>
      <c r="O247" s="4">
        <v>27.0</v>
      </c>
      <c r="P247" s="4">
        <v>28.0</v>
      </c>
      <c r="Q247" s="4">
        <v>30.0</v>
      </c>
      <c r="R247" s="4">
        <v>34.0</v>
      </c>
    </row>
    <row r="248">
      <c r="A248" s="1">
        <v>15.0</v>
      </c>
      <c r="B248" s="7">
        <f>998/6216</f>
        <v>0.1605534106</v>
      </c>
      <c r="C248" s="7">
        <f>231/7948</f>
        <v>0.02906391545</v>
      </c>
      <c r="D248" s="7">
        <f>481/10548</f>
        <v>0.04560106181</v>
      </c>
      <c r="E248" s="7">
        <f>1092/12593</f>
        <v>0.08671484158</v>
      </c>
      <c r="F248" s="7">
        <f>2513/13299</f>
        <v>0.1889615761</v>
      </c>
      <c r="G248" s="1"/>
      <c r="H248" s="13">
        <f>940/6216</f>
        <v>0.1512226512</v>
      </c>
      <c r="I248" s="7">
        <f>231/7948</f>
        <v>0.02906391545</v>
      </c>
      <c r="J248" s="7">
        <f>481/10548</f>
        <v>0.04560106181</v>
      </c>
      <c r="K248" s="13">
        <f>620/12593</f>
        <v>0.04923370126</v>
      </c>
      <c r="L248" s="12"/>
      <c r="M248" s="1">
        <v>15.0</v>
      </c>
      <c r="N248" s="4">
        <v>26.0</v>
      </c>
      <c r="O248" s="4">
        <v>26.0</v>
      </c>
      <c r="P248" s="4">
        <v>28.0</v>
      </c>
      <c r="Q248" s="4">
        <v>32.0</v>
      </c>
      <c r="R248" s="4">
        <v>34.0</v>
      </c>
    </row>
    <row r="249">
      <c r="A249" s="1">
        <v>16.0</v>
      </c>
      <c r="B249" s="7">
        <v>0.0</v>
      </c>
      <c r="C249" s="7">
        <v>0.0</v>
      </c>
      <c r="D249" s="7">
        <v>0.0</v>
      </c>
      <c r="E249" s="7">
        <v>0.0</v>
      </c>
      <c r="F249" s="7">
        <v>0.0</v>
      </c>
      <c r="G249" s="1"/>
      <c r="H249" s="7">
        <v>0.0</v>
      </c>
      <c r="I249" s="7">
        <v>0.0</v>
      </c>
      <c r="J249" s="7">
        <v>0.0</v>
      </c>
      <c r="K249" s="7">
        <v>0.0</v>
      </c>
      <c r="L249" s="7">
        <v>0.0</v>
      </c>
      <c r="M249" s="1">
        <v>16.0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</row>
    <row r="250">
      <c r="A250" s="1" t="s">
        <v>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>
      <c r="A251" s="1"/>
      <c r="B251" s="4">
        <v>1367.0</v>
      </c>
      <c r="C251" s="4">
        <v>1365.0</v>
      </c>
      <c r="D251" s="4">
        <v>1363.0</v>
      </c>
      <c r="E251" s="4">
        <v>1364.0</v>
      </c>
      <c r="F251" s="4">
        <v>1368.0</v>
      </c>
      <c r="G251" s="1"/>
      <c r="H251" s="4">
        <v>1367.0</v>
      </c>
      <c r="I251" s="4">
        <v>1365.0</v>
      </c>
      <c r="J251" s="4">
        <v>1363.0</v>
      </c>
      <c r="K251" s="4">
        <v>1364.0</v>
      </c>
      <c r="L251" s="4">
        <v>1368.0</v>
      </c>
      <c r="M251" s="1"/>
      <c r="N251" s="4">
        <v>1367.0</v>
      </c>
      <c r="O251" s="4">
        <v>1365.0</v>
      </c>
      <c r="P251" s="4">
        <v>1363.0</v>
      </c>
      <c r="Q251" s="4">
        <v>1364.0</v>
      </c>
      <c r="R251" s="4">
        <v>1368.0</v>
      </c>
    </row>
    <row r="252">
      <c r="A252" s="1" t="s">
        <v>18</v>
      </c>
      <c r="B252" s="4">
        <v>700.0</v>
      </c>
      <c r="C252" s="4">
        <v>725.0</v>
      </c>
      <c r="D252" s="4">
        <v>750.0</v>
      </c>
      <c r="E252" s="4">
        <v>775.0</v>
      </c>
      <c r="F252" s="4">
        <v>800.0</v>
      </c>
      <c r="G252" s="1"/>
      <c r="H252" s="4">
        <v>700.0</v>
      </c>
      <c r="I252" s="4">
        <v>725.0</v>
      </c>
      <c r="J252" s="4">
        <v>750.0</v>
      </c>
      <c r="K252" s="4">
        <v>775.0</v>
      </c>
      <c r="L252" s="4">
        <v>800.0</v>
      </c>
      <c r="M252" s="1" t="s">
        <v>4</v>
      </c>
      <c r="N252" s="4">
        <v>700.0</v>
      </c>
      <c r="O252" s="4">
        <v>725.0</v>
      </c>
      <c r="P252" s="4">
        <v>750.0</v>
      </c>
      <c r="Q252" s="4">
        <v>775.0</v>
      </c>
      <c r="R252" s="4">
        <v>800.0</v>
      </c>
    </row>
    <row r="253">
      <c r="A253" s="1">
        <v>1.0</v>
      </c>
      <c r="B253" s="7">
        <f>414/5215</f>
        <v>0.07938638543</v>
      </c>
      <c r="C253" s="7">
        <f>635/7489</f>
        <v>0.08479102684</v>
      </c>
      <c r="D253" s="7">
        <f>1070/9708</f>
        <v>0.1102183766</v>
      </c>
      <c r="E253" s="7">
        <f>1882/11513</f>
        <v>0.1634673847</v>
      </c>
      <c r="F253" s="7">
        <f>3280/11061</f>
        <v>0.2965373836</v>
      </c>
      <c r="G253" s="1"/>
      <c r="H253" s="13">
        <f>287/5215</f>
        <v>0.05503355705</v>
      </c>
      <c r="I253" s="13">
        <f>355/7489</f>
        <v>0.04740285752</v>
      </c>
      <c r="J253" s="13">
        <f>372/9708</f>
        <v>0.03831891224</v>
      </c>
      <c r="K253" s="13">
        <f>895/11513</f>
        <v>0.07773820898</v>
      </c>
      <c r="L253" s="12"/>
      <c r="M253" s="1">
        <v>1.0</v>
      </c>
      <c r="N253" s="4">
        <v>28.0</v>
      </c>
      <c r="O253" s="4">
        <v>29.0</v>
      </c>
      <c r="P253" s="4">
        <v>30.0</v>
      </c>
      <c r="Q253" s="4">
        <v>30.0</v>
      </c>
      <c r="R253" s="4">
        <v>31.0</v>
      </c>
    </row>
    <row r="254">
      <c r="A254" s="1">
        <v>2.0</v>
      </c>
      <c r="B254" s="7">
        <f>260/4501</f>
        <v>0.05776494112</v>
      </c>
      <c r="C254" s="7">
        <f>489/6741</f>
        <v>0.072541166</v>
      </c>
      <c r="D254" s="7">
        <f>922/9053</f>
        <v>0.1018446924</v>
      </c>
      <c r="E254" s="7">
        <f>1598/11058</f>
        <v>0.1445107614</v>
      </c>
      <c r="F254" s="7">
        <f>2472/9952</f>
        <v>0.248392283</v>
      </c>
      <c r="G254" s="1"/>
      <c r="H254" s="7">
        <f>260/4501</f>
        <v>0.05776494112</v>
      </c>
      <c r="I254" s="13">
        <f>140/6741</f>
        <v>0.02076843198</v>
      </c>
      <c r="J254" s="13">
        <f>222/9053</f>
        <v>0.02452225782</v>
      </c>
      <c r="K254" s="13">
        <f>561/11058</f>
        <v>0.05073250136</v>
      </c>
      <c r="L254" s="12"/>
      <c r="M254" s="1">
        <v>2.0</v>
      </c>
      <c r="N254" s="4">
        <v>27.0</v>
      </c>
      <c r="O254" s="4">
        <v>29.0</v>
      </c>
      <c r="P254" s="4">
        <v>30.0</v>
      </c>
      <c r="Q254" s="4">
        <v>30.0</v>
      </c>
      <c r="R254" s="4">
        <v>32.0</v>
      </c>
    </row>
    <row r="255">
      <c r="A255" s="1">
        <v>3.0</v>
      </c>
      <c r="B255" s="7">
        <f>90/3383</f>
        <v>0.02660360627</v>
      </c>
      <c r="C255" s="7">
        <f>200/5401</f>
        <v>0.0370301796</v>
      </c>
      <c r="D255" s="7">
        <f>324/7594</f>
        <v>0.04266526205</v>
      </c>
      <c r="E255" s="7">
        <f>647/9665</f>
        <v>0.06694257631</v>
      </c>
      <c r="F255" s="7">
        <f>967/8235</f>
        <v>0.1174256223</v>
      </c>
      <c r="G255" s="1"/>
      <c r="H255" s="7">
        <f>90/3383</f>
        <v>0.02660360627</v>
      </c>
      <c r="I255" s="7">
        <f>200/5401</f>
        <v>0.0370301796</v>
      </c>
      <c r="J255" s="7">
        <f>324/7594</f>
        <v>0.04266526205</v>
      </c>
      <c r="K255" s="7">
        <f>647/9665</f>
        <v>0.06694257631</v>
      </c>
      <c r="L255" s="12"/>
      <c r="M255" s="1">
        <v>3.0</v>
      </c>
      <c r="N255" s="4">
        <v>25.0</v>
      </c>
      <c r="O255" s="4">
        <v>27.0</v>
      </c>
      <c r="P255" s="4">
        <v>28.0</v>
      </c>
      <c r="Q255" s="4">
        <v>28.0</v>
      </c>
      <c r="R255" s="4">
        <v>30.0</v>
      </c>
    </row>
    <row r="256">
      <c r="A256" s="1">
        <v>4.0</v>
      </c>
      <c r="B256" s="7">
        <f>281/4404</f>
        <v>0.06380563124</v>
      </c>
      <c r="C256" s="7">
        <f>484/6664</f>
        <v>0.07262905162</v>
      </c>
      <c r="D256" s="7">
        <f>811/9052</f>
        <v>0.08959346001</v>
      </c>
      <c r="E256" s="7">
        <f>1401/11129</f>
        <v>0.1258873214</v>
      </c>
      <c r="F256" s="7">
        <f>2082/9654</f>
        <v>0.2156619018</v>
      </c>
      <c r="G256" s="1"/>
      <c r="H256" s="7">
        <f>281/4404</f>
        <v>0.06380563124</v>
      </c>
      <c r="I256" s="13">
        <f>204/6664</f>
        <v>0.0306122449</v>
      </c>
      <c r="J256" s="13">
        <f>285/9052</f>
        <v>0.03148475475</v>
      </c>
      <c r="K256" s="13">
        <f>467/11129</f>
        <v>0.04196244047</v>
      </c>
      <c r="L256" s="12"/>
      <c r="M256" s="1">
        <v>4.0</v>
      </c>
      <c r="N256" s="4">
        <v>25.0</v>
      </c>
      <c r="O256" s="4">
        <v>27.0</v>
      </c>
      <c r="P256" s="4">
        <v>28.0</v>
      </c>
      <c r="Q256" s="4">
        <v>29.0</v>
      </c>
      <c r="R256" s="4">
        <v>31.0</v>
      </c>
    </row>
    <row r="257">
      <c r="A257" s="1">
        <v>5.0</v>
      </c>
      <c r="B257" s="7">
        <f>33/2927</f>
        <v>0.01127434233</v>
      </c>
      <c r="C257" s="7">
        <f>72/4939</f>
        <v>0.01457784977</v>
      </c>
      <c r="D257" s="7">
        <f>184/7252</f>
        <v>0.02537231109</v>
      </c>
      <c r="E257" s="7">
        <f>322/9030</f>
        <v>0.03565891473</v>
      </c>
      <c r="F257" s="7">
        <f>674/7517</f>
        <v>0.08966342956</v>
      </c>
      <c r="G257" s="1"/>
      <c r="H257" s="7">
        <f>33/2927</f>
        <v>0.01127434233</v>
      </c>
      <c r="I257" s="7">
        <f>72/4939</f>
        <v>0.01457784977</v>
      </c>
      <c r="J257" s="7">
        <f>184/7252</f>
        <v>0.02537231109</v>
      </c>
      <c r="K257" s="7">
        <f>322/9030</f>
        <v>0.03565891473</v>
      </c>
      <c r="L257" s="7">
        <f>674/7517</f>
        <v>0.08966342956</v>
      </c>
      <c r="M257" s="1">
        <v>5.0</v>
      </c>
      <c r="N257" s="4">
        <v>26.0</v>
      </c>
      <c r="O257" s="4">
        <v>28.0</v>
      </c>
      <c r="P257" s="4">
        <v>28.0</v>
      </c>
      <c r="Q257" s="4">
        <v>28.0</v>
      </c>
      <c r="R257" s="4">
        <v>32.0</v>
      </c>
    </row>
    <row r="258">
      <c r="A258" s="1">
        <v>6.0</v>
      </c>
      <c r="B258" s="7">
        <f>252/2727</f>
        <v>0.09240924092</v>
      </c>
      <c r="C258" s="7">
        <f>466/4662</f>
        <v>0.09995709996</v>
      </c>
      <c r="D258" s="7">
        <f>841/6984</f>
        <v>0.1204180985</v>
      </c>
      <c r="E258" s="7">
        <f>1107/8896</f>
        <v>0.1244379496</v>
      </c>
      <c r="F258" s="7">
        <f>1331/7653</f>
        <v>0.1739187247</v>
      </c>
      <c r="G258" s="1"/>
      <c r="H258" s="13">
        <f>78/2727</f>
        <v>0.02860286029</v>
      </c>
      <c r="I258" s="13">
        <f>122/4662</f>
        <v>0.02616902617</v>
      </c>
      <c r="J258" s="13">
        <f>274/6984</f>
        <v>0.0392325315</v>
      </c>
      <c r="K258" s="13">
        <f>320/8896</f>
        <v>0.03597122302</v>
      </c>
      <c r="L258" s="12"/>
      <c r="M258" s="1">
        <v>6.0</v>
      </c>
      <c r="N258" s="4">
        <v>29.0</v>
      </c>
      <c r="O258" s="4">
        <v>32.0</v>
      </c>
      <c r="P258" s="4">
        <v>32.0</v>
      </c>
      <c r="Q258" s="4">
        <v>32.0</v>
      </c>
      <c r="R258" s="4">
        <v>34.0</v>
      </c>
    </row>
    <row r="259">
      <c r="A259" s="1">
        <v>7.0</v>
      </c>
      <c r="B259" s="7">
        <f>37/3275</f>
        <v>0.01129770992</v>
      </c>
      <c r="C259" s="7">
        <f>82/5473</f>
        <v>0.01498264206</v>
      </c>
      <c r="D259" s="7">
        <f>167/7588</f>
        <v>0.02200843437</v>
      </c>
      <c r="E259" s="7">
        <f>285/9152</f>
        <v>0.03114073427</v>
      </c>
      <c r="F259" s="7">
        <f>516/7708</f>
        <v>0.06694343539</v>
      </c>
      <c r="G259" s="1"/>
      <c r="H259" s="7">
        <f>37/3275</f>
        <v>0.01129770992</v>
      </c>
      <c r="I259" s="7">
        <f>82/5473</f>
        <v>0.01498264206</v>
      </c>
      <c r="J259" s="7">
        <f>167/7588</f>
        <v>0.02200843437</v>
      </c>
      <c r="K259" s="7">
        <f>285/9152</f>
        <v>0.03114073427</v>
      </c>
      <c r="L259" s="7">
        <f>516/7708</f>
        <v>0.06694343539</v>
      </c>
      <c r="M259" s="1">
        <v>7.0</v>
      </c>
      <c r="N259" s="4">
        <v>26.0</v>
      </c>
      <c r="O259" s="4">
        <v>26.0</v>
      </c>
      <c r="P259" s="4">
        <v>28.0</v>
      </c>
      <c r="Q259" s="4">
        <v>28.0</v>
      </c>
      <c r="R259" s="4">
        <v>31.0</v>
      </c>
    </row>
    <row r="260">
      <c r="A260" s="1">
        <v>8.0</v>
      </c>
      <c r="B260" s="7">
        <f>449/3783</f>
        <v>0.1186888713</v>
      </c>
      <c r="C260" s="7">
        <f>856/6176</f>
        <v>0.1386010363</v>
      </c>
      <c r="D260" s="7">
        <f>1337/8485</f>
        <v>0.1575721862</v>
      </c>
      <c r="E260" s="7">
        <f>2110/10768</f>
        <v>0.1959509658</v>
      </c>
      <c r="F260" s="7">
        <f>2770/9766</f>
        <v>0.2836371083</v>
      </c>
      <c r="G260" s="1"/>
      <c r="H260" s="13">
        <f>234/3783</f>
        <v>0.0618556701</v>
      </c>
      <c r="I260" s="13">
        <f>230/6176</f>
        <v>0.03724093264</v>
      </c>
      <c r="J260" s="13">
        <f>380/8485</f>
        <v>0.04478491456</v>
      </c>
      <c r="K260" s="13">
        <f>457/10768</f>
        <v>0.04244056464</v>
      </c>
      <c r="L260" s="12"/>
      <c r="M260" s="1">
        <v>8.0</v>
      </c>
      <c r="N260" s="4">
        <v>28.0</v>
      </c>
      <c r="O260" s="4">
        <v>29.0</v>
      </c>
      <c r="P260" s="4">
        <v>30.0</v>
      </c>
      <c r="Q260" s="4">
        <v>30.0</v>
      </c>
      <c r="R260" s="4">
        <v>32.0</v>
      </c>
    </row>
    <row r="261">
      <c r="A261" s="1">
        <v>9.0</v>
      </c>
      <c r="B261" s="7">
        <f>171/6430</f>
        <v>0.0265940902</v>
      </c>
      <c r="C261" s="7">
        <f>244/8576</f>
        <v>0.02845149254</v>
      </c>
      <c r="D261" s="7">
        <f>530/10120</f>
        <v>0.0523715415</v>
      </c>
      <c r="E261" s="7">
        <f>868/11062</f>
        <v>0.07846682336</v>
      </c>
      <c r="F261" s="7">
        <f>1171/8802</f>
        <v>0.1330379459</v>
      </c>
      <c r="G261" s="1"/>
      <c r="H261" s="7">
        <f>171/6430</f>
        <v>0.0265940902</v>
      </c>
      <c r="I261" s="7">
        <f>244/8576</f>
        <v>0.02845149254</v>
      </c>
      <c r="J261" s="7">
        <f>530/10120</f>
        <v>0.0523715415</v>
      </c>
      <c r="K261" s="7">
        <f>868/11062</f>
        <v>0.07846682336</v>
      </c>
      <c r="L261" s="12"/>
      <c r="M261" s="1">
        <v>9.0</v>
      </c>
      <c r="N261" s="4">
        <v>31.0</v>
      </c>
      <c r="O261" s="4">
        <v>32.0</v>
      </c>
      <c r="P261" s="4">
        <v>32.0</v>
      </c>
      <c r="Q261" s="4">
        <v>35.0</v>
      </c>
      <c r="R261" s="4">
        <v>36.0</v>
      </c>
    </row>
    <row r="262">
      <c r="A262" s="1">
        <v>10.0</v>
      </c>
      <c r="B262" s="7">
        <f>202/6609</f>
        <v>0.0305643819</v>
      </c>
      <c r="C262" s="7">
        <f>400/9059</f>
        <v>0.04415498399</v>
      </c>
      <c r="D262" s="7">
        <f>829/10712</f>
        <v>0.07738984317</v>
      </c>
      <c r="E262" s="7">
        <f>1335/12075</f>
        <v>0.1105590062</v>
      </c>
      <c r="F262" s="7">
        <f>1417/9523</f>
        <v>0.1487976478</v>
      </c>
      <c r="G262" s="1"/>
      <c r="H262" s="7">
        <f>202/6609</f>
        <v>0.0305643819</v>
      </c>
      <c r="I262" s="7">
        <f>400/9059</f>
        <v>0.04415498399</v>
      </c>
      <c r="J262" s="13">
        <f>63/10712</f>
        <v>0.005881254668</v>
      </c>
      <c r="K262" s="13">
        <f>93/12075</f>
        <v>0.007701863354</v>
      </c>
      <c r="L262" s="12"/>
      <c r="M262" s="1">
        <v>10.0</v>
      </c>
      <c r="N262" s="4">
        <v>33.0</v>
      </c>
      <c r="O262" s="4">
        <v>34.0</v>
      </c>
      <c r="P262" s="4">
        <v>34.0</v>
      </c>
      <c r="Q262" s="4">
        <v>35.0</v>
      </c>
      <c r="R262" s="4">
        <v>37.0</v>
      </c>
    </row>
    <row r="263">
      <c r="A263" s="1">
        <v>11.0</v>
      </c>
      <c r="B263" s="7">
        <f>144/6251</f>
        <v>0.02303631419</v>
      </c>
      <c r="C263" s="7">
        <f>254/8327</f>
        <v>0.03050318242</v>
      </c>
      <c r="D263" s="7">
        <f>518/10242</f>
        <v>0.05057605936</v>
      </c>
      <c r="E263" s="7">
        <f>1011/11864</f>
        <v>0.08521577883</v>
      </c>
      <c r="F263" s="7">
        <f>1168/9379</f>
        <v>0.1245335324</v>
      </c>
      <c r="G263" s="1"/>
      <c r="H263" s="7">
        <f>144/6251</f>
        <v>0.02303631419</v>
      </c>
      <c r="I263" s="7">
        <f>254/8327</f>
        <v>0.03050318242</v>
      </c>
      <c r="J263" s="7">
        <f>518/10242</f>
        <v>0.05057605936</v>
      </c>
      <c r="K263" s="7">
        <f>1011/11864</f>
        <v>0.08521577883</v>
      </c>
      <c r="L263" s="12"/>
      <c r="M263" s="1">
        <v>11.0</v>
      </c>
      <c r="N263" s="4">
        <v>31.0</v>
      </c>
      <c r="O263" s="4">
        <v>33.0</v>
      </c>
      <c r="P263" s="4">
        <v>34.0</v>
      </c>
      <c r="Q263" s="4">
        <v>35.0</v>
      </c>
      <c r="R263" s="4">
        <v>36.0</v>
      </c>
    </row>
    <row r="264">
      <c r="A264" s="1">
        <v>12.0</v>
      </c>
      <c r="B264" s="7">
        <f>62/4284</f>
        <v>0.01447245565</v>
      </c>
      <c r="C264" s="7">
        <f>134/6782</f>
        <v>0.01975818343</v>
      </c>
      <c r="D264" s="7">
        <f>226/9107</f>
        <v>0.02481607555</v>
      </c>
      <c r="E264" s="7">
        <f>560/10758</f>
        <v>0.05205428518</v>
      </c>
      <c r="F264" s="7">
        <f>724/8646</f>
        <v>0.08373814481</v>
      </c>
      <c r="G264" s="1"/>
      <c r="H264" s="7">
        <f>62/4284</f>
        <v>0.01447245565</v>
      </c>
      <c r="I264" s="7">
        <f>134/6782</f>
        <v>0.01975818343</v>
      </c>
      <c r="J264" s="7">
        <f>226/9107</f>
        <v>0.02481607555</v>
      </c>
      <c r="K264" s="7">
        <f>560/10758</f>
        <v>0.05205428518</v>
      </c>
      <c r="L264" s="7">
        <f>724/8646</f>
        <v>0.08373814481</v>
      </c>
      <c r="M264" s="1">
        <v>12.0</v>
      </c>
      <c r="N264" s="4">
        <v>28.0</v>
      </c>
      <c r="O264" s="4">
        <v>29.0</v>
      </c>
      <c r="P264" s="4">
        <v>30.0</v>
      </c>
      <c r="Q264" s="4">
        <v>32.0</v>
      </c>
      <c r="R264" s="4">
        <v>33.0</v>
      </c>
    </row>
    <row r="265">
      <c r="A265" s="1">
        <v>13.0</v>
      </c>
      <c r="B265" s="7">
        <f>0</f>
        <v>0</v>
      </c>
      <c r="C265" s="7">
        <v>0.0</v>
      </c>
      <c r="D265" s="7">
        <v>0.0</v>
      </c>
      <c r="E265" s="7">
        <v>0.0</v>
      </c>
      <c r="F265" s="7">
        <v>0.0</v>
      </c>
      <c r="G265" s="1"/>
      <c r="H265" s="7">
        <f>0</f>
        <v>0</v>
      </c>
      <c r="I265" s="7">
        <v>0.0</v>
      </c>
      <c r="J265" s="7">
        <v>0.0</v>
      </c>
      <c r="K265" s="7">
        <v>0.0</v>
      </c>
      <c r="L265" s="7">
        <v>0.0</v>
      </c>
      <c r="M265" s="1">
        <v>13.0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</row>
    <row r="266">
      <c r="A266" s="1">
        <v>14.0</v>
      </c>
      <c r="B266" s="7">
        <f>79/5220</f>
        <v>0.01513409962</v>
      </c>
      <c r="C266" s="7">
        <f>133/7662</f>
        <v>0.01735839206</v>
      </c>
      <c r="D266" s="7">
        <f>369/9824</f>
        <v>0.03756107492</v>
      </c>
      <c r="E266" s="7">
        <f>973/11551</f>
        <v>0.08423513116</v>
      </c>
      <c r="F266" s="7">
        <f>2053/10063</f>
        <v>0.2040147073</v>
      </c>
      <c r="G266" s="1"/>
      <c r="H266" s="7">
        <f>79/5220</f>
        <v>0.01513409962</v>
      </c>
      <c r="I266" s="7">
        <f>133/7662</f>
        <v>0.01735839206</v>
      </c>
      <c r="J266" s="7">
        <f>369/9824</f>
        <v>0.03756107492</v>
      </c>
      <c r="K266" s="7">
        <f>973/11551</f>
        <v>0.08423513116</v>
      </c>
      <c r="L266" s="12"/>
      <c r="M266" s="1">
        <v>14.0</v>
      </c>
      <c r="N266" s="4">
        <v>28.0</v>
      </c>
      <c r="O266" s="4">
        <v>29.0</v>
      </c>
      <c r="P266" s="4">
        <v>30.0</v>
      </c>
      <c r="Q266" s="4">
        <v>32.0</v>
      </c>
      <c r="R266" s="4">
        <v>34.0</v>
      </c>
    </row>
    <row r="267">
      <c r="A267" s="1">
        <v>15.0</v>
      </c>
      <c r="B267" s="7">
        <f>49/4390</f>
        <v>0.01116173121</v>
      </c>
      <c r="C267" s="7">
        <f>114/7022</f>
        <v>0.01623469097</v>
      </c>
      <c r="D267" s="7">
        <f>347/9454</f>
        <v>0.03670404062</v>
      </c>
      <c r="E267" s="7">
        <f>701/11518</f>
        <v>0.06086126064</v>
      </c>
      <c r="F267" s="7">
        <f>1324/9707</f>
        <v>0.136396415</v>
      </c>
      <c r="G267" s="1"/>
      <c r="H267" s="7">
        <f>49/4390</f>
        <v>0.01116173121</v>
      </c>
      <c r="I267" s="7">
        <f>114/7022</f>
        <v>0.01623469097</v>
      </c>
      <c r="J267" s="7">
        <f>347/9454</f>
        <v>0.03670404062</v>
      </c>
      <c r="K267" s="7">
        <f>701/11518</f>
        <v>0.06086126064</v>
      </c>
      <c r="L267" s="12"/>
      <c r="M267" s="1">
        <v>15.0</v>
      </c>
      <c r="N267" s="4">
        <v>27.0</v>
      </c>
      <c r="O267" s="4">
        <v>28.0</v>
      </c>
      <c r="P267" s="4">
        <v>29.0</v>
      </c>
      <c r="Q267" s="4">
        <v>30.0</v>
      </c>
      <c r="R267" s="4">
        <v>33.0</v>
      </c>
    </row>
    <row r="268">
      <c r="A268" s="1">
        <v>16.0</v>
      </c>
      <c r="B268" s="7">
        <v>0.0</v>
      </c>
      <c r="C268" s="7">
        <v>0.0</v>
      </c>
      <c r="D268" s="7">
        <v>0.0</v>
      </c>
      <c r="E268" s="7">
        <v>0.0</v>
      </c>
      <c r="F268" s="7">
        <v>0.0</v>
      </c>
      <c r="G268" s="1"/>
      <c r="H268" s="7">
        <v>0.0</v>
      </c>
      <c r="I268" s="7">
        <v>0.0</v>
      </c>
      <c r="J268" s="7">
        <v>0.0</v>
      </c>
      <c r="K268" s="7">
        <v>0.0</v>
      </c>
      <c r="L268" s="7">
        <v>0.0</v>
      </c>
      <c r="M268" s="1">
        <v>16.0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</row>
  </sheetData>
  <drawing r:id="rId1"/>
</worksheet>
</file>