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dcio\Documents\Quantum\"/>
    </mc:Choice>
  </mc:AlternateContent>
  <xr:revisionPtr revIDLastSave="0" documentId="13_ncr:1_{D8EE4547-E47B-4F43-BDF1-716CEC722402}" xr6:coauthVersionLast="47" xr6:coauthVersionMax="47" xr10:uidLastSave="{00000000-0000-0000-0000-000000000000}"/>
  <bookViews>
    <workbookView xWindow="-120" yWindow="-120" windowWidth="29040" windowHeight="15720" xr2:uid="{7DB6D1D4-2698-4E53-A3FA-78B2DE1766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E8" i="1"/>
  <c r="D8" i="1"/>
  <c r="C8" i="1"/>
  <c r="B8" i="1"/>
  <c r="F21" i="1"/>
  <c r="E21" i="1"/>
  <c r="D21" i="1"/>
  <c r="C21" i="1"/>
  <c r="B21" i="1"/>
  <c r="G20" i="1"/>
  <c r="C7" i="1"/>
  <c r="B7" i="1"/>
  <c r="G7" i="1" s="1"/>
  <c r="B17" i="1"/>
  <c r="F17" i="1"/>
  <c r="F18" i="1" s="1"/>
  <c r="E17" i="1"/>
  <c r="E18" i="1" s="1"/>
  <c r="D17" i="1"/>
  <c r="D18" i="1" s="1"/>
  <c r="C17" i="1"/>
  <c r="G16" i="1"/>
  <c r="G12" i="1"/>
  <c r="G17" i="1" s="1"/>
  <c r="G10" i="1"/>
  <c r="G9" i="1"/>
  <c r="G21" i="1" s="1"/>
  <c r="G8" i="1"/>
  <c r="G6" i="1"/>
  <c r="F5" i="1"/>
  <c r="E5" i="1"/>
  <c r="D5" i="1"/>
  <c r="C5" i="1"/>
  <c r="B5" i="1"/>
  <c r="F4" i="1"/>
  <c r="E4" i="1"/>
  <c r="D4" i="1"/>
  <c r="C4" i="1"/>
  <c r="B4" i="1"/>
  <c r="G4" i="1" s="1"/>
  <c r="F51" i="1"/>
  <c r="B53" i="1"/>
  <c r="F52" i="1"/>
  <c r="E52" i="1"/>
  <c r="D52" i="1"/>
  <c r="C52" i="1"/>
  <c r="B52" i="1"/>
  <c r="E51" i="1"/>
  <c r="D51" i="1"/>
  <c r="C51" i="1"/>
  <c r="B51" i="1"/>
  <c r="F50" i="1"/>
  <c r="E50" i="1"/>
  <c r="D50" i="1"/>
  <c r="C50" i="1"/>
  <c r="B50" i="1"/>
  <c r="O51" i="1"/>
  <c r="F54" i="1" s="1"/>
  <c r="N51" i="1"/>
  <c r="E54" i="1" s="1"/>
  <c r="M51" i="1"/>
  <c r="D54" i="1" s="1"/>
  <c r="L51" i="1"/>
  <c r="C54" i="1" s="1"/>
  <c r="K51" i="1"/>
  <c r="B54" i="1" s="1"/>
  <c r="O50" i="1"/>
  <c r="F53" i="1" s="1"/>
  <c r="N50" i="1"/>
  <c r="E53" i="1" s="1"/>
  <c r="M50" i="1"/>
  <c r="D53" i="1" s="1"/>
  <c r="L50" i="1"/>
  <c r="C53" i="1" s="1"/>
  <c r="O46" i="1"/>
  <c r="F49" i="1" s="1"/>
  <c r="N46" i="1"/>
  <c r="E49" i="1" s="1"/>
  <c r="M46" i="1"/>
  <c r="D49" i="1" s="1"/>
  <c r="L46" i="1"/>
  <c r="C49" i="1" s="1"/>
  <c r="K46" i="1"/>
  <c r="O45" i="1"/>
  <c r="F48" i="1" s="1"/>
  <c r="N45" i="1"/>
  <c r="E48" i="1" s="1"/>
  <c r="M45" i="1"/>
  <c r="D48" i="1" s="1"/>
  <c r="L45" i="1"/>
  <c r="K45" i="1"/>
  <c r="O44" i="1"/>
  <c r="F47" i="1" s="1"/>
  <c r="N44" i="1"/>
  <c r="E47" i="1" s="1"/>
  <c r="M44" i="1"/>
  <c r="D47" i="1" s="1"/>
  <c r="L44" i="1"/>
  <c r="C47" i="1" s="1"/>
  <c r="K44" i="1"/>
  <c r="B47" i="1" s="1"/>
  <c r="O43" i="1"/>
  <c r="N43" i="1"/>
  <c r="M43" i="1"/>
  <c r="L43" i="1"/>
  <c r="K43" i="1"/>
  <c r="O42" i="1"/>
  <c r="N42" i="1"/>
  <c r="M42" i="1"/>
  <c r="L42" i="1"/>
  <c r="P50" i="1"/>
  <c r="P46" i="1"/>
  <c r="P43" i="1"/>
  <c r="K42" i="1"/>
  <c r="G34" i="1"/>
  <c r="G32" i="1"/>
  <c r="G31" i="1"/>
  <c r="B30" i="1"/>
  <c r="G30" i="1" s="1"/>
  <c r="C29" i="1"/>
  <c r="B29" i="1"/>
  <c r="G28" i="1"/>
  <c r="F27" i="1"/>
  <c r="F46" i="1" s="1"/>
  <c r="E27" i="1"/>
  <c r="D27" i="1"/>
  <c r="D46" i="1" s="1"/>
  <c r="C27" i="1"/>
  <c r="C46" i="1" s="1"/>
  <c r="B27" i="1"/>
  <c r="B46" i="1" s="1"/>
  <c r="F26" i="1"/>
  <c r="E26" i="1"/>
  <c r="E36" i="1" s="1"/>
  <c r="D26" i="1"/>
  <c r="D36" i="1" s="1"/>
  <c r="C26" i="1"/>
  <c r="B26" i="1"/>
  <c r="E14" i="1" l="1"/>
  <c r="F14" i="1"/>
  <c r="C45" i="1"/>
  <c r="D14" i="1"/>
  <c r="G5" i="1"/>
  <c r="C14" i="1"/>
  <c r="B14" i="1"/>
  <c r="G26" i="1"/>
  <c r="G51" i="1"/>
  <c r="E46" i="1"/>
  <c r="G46" i="1" s="1"/>
  <c r="C48" i="1"/>
  <c r="C55" i="1" s="1"/>
  <c r="G50" i="1"/>
  <c r="P45" i="1"/>
  <c r="B48" i="1"/>
  <c r="G48" i="1" s="1"/>
  <c r="P51" i="1"/>
  <c r="G53" i="1"/>
  <c r="B49" i="1"/>
  <c r="G49" i="1" s="1"/>
  <c r="F36" i="1"/>
  <c r="D45" i="1"/>
  <c r="D55" i="1" s="1"/>
  <c r="E45" i="1"/>
  <c r="B45" i="1"/>
  <c r="F45" i="1"/>
  <c r="F55" i="1" s="1"/>
  <c r="G47" i="1"/>
  <c r="G29" i="1"/>
  <c r="N52" i="1"/>
  <c r="M52" i="1"/>
  <c r="P47" i="1"/>
  <c r="L52" i="1"/>
  <c r="P42" i="1"/>
  <c r="O52" i="1"/>
  <c r="P44" i="1"/>
  <c r="K52" i="1"/>
  <c r="C36" i="1"/>
  <c r="G27" i="1"/>
  <c r="B36" i="1"/>
  <c r="B55" i="1" l="1"/>
  <c r="G14" i="1"/>
  <c r="G45" i="1"/>
  <c r="E55" i="1"/>
  <c r="G55" i="1"/>
  <c r="G36" i="1"/>
  <c r="P52" i="1"/>
</calcChain>
</file>

<file path=xl/sharedStrings.xml><?xml version="1.0" encoding="utf-8"?>
<sst xmlns="http://schemas.openxmlformats.org/spreadsheetml/2006/main" count="137" uniqueCount="38">
  <si>
    <t>TEF Funds Deployed for New Mexico INCLUDE Activities</t>
  </si>
  <si>
    <t>Year 1</t>
  </si>
  <si>
    <t>Year 2</t>
  </si>
  <si>
    <t>Year 3</t>
  </si>
  <si>
    <t>Year 4</t>
  </si>
  <si>
    <t>Year 5</t>
  </si>
  <si>
    <t>TOTAL</t>
  </si>
  <si>
    <t>Line Item Budget</t>
  </si>
  <si>
    <t>Personnel</t>
  </si>
  <si>
    <t>Fringe Benefits</t>
  </si>
  <si>
    <t>Travel</t>
  </si>
  <si>
    <t>Equipment</t>
  </si>
  <si>
    <t>Supplies</t>
  </si>
  <si>
    <t>UNM Subaward</t>
  </si>
  <si>
    <t>Construction</t>
  </si>
  <si>
    <t>Other</t>
  </si>
  <si>
    <t>Indirect</t>
  </si>
  <si>
    <t>TEF Passed to CNM-I</t>
  </si>
  <si>
    <t>Sandia Subaward</t>
  </si>
  <si>
    <t>NOTES</t>
  </si>
  <si>
    <t>Need budget adjustment to swap with EDA</t>
  </si>
  <si>
    <t>Travel NM educators to attend annual workshop</t>
  </si>
  <si>
    <t>217,894 QuLL + 200,000 EQWC</t>
  </si>
  <si>
    <t>ALL Funds Deployed in Relation to New Mexico INCLUDE Activities (EDA + TEF)</t>
  </si>
  <si>
    <t xml:space="preserve">            -   </t>
  </si>
  <si>
    <t>Total NM INCLUDE Budget</t>
  </si>
  <si>
    <t>EDA plus TEF Funds Deployed for New Mexico INCLUDE Activities</t>
  </si>
  <si>
    <t>Passed to CNM-I</t>
  </si>
  <si>
    <t>Program Manager plus CNM Faculty Course Relief</t>
  </si>
  <si>
    <t>73,369 QuLL original + 22,640 / year (was the IDC)</t>
  </si>
  <si>
    <t>Annual Workshop ($50k/year) + Website (30k/30k/10k/10k/10k) + NM Educator Stipend ($50k year 1 and 2) + Student Tuition (0/30/60/120/120)</t>
  </si>
  <si>
    <t>TEF Funds UNM Subaward to CNM Ingenuity Budget Breakdown</t>
  </si>
  <si>
    <t>TEF Fund agreeement between UNM and NM HED</t>
  </si>
  <si>
    <t>Subaward from UNM</t>
  </si>
  <si>
    <t>217,894 QuLL + 200,000 EQWC + 117,613 from Other</t>
  </si>
  <si>
    <t>Annual Workshop ($50k/year) + Website (30k/30k/10k/10k/10k) + NM Educator Stipend ($50k year 1 and 2) + Student Tuition (0/30,000/20,277/82,271/79,872)</t>
  </si>
  <si>
    <t>These rows were "scratch pad" for Brian to figure out how to adjust tuition to make year-by-year totals to match Jessi Olsen's Elevate calculations</t>
  </si>
  <si>
    <t>73,369 QuLL original + 22,640 / year (was the IDC) + small adjustment to make UNM year-by-year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</si>
</sst>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38181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right" vertical="center"/>
    </xf>
    <xf numFmtId="0" fontId="1" fillId="2" borderId="8" xfId="0" applyFont="1" applyFill="1" applyBorder="1" applyAlignment="1">
      <alignment horizontal="right" vertical="center"/>
    </xf>
    <xf numFmtId="3" fontId="3" fillId="2" borderId="7" xfId="0" applyNumberFormat="1" applyFont="1" applyFill="1" applyBorder="1" applyAlignment="1">
      <alignment horizontal="right" vertical="center"/>
    </xf>
    <xf numFmtId="3" fontId="3" fillId="2" borderId="8" xfId="0" applyNumberFormat="1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8" xfId="0" applyFont="1" applyBorder="1" applyAlignment="1">
      <alignment horizontal="right" vertical="center" wrapText="1"/>
    </xf>
    <xf numFmtId="0" fontId="1" fillId="3" borderId="8" xfId="0" applyFont="1" applyFill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3" fontId="3" fillId="0" borderId="7" xfId="0" applyNumberFormat="1" applyFont="1" applyBorder="1" applyAlignment="1">
      <alignment horizontal="right" vertical="center"/>
    </xf>
    <xf numFmtId="3" fontId="3" fillId="0" borderId="8" xfId="0" applyNumberFormat="1" applyFont="1" applyBorder="1" applyAlignment="1">
      <alignment horizontal="right" vertical="center"/>
    </xf>
    <xf numFmtId="3" fontId="3" fillId="3" borderId="8" xfId="0" applyNumberFormat="1" applyFont="1" applyFill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3" fillId="3" borderId="8" xfId="0" applyFont="1" applyFill="1" applyBorder="1" applyAlignment="1">
      <alignment horizontal="right" vertical="center"/>
    </xf>
    <xf numFmtId="3" fontId="3" fillId="3" borderId="7" xfId="0" applyNumberFormat="1" applyFont="1" applyFill="1" applyBorder="1" applyAlignment="1">
      <alignment horizontal="right" vertical="center"/>
    </xf>
    <xf numFmtId="3" fontId="3" fillId="4" borderId="10" xfId="0" applyNumberFormat="1" applyFont="1" applyFill="1" applyBorder="1" applyAlignment="1">
      <alignment horizontal="right" vertical="center"/>
    </xf>
    <xf numFmtId="3" fontId="3" fillId="4" borderId="14" xfId="0" applyNumberFormat="1" applyFont="1" applyFill="1" applyBorder="1" applyAlignment="1">
      <alignment horizontal="right" vertical="center"/>
    </xf>
    <xf numFmtId="0" fontId="1" fillId="4" borderId="16" xfId="0" applyFont="1" applyFill="1" applyBorder="1" applyAlignment="1">
      <alignment horizontal="left" vertical="center"/>
    </xf>
    <xf numFmtId="0" fontId="2" fillId="4" borderId="17" xfId="0" applyFont="1" applyFill="1" applyBorder="1" applyAlignment="1">
      <alignment horizontal="left" vertical="center"/>
    </xf>
    <xf numFmtId="3" fontId="3" fillId="4" borderId="17" xfId="0" applyNumberFormat="1" applyFont="1" applyFill="1" applyBorder="1" applyAlignment="1">
      <alignment horizontal="left" vertical="center"/>
    </xf>
    <xf numFmtId="0" fontId="1" fillId="4" borderId="17" xfId="0" applyFont="1" applyFill="1" applyBorder="1" applyAlignment="1">
      <alignment horizontal="left" vertical="center"/>
    </xf>
    <xf numFmtId="3" fontId="3" fillId="4" borderId="18" xfId="0" applyNumberFormat="1" applyFont="1" applyFill="1" applyBorder="1" applyAlignment="1">
      <alignment horizontal="left" vertical="center"/>
    </xf>
    <xf numFmtId="3" fontId="3" fillId="4" borderId="13" xfId="0" applyNumberFormat="1" applyFont="1" applyFill="1" applyBorder="1" applyAlignment="1">
      <alignment horizontal="right" vertical="center"/>
    </xf>
    <xf numFmtId="3" fontId="3" fillId="4" borderId="15" xfId="0" applyNumberFormat="1" applyFont="1" applyFill="1" applyBorder="1" applyAlignment="1">
      <alignment horizontal="right" vertical="center"/>
    </xf>
    <xf numFmtId="0" fontId="1" fillId="4" borderId="4" xfId="0" applyFont="1" applyFill="1" applyBorder="1" applyAlignment="1">
      <alignment vertical="center"/>
    </xf>
    <xf numFmtId="0" fontId="2" fillId="4" borderId="20" xfId="0" applyFont="1" applyFill="1" applyBorder="1" applyAlignment="1">
      <alignment horizontal="center" vertical="center"/>
    </xf>
    <xf numFmtId="3" fontId="3" fillId="4" borderId="11" xfId="0" applyNumberFormat="1" applyFont="1" applyFill="1" applyBorder="1" applyAlignment="1">
      <alignment horizontal="right" vertical="center"/>
    </xf>
    <xf numFmtId="3" fontId="3" fillId="4" borderId="12" xfId="0" applyNumberFormat="1" applyFont="1" applyFill="1" applyBorder="1" applyAlignment="1">
      <alignment horizontal="right" vertical="center"/>
    </xf>
    <xf numFmtId="0" fontId="2" fillId="4" borderId="21" xfId="0" applyFont="1" applyFill="1" applyBorder="1" applyAlignment="1">
      <alignment horizontal="center" vertical="center"/>
    </xf>
    <xf numFmtId="3" fontId="3" fillId="5" borderId="22" xfId="0" applyNumberFormat="1" applyFont="1" applyFill="1" applyBorder="1" applyAlignment="1">
      <alignment horizontal="right" vertical="center"/>
    </xf>
    <xf numFmtId="3" fontId="3" fillId="5" borderId="23" xfId="0" applyNumberFormat="1" applyFont="1" applyFill="1" applyBorder="1" applyAlignment="1">
      <alignment horizontal="right" vertical="center"/>
    </xf>
    <xf numFmtId="0" fontId="1" fillId="5" borderId="24" xfId="0" applyFont="1" applyFill="1" applyBorder="1" applyAlignment="1">
      <alignment horizontal="right" vertical="center"/>
    </xf>
    <xf numFmtId="3" fontId="3" fillId="5" borderId="25" xfId="0" applyNumberFormat="1" applyFont="1" applyFill="1" applyBorder="1" applyAlignment="1">
      <alignment horizontal="right" vertical="center"/>
    </xf>
    <xf numFmtId="3" fontId="3" fillId="5" borderId="26" xfId="0" applyNumberFormat="1" applyFont="1" applyFill="1" applyBorder="1" applyAlignment="1">
      <alignment horizontal="right" vertical="center"/>
    </xf>
    <xf numFmtId="3" fontId="3" fillId="5" borderId="27" xfId="0" applyNumberFormat="1" applyFont="1" applyFill="1" applyBorder="1" applyAlignment="1">
      <alignment horizontal="right" vertical="center"/>
    </xf>
    <xf numFmtId="3" fontId="3" fillId="5" borderId="4" xfId="0" applyNumberFormat="1" applyFont="1" applyFill="1" applyBorder="1" applyAlignment="1">
      <alignment horizontal="right" vertical="center"/>
    </xf>
    <xf numFmtId="0" fontId="2" fillId="4" borderId="28" xfId="0" applyFont="1" applyFill="1" applyBorder="1" applyAlignment="1">
      <alignment horizontal="center" vertical="center"/>
    </xf>
    <xf numFmtId="3" fontId="3" fillId="4" borderId="19" xfId="0" applyNumberFormat="1" applyFont="1" applyFill="1" applyBorder="1" applyAlignment="1">
      <alignment horizontal="right" vertical="center"/>
    </xf>
    <xf numFmtId="3" fontId="3" fillId="4" borderId="29" xfId="0" applyNumberFormat="1" applyFont="1" applyFill="1" applyBorder="1" applyAlignment="1">
      <alignment horizontal="right" vertical="center"/>
    </xf>
    <xf numFmtId="3" fontId="3" fillId="4" borderId="30" xfId="0" applyNumberFormat="1" applyFont="1" applyFill="1" applyBorder="1" applyAlignment="1">
      <alignment horizontal="right" vertical="center"/>
    </xf>
    <xf numFmtId="0" fontId="2" fillId="4" borderId="6" xfId="0" applyFont="1" applyFill="1" applyBorder="1" applyAlignment="1">
      <alignment vertical="center"/>
    </xf>
    <xf numFmtId="0" fontId="1" fillId="4" borderId="22" xfId="0" applyFont="1" applyFill="1" applyBorder="1" applyAlignment="1">
      <alignment vertical="center"/>
    </xf>
    <xf numFmtId="0" fontId="2" fillId="4" borderId="23" xfId="0" applyFont="1" applyFill="1" applyBorder="1" applyAlignment="1">
      <alignment vertical="center" wrapText="1"/>
    </xf>
    <xf numFmtId="0" fontId="2" fillId="4" borderId="23" xfId="0" applyFont="1" applyFill="1" applyBorder="1" applyAlignment="1">
      <alignment vertical="center"/>
    </xf>
    <xf numFmtId="0" fontId="2" fillId="4" borderId="24" xfId="0" applyFont="1" applyFill="1" applyBorder="1" applyAlignment="1">
      <alignment vertical="center"/>
    </xf>
    <xf numFmtId="3" fontId="3" fillId="4" borderId="17" xfId="0" applyNumberFormat="1" applyFont="1" applyFill="1" applyBorder="1" applyAlignment="1">
      <alignment horizontal="left" vertical="center" wrapText="1"/>
    </xf>
    <xf numFmtId="0" fontId="2" fillId="4" borderId="0" xfId="0" applyFont="1" applyFill="1" applyAlignment="1">
      <alignment vertical="center"/>
    </xf>
    <xf numFmtId="3" fontId="3" fillId="4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3" fontId="3" fillId="2" borderId="0" xfId="0" applyNumberFormat="1" applyFont="1" applyFill="1" applyAlignment="1">
      <alignment horizontal="right" vertical="center"/>
    </xf>
    <xf numFmtId="3" fontId="3" fillId="4" borderId="0" xfId="0" applyNumberFormat="1" applyFont="1" applyFill="1" applyAlignment="1">
      <alignment horizontal="right" vertical="center"/>
    </xf>
    <xf numFmtId="0" fontId="0" fillId="6" borderId="0" xfId="0" applyFill="1"/>
    <xf numFmtId="0" fontId="0" fillId="6" borderId="0" xfId="0" applyFill="1" applyAlignment="1">
      <alignment horizontal="left"/>
    </xf>
    <xf numFmtId="3" fontId="0" fillId="6" borderId="0" xfId="0" applyNumberFormat="1" applyFill="1"/>
    <xf numFmtId="0" fontId="0" fillId="6" borderId="0" xfId="0" applyFill="1" applyAlignment="1">
      <alignment horizontal="center" vertical="center" wrapText="1"/>
    </xf>
    <xf numFmtId="0" fontId="1" fillId="7" borderId="4" xfId="0" applyFont="1" applyFill="1" applyBorder="1" applyAlignment="1">
      <alignment vertical="center"/>
    </xf>
    <xf numFmtId="0" fontId="1" fillId="7" borderId="16" xfId="0" applyFont="1" applyFill="1" applyBorder="1" applyAlignment="1">
      <alignment horizontal="left" vertical="center"/>
    </xf>
    <xf numFmtId="0" fontId="1" fillId="7" borderId="22" xfId="0" applyFont="1" applyFill="1" applyBorder="1" applyAlignment="1">
      <alignment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left" vertical="center"/>
    </xf>
    <xf numFmtId="0" fontId="2" fillId="7" borderId="23" xfId="0" applyFont="1" applyFill="1" applyBorder="1" applyAlignment="1">
      <alignment vertical="center" wrapText="1"/>
    </xf>
    <xf numFmtId="3" fontId="3" fillId="7" borderId="19" xfId="0" applyNumberFormat="1" applyFont="1" applyFill="1" applyBorder="1" applyAlignment="1">
      <alignment horizontal="right" vertical="center"/>
    </xf>
    <xf numFmtId="3" fontId="3" fillId="7" borderId="11" xfId="0" applyNumberFormat="1" applyFont="1" applyFill="1" applyBorder="1" applyAlignment="1">
      <alignment horizontal="right" vertical="center"/>
    </xf>
    <xf numFmtId="3" fontId="3" fillId="7" borderId="12" xfId="0" applyNumberFormat="1" applyFont="1" applyFill="1" applyBorder="1" applyAlignment="1">
      <alignment horizontal="right" vertical="center"/>
    </xf>
    <xf numFmtId="3" fontId="3" fillId="7" borderId="22" xfId="0" applyNumberFormat="1" applyFont="1" applyFill="1" applyBorder="1" applyAlignment="1">
      <alignment horizontal="right" vertical="center"/>
    </xf>
    <xf numFmtId="3" fontId="3" fillId="7" borderId="17" xfId="0" applyNumberFormat="1" applyFont="1" applyFill="1" applyBorder="1" applyAlignment="1">
      <alignment horizontal="left" vertical="center"/>
    </xf>
    <xf numFmtId="0" fontId="2" fillId="7" borderId="23" xfId="0" applyFont="1" applyFill="1" applyBorder="1" applyAlignment="1">
      <alignment vertical="center"/>
    </xf>
    <xf numFmtId="3" fontId="3" fillId="7" borderId="29" xfId="0" applyNumberFormat="1" applyFont="1" applyFill="1" applyBorder="1" applyAlignment="1">
      <alignment horizontal="right" vertical="center"/>
    </xf>
    <xf numFmtId="3" fontId="3" fillId="7" borderId="10" xfId="0" applyNumberFormat="1" applyFont="1" applyFill="1" applyBorder="1" applyAlignment="1">
      <alignment horizontal="right" vertical="center"/>
    </xf>
    <xf numFmtId="3" fontId="3" fillId="7" borderId="13" xfId="0" applyNumberFormat="1" applyFont="1" applyFill="1" applyBorder="1" applyAlignment="1">
      <alignment horizontal="right" vertical="center"/>
    </xf>
    <xf numFmtId="3" fontId="3" fillId="7" borderId="23" xfId="0" applyNumberFormat="1" applyFont="1" applyFill="1" applyBorder="1" applyAlignment="1">
      <alignment horizontal="right" vertical="center"/>
    </xf>
    <xf numFmtId="3" fontId="3" fillId="7" borderId="17" xfId="0" applyNumberFormat="1" applyFont="1" applyFill="1" applyBorder="1" applyAlignment="1">
      <alignment horizontal="left" vertical="center" wrapText="1"/>
    </xf>
    <xf numFmtId="0" fontId="2" fillId="7" borderId="24" xfId="0" applyFont="1" applyFill="1" applyBorder="1" applyAlignment="1">
      <alignment vertical="center"/>
    </xf>
    <xf numFmtId="3" fontId="3" fillId="7" borderId="30" xfId="0" applyNumberFormat="1" applyFont="1" applyFill="1" applyBorder="1" applyAlignment="1">
      <alignment horizontal="right" vertical="center"/>
    </xf>
    <xf numFmtId="3" fontId="3" fillId="7" borderId="14" xfId="0" applyNumberFormat="1" applyFont="1" applyFill="1" applyBorder="1" applyAlignment="1">
      <alignment horizontal="right" vertical="center"/>
    </xf>
    <xf numFmtId="3" fontId="3" fillId="7" borderId="15" xfId="0" applyNumberFormat="1" applyFont="1" applyFill="1" applyBorder="1" applyAlignment="1">
      <alignment horizontal="right" vertical="center"/>
    </xf>
    <xf numFmtId="0" fontId="1" fillId="7" borderId="24" xfId="0" applyFont="1" applyFill="1" applyBorder="1" applyAlignment="1">
      <alignment horizontal="right" vertical="center"/>
    </xf>
    <xf numFmtId="0" fontId="1" fillId="7" borderId="17" xfId="0" applyFont="1" applyFill="1" applyBorder="1" applyAlignment="1">
      <alignment horizontal="left" vertical="center"/>
    </xf>
    <xf numFmtId="0" fontId="2" fillId="7" borderId="6" xfId="0" applyFont="1" applyFill="1" applyBorder="1" applyAlignment="1">
      <alignment vertical="center"/>
    </xf>
    <xf numFmtId="3" fontId="3" fillId="7" borderId="25" xfId="0" applyNumberFormat="1" applyFont="1" applyFill="1" applyBorder="1" applyAlignment="1">
      <alignment horizontal="right" vertical="center"/>
    </xf>
    <xf numFmtId="3" fontId="3" fillId="7" borderId="26" xfId="0" applyNumberFormat="1" applyFont="1" applyFill="1" applyBorder="1" applyAlignment="1">
      <alignment horizontal="right" vertical="center"/>
    </xf>
    <xf numFmtId="3" fontId="3" fillId="7" borderId="27" xfId="0" applyNumberFormat="1" applyFont="1" applyFill="1" applyBorder="1" applyAlignment="1">
      <alignment horizontal="right" vertical="center"/>
    </xf>
    <xf numFmtId="3" fontId="3" fillId="7" borderId="4" xfId="0" applyNumberFormat="1" applyFont="1" applyFill="1" applyBorder="1" applyAlignment="1">
      <alignment horizontal="right" vertical="center"/>
    </xf>
    <xf numFmtId="3" fontId="3" fillId="7" borderId="18" xfId="0" applyNumberFormat="1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3" fontId="3" fillId="6" borderId="0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38181"/>
      <color rgb="FFFF82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0D40-288E-4B63-AFC1-BCF445A765BC}">
  <dimension ref="A1:P55"/>
  <sheetViews>
    <sheetView tabSelected="1" zoomScale="90" zoomScaleNormal="90" workbookViewId="0">
      <selection activeCell="F9" sqref="F9"/>
    </sheetView>
  </sheetViews>
  <sheetFormatPr defaultRowHeight="15" x14ac:dyDescent="0.25"/>
  <cols>
    <col min="1" max="1" width="19.7109375" bestFit="1" customWidth="1"/>
    <col min="2" max="6" width="10.5703125" bestFit="1" customWidth="1"/>
    <col min="7" max="7" width="12.42578125" bestFit="1" customWidth="1"/>
    <col min="8" max="8" width="69" style="1" customWidth="1"/>
    <col min="10" max="10" width="24.7109375" bestFit="1" customWidth="1"/>
    <col min="11" max="12" width="10.5703125" bestFit="1" customWidth="1"/>
    <col min="13" max="15" width="10.28515625" customWidth="1"/>
    <col min="16" max="16" width="10.5703125" bestFit="1" customWidth="1"/>
  </cols>
  <sheetData>
    <row r="1" spans="1:16" ht="15.75" thickBot="1" x14ac:dyDescent="0.3">
      <c r="A1" s="74"/>
      <c r="B1" s="113" t="s">
        <v>31</v>
      </c>
      <c r="C1" s="114"/>
      <c r="D1" s="114"/>
      <c r="E1" s="114"/>
      <c r="F1" s="114"/>
      <c r="G1" s="115"/>
      <c r="H1" s="75"/>
      <c r="J1" s="2"/>
      <c r="K1" s="105" t="s">
        <v>0</v>
      </c>
      <c r="L1" s="106"/>
      <c r="M1" s="106"/>
      <c r="N1" s="106"/>
      <c r="O1" s="106"/>
      <c r="P1" s="3"/>
    </row>
    <row r="2" spans="1:16" ht="15.75" thickBot="1" x14ac:dyDescent="0.3">
      <c r="A2" s="76"/>
      <c r="B2" s="77" t="s">
        <v>1</v>
      </c>
      <c r="C2" s="78" t="s">
        <v>2</v>
      </c>
      <c r="D2" s="78" t="s">
        <v>3</v>
      </c>
      <c r="E2" s="78" t="s">
        <v>4</v>
      </c>
      <c r="F2" s="78" t="s">
        <v>5</v>
      </c>
      <c r="G2" s="79" t="s">
        <v>6</v>
      </c>
      <c r="H2" s="80" t="s">
        <v>19</v>
      </c>
      <c r="J2" s="4"/>
      <c r="K2" s="5" t="s">
        <v>1</v>
      </c>
      <c r="L2" s="5" t="s">
        <v>2</v>
      </c>
      <c r="M2" s="5" t="s">
        <v>3</v>
      </c>
      <c r="N2" s="5" t="s">
        <v>4</v>
      </c>
      <c r="O2" s="6" t="s">
        <v>5</v>
      </c>
      <c r="P2" s="7" t="s">
        <v>6</v>
      </c>
    </row>
    <row r="3" spans="1:16" ht="16.5" thickBot="1" x14ac:dyDescent="0.3">
      <c r="A3" s="81" t="s">
        <v>7</v>
      </c>
      <c r="B3" s="82"/>
      <c r="C3" s="83"/>
      <c r="D3" s="83"/>
      <c r="E3" s="83"/>
      <c r="F3" s="84"/>
      <c r="G3" s="85"/>
      <c r="H3" s="86"/>
      <c r="J3" s="8" t="s">
        <v>7</v>
      </c>
      <c r="K3" s="9"/>
      <c r="L3" s="10"/>
      <c r="M3" s="10"/>
      <c r="N3" s="10"/>
      <c r="O3" s="10"/>
      <c r="P3" s="11"/>
    </row>
    <row r="4" spans="1:16" ht="16.5" thickBot="1" x14ac:dyDescent="0.3">
      <c r="A4" s="87" t="s">
        <v>8</v>
      </c>
      <c r="B4" s="88">
        <f>21865+8006</f>
        <v>29871</v>
      </c>
      <c r="C4" s="89">
        <f>21865+8006</f>
        <v>29871</v>
      </c>
      <c r="D4" s="89">
        <f>21865+8006</f>
        <v>29871</v>
      </c>
      <c r="E4" s="89">
        <f>21865+8006</f>
        <v>29871</v>
      </c>
      <c r="F4" s="90">
        <f>21865</f>
        <v>21865</v>
      </c>
      <c r="G4" s="91">
        <f t="shared" ref="G4:G10" si="0">SUM(B4:F4)</f>
        <v>141349</v>
      </c>
      <c r="H4" s="86" t="s">
        <v>28</v>
      </c>
      <c r="J4" s="12" t="s">
        <v>8</v>
      </c>
      <c r="K4" s="13"/>
      <c r="L4" s="14"/>
      <c r="M4" s="14"/>
      <c r="N4" s="14"/>
      <c r="O4" s="14"/>
      <c r="P4" s="14"/>
    </row>
    <row r="5" spans="1:16" ht="16.5" thickBot="1" x14ac:dyDescent="0.3">
      <c r="A5" s="87" t="s">
        <v>9</v>
      </c>
      <c r="B5" s="88">
        <f>8135+1601</f>
        <v>9736</v>
      </c>
      <c r="C5" s="89">
        <f>8135+1601</f>
        <v>9736</v>
      </c>
      <c r="D5" s="89">
        <f>8135+1601</f>
        <v>9736</v>
      </c>
      <c r="E5" s="89">
        <f>8135+1601</f>
        <v>9736</v>
      </c>
      <c r="F5" s="90">
        <f>8135</f>
        <v>8135</v>
      </c>
      <c r="G5" s="91">
        <f t="shared" si="0"/>
        <v>47079</v>
      </c>
      <c r="H5" s="86" t="s">
        <v>28</v>
      </c>
      <c r="J5" s="12" t="s">
        <v>9</v>
      </c>
      <c r="K5" s="13"/>
      <c r="L5" s="14"/>
      <c r="M5" s="14"/>
      <c r="N5" s="14"/>
      <c r="O5" s="14"/>
      <c r="P5" s="14"/>
    </row>
    <row r="6" spans="1:16" ht="16.5" thickBot="1" x14ac:dyDescent="0.3">
      <c r="A6" s="87" t="s">
        <v>10</v>
      </c>
      <c r="B6" s="88">
        <v>30000</v>
      </c>
      <c r="C6" s="89">
        <v>30000</v>
      </c>
      <c r="D6" s="89">
        <v>30000</v>
      </c>
      <c r="E6" s="89">
        <v>30000</v>
      </c>
      <c r="F6" s="90">
        <v>30000</v>
      </c>
      <c r="G6" s="91">
        <f t="shared" si="0"/>
        <v>150000</v>
      </c>
      <c r="H6" s="86" t="s">
        <v>21</v>
      </c>
      <c r="J6" s="12" t="s">
        <v>10</v>
      </c>
      <c r="K6" s="13"/>
      <c r="L6" s="14"/>
      <c r="M6" s="14"/>
      <c r="N6" s="14"/>
      <c r="O6" s="14"/>
      <c r="P6" s="14"/>
    </row>
    <row r="7" spans="1:16" ht="16.5" thickBot="1" x14ac:dyDescent="0.3">
      <c r="A7" s="87" t="s">
        <v>11</v>
      </c>
      <c r="B7" s="88">
        <f>153894+50000+26+59380</f>
        <v>263300</v>
      </c>
      <c r="C7" s="89">
        <f>16000+150000+58250</f>
        <v>224250</v>
      </c>
      <c r="D7" s="89">
        <v>16000</v>
      </c>
      <c r="E7" s="89">
        <v>16000</v>
      </c>
      <c r="F7" s="90">
        <v>16000</v>
      </c>
      <c r="G7" s="91">
        <f t="shared" si="0"/>
        <v>535550</v>
      </c>
      <c r="H7" s="86" t="s">
        <v>34</v>
      </c>
      <c r="J7" s="12" t="s">
        <v>11</v>
      </c>
      <c r="K7" s="15">
        <v>153894</v>
      </c>
      <c r="L7" s="16">
        <v>16000</v>
      </c>
      <c r="M7" s="16">
        <v>16000</v>
      </c>
      <c r="N7" s="16">
        <v>16000</v>
      </c>
      <c r="O7" s="16">
        <v>16000</v>
      </c>
      <c r="P7" s="16">
        <v>217894</v>
      </c>
    </row>
    <row r="8" spans="1:16" ht="16.5" thickBot="1" x14ac:dyDescent="0.3">
      <c r="A8" s="87" t="s">
        <v>12</v>
      </c>
      <c r="B8" s="88">
        <f>73369+22640+641</f>
        <v>96650</v>
      </c>
      <c r="C8" s="89">
        <f>22640+1551</f>
        <v>24191</v>
      </c>
      <c r="D8" s="89">
        <f>22641+427</f>
        <v>23068</v>
      </c>
      <c r="E8" s="89">
        <f>22641-736</f>
        <v>21905</v>
      </c>
      <c r="F8" s="90">
        <f>22641-1882</f>
        <v>20759</v>
      </c>
      <c r="G8" s="91">
        <f t="shared" si="0"/>
        <v>186573</v>
      </c>
      <c r="H8" s="86" t="s">
        <v>37</v>
      </c>
      <c r="J8" s="12" t="s">
        <v>12</v>
      </c>
      <c r="K8" s="15">
        <v>73396</v>
      </c>
      <c r="L8" s="14"/>
      <c r="M8" s="14"/>
      <c r="N8" s="14"/>
      <c r="O8" s="14"/>
      <c r="P8" s="16">
        <v>73396</v>
      </c>
    </row>
    <row r="9" spans="1:16" ht="16.5" thickBot="1" x14ac:dyDescent="0.3">
      <c r="A9" s="87" t="s">
        <v>13</v>
      </c>
      <c r="B9" s="88">
        <v>36775</v>
      </c>
      <c r="C9" s="89">
        <v>35865</v>
      </c>
      <c r="D9" s="89">
        <v>36989</v>
      </c>
      <c r="E9" s="89">
        <v>38152</v>
      </c>
      <c r="F9" s="90">
        <v>39298</v>
      </c>
      <c r="G9" s="91">
        <f t="shared" si="0"/>
        <v>187079</v>
      </c>
      <c r="H9" s="86"/>
      <c r="J9" s="12" t="s">
        <v>13</v>
      </c>
      <c r="K9" s="15">
        <v>469042</v>
      </c>
      <c r="L9" s="16">
        <v>467913</v>
      </c>
      <c r="M9" s="16">
        <v>149891</v>
      </c>
      <c r="N9" s="16">
        <v>151935</v>
      </c>
      <c r="O9" s="16">
        <v>139929</v>
      </c>
      <c r="P9" s="16">
        <v>1378710</v>
      </c>
    </row>
    <row r="10" spans="1:16" ht="16.5" thickBot="1" x14ac:dyDescent="0.3">
      <c r="A10" s="87" t="s">
        <v>18</v>
      </c>
      <c r="B10" s="88">
        <v>100000</v>
      </c>
      <c r="C10" s="89"/>
      <c r="D10" s="89"/>
      <c r="E10" s="89"/>
      <c r="F10" s="90"/>
      <c r="G10" s="91">
        <f t="shared" si="0"/>
        <v>100000</v>
      </c>
      <c r="H10" s="86" t="s">
        <v>20</v>
      </c>
      <c r="J10" s="12"/>
      <c r="K10" s="15"/>
      <c r="L10" s="16"/>
      <c r="M10" s="16"/>
      <c r="N10" s="16"/>
      <c r="O10" s="16"/>
      <c r="P10" s="16"/>
    </row>
    <row r="11" spans="1:16" ht="16.5" thickBot="1" x14ac:dyDescent="0.3">
      <c r="A11" s="87" t="s">
        <v>14</v>
      </c>
      <c r="B11" s="88"/>
      <c r="C11" s="89"/>
      <c r="D11" s="89"/>
      <c r="E11" s="89"/>
      <c r="F11" s="90"/>
      <c r="G11" s="91"/>
      <c r="H11" s="86"/>
      <c r="J11" s="12" t="s">
        <v>14</v>
      </c>
      <c r="K11" s="13"/>
      <c r="L11" s="11"/>
      <c r="M11" s="14"/>
      <c r="N11" s="14"/>
      <c r="O11" s="14"/>
      <c r="P11" s="14"/>
    </row>
    <row r="12" spans="1:16" ht="48" thickBot="1" x14ac:dyDescent="0.3">
      <c r="A12" s="87" t="s">
        <v>15</v>
      </c>
      <c r="B12" s="88">
        <v>130000</v>
      </c>
      <c r="C12" s="89">
        <v>160000</v>
      </c>
      <c r="D12" s="89">
        <v>80227</v>
      </c>
      <c r="E12" s="89">
        <v>142271</v>
      </c>
      <c r="F12" s="90">
        <v>139872</v>
      </c>
      <c r="G12" s="91">
        <f t="shared" ref="G12" si="1">SUM(B12:F12)</f>
        <v>652370</v>
      </c>
      <c r="H12" s="92" t="s">
        <v>35</v>
      </c>
      <c r="J12" s="12" t="s">
        <v>15</v>
      </c>
      <c r="K12" s="13"/>
      <c r="L12" s="16">
        <v>30000</v>
      </c>
      <c r="M12" s="16">
        <v>60000</v>
      </c>
      <c r="N12" s="16">
        <v>120000</v>
      </c>
      <c r="O12" s="16">
        <v>120000</v>
      </c>
      <c r="P12" s="16">
        <v>330000</v>
      </c>
    </row>
    <row r="13" spans="1:16" ht="16.5" thickBot="1" x14ac:dyDescent="0.3">
      <c r="A13" s="93" t="s">
        <v>16</v>
      </c>
      <c r="B13" s="94"/>
      <c r="C13" s="95"/>
      <c r="D13" s="95"/>
      <c r="E13" s="95"/>
      <c r="F13" s="96"/>
      <c r="G13" s="97"/>
      <c r="H13" s="98"/>
      <c r="J13" s="12" t="s">
        <v>16</v>
      </c>
      <c r="K13" s="13"/>
      <c r="L13" s="14"/>
      <c r="M13" s="14"/>
      <c r="N13" s="14"/>
      <c r="O13" s="14"/>
      <c r="P13" s="14"/>
    </row>
    <row r="14" spans="1:16" ht="16.5" thickBot="1" x14ac:dyDescent="0.3">
      <c r="A14" s="99" t="s">
        <v>33</v>
      </c>
      <c r="B14" s="100">
        <f>SUM(B3:B13)</f>
        <v>696332</v>
      </c>
      <c r="C14" s="101">
        <f>SUM(C3:C13)</f>
        <v>513913</v>
      </c>
      <c r="D14" s="101">
        <f>SUM(D3:D13)</f>
        <v>225891</v>
      </c>
      <c r="E14" s="101">
        <f>SUM(E3:E13)</f>
        <v>287935</v>
      </c>
      <c r="F14" s="102">
        <f>SUM(F3:F13)</f>
        <v>275929</v>
      </c>
      <c r="G14" s="103">
        <f>SUM(B14:F14)</f>
        <v>2000000</v>
      </c>
      <c r="H14" s="104"/>
      <c r="J14" s="12" t="s">
        <v>17</v>
      </c>
      <c r="K14" s="15">
        <v>696332</v>
      </c>
      <c r="L14" s="16">
        <v>513913</v>
      </c>
      <c r="M14" s="16">
        <v>225891</v>
      </c>
      <c r="N14" s="16">
        <v>287935</v>
      </c>
      <c r="O14" s="16">
        <v>275929</v>
      </c>
      <c r="P14" s="16">
        <v>2000000</v>
      </c>
    </row>
    <row r="15" spans="1:16" ht="15.75" x14ac:dyDescent="0.25">
      <c r="B15" s="70"/>
      <c r="C15" s="70"/>
      <c r="D15" s="70"/>
      <c r="E15" s="70"/>
      <c r="F15" s="70"/>
      <c r="G15" s="70"/>
      <c r="H15" s="71"/>
      <c r="J15" s="67"/>
      <c r="K15" s="68"/>
      <c r="L15" s="68"/>
      <c r="M15" s="68"/>
      <c r="N15" s="68"/>
      <c r="O15" s="68"/>
      <c r="P15" s="68"/>
    </row>
    <row r="16" spans="1:16" ht="15.75" x14ac:dyDescent="0.25">
      <c r="B16" s="72">
        <v>130000</v>
      </c>
      <c r="C16" s="72">
        <v>160000</v>
      </c>
      <c r="D16" s="70">
        <v>120000</v>
      </c>
      <c r="E16" s="70">
        <v>180000</v>
      </c>
      <c r="F16" s="70">
        <v>180000</v>
      </c>
      <c r="G16" s="72">
        <f>SUM(B16:F16)</f>
        <v>770000</v>
      </c>
      <c r="H16" s="116" t="s">
        <v>36</v>
      </c>
      <c r="J16" s="67"/>
      <c r="K16" s="68"/>
      <c r="L16" s="68"/>
      <c r="M16" s="68"/>
      <c r="N16" s="68"/>
      <c r="O16" s="68"/>
      <c r="P16" s="68"/>
    </row>
    <row r="17" spans="1:16" ht="15.75" x14ac:dyDescent="0.25">
      <c r="B17" s="72">
        <f t="shared" ref="B17:G17" si="2">B12-B16</f>
        <v>0</v>
      </c>
      <c r="C17" s="72">
        <f t="shared" si="2"/>
        <v>0</v>
      </c>
      <c r="D17" s="72">
        <f t="shared" si="2"/>
        <v>-39773</v>
      </c>
      <c r="E17" s="72">
        <f t="shared" si="2"/>
        <v>-37729</v>
      </c>
      <c r="F17" s="72">
        <f t="shared" si="2"/>
        <v>-40128</v>
      </c>
      <c r="G17" s="72">
        <f t="shared" si="2"/>
        <v>-117630</v>
      </c>
      <c r="H17" s="116"/>
      <c r="J17" s="67"/>
      <c r="K17" s="68"/>
      <c r="L17" s="68"/>
      <c r="M17" s="68"/>
      <c r="N17" s="68"/>
      <c r="O17" s="68"/>
      <c r="P17" s="68"/>
    </row>
    <row r="18" spans="1:16" ht="15.75" x14ac:dyDescent="0.25">
      <c r="B18" s="70"/>
      <c r="C18" s="70"/>
      <c r="D18" s="72">
        <f>60000+D17</f>
        <v>20227</v>
      </c>
      <c r="E18" s="72">
        <f>120000+E17</f>
        <v>82271</v>
      </c>
      <c r="F18" s="72">
        <f>120000+F17</f>
        <v>79872</v>
      </c>
      <c r="G18" s="70"/>
      <c r="H18" s="116"/>
      <c r="J18" s="67"/>
      <c r="K18" s="68"/>
      <c r="L18" s="68"/>
      <c r="M18" s="68"/>
      <c r="N18" s="68"/>
      <c r="O18" s="68"/>
      <c r="P18" s="68"/>
    </row>
    <row r="19" spans="1:16" ht="15.75" x14ac:dyDescent="0.25">
      <c r="B19" s="70"/>
      <c r="C19" s="70"/>
      <c r="D19" s="72"/>
      <c r="E19" s="72"/>
      <c r="F19" s="72"/>
      <c r="G19" s="70"/>
      <c r="H19" s="73"/>
      <c r="J19" s="67"/>
      <c r="K19" s="68"/>
      <c r="L19" s="68"/>
      <c r="M19" s="68"/>
      <c r="N19" s="68"/>
      <c r="O19" s="68"/>
      <c r="P19" s="68"/>
    </row>
    <row r="20" spans="1:16" ht="15.75" x14ac:dyDescent="0.25">
      <c r="B20" s="117">
        <v>37416</v>
      </c>
      <c r="C20" s="117">
        <v>37416</v>
      </c>
      <c r="D20" s="117">
        <v>37416</v>
      </c>
      <c r="E20" s="117">
        <v>37416</v>
      </c>
      <c r="F20" s="117">
        <v>37416</v>
      </c>
      <c r="G20" s="117">
        <f t="shared" ref="G20" si="3">SUM(B20:F20)</f>
        <v>187080</v>
      </c>
      <c r="H20" s="73"/>
      <c r="J20" s="67"/>
      <c r="K20" s="68"/>
      <c r="L20" s="68"/>
      <c r="M20" s="68"/>
      <c r="N20" s="68"/>
      <c r="O20" s="68"/>
      <c r="P20" s="68"/>
    </row>
    <row r="21" spans="1:16" ht="15.75" x14ac:dyDescent="0.25">
      <c r="B21" s="117">
        <f>B20-B9</f>
        <v>641</v>
      </c>
      <c r="C21" s="117">
        <f>C20-C9</f>
        <v>1551</v>
      </c>
      <c r="D21" s="117">
        <f>D20-D9</f>
        <v>427</v>
      </c>
      <c r="E21" s="117">
        <f>E20-E9</f>
        <v>-736</v>
      </c>
      <c r="F21" s="117">
        <f>F20-F9</f>
        <v>-1882</v>
      </c>
      <c r="G21" s="117">
        <f>G20-G9</f>
        <v>1</v>
      </c>
      <c r="H21" s="73"/>
      <c r="J21" s="67"/>
      <c r="K21" s="68"/>
      <c r="L21" s="68"/>
      <c r="M21" s="68"/>
      <c r="N21" s="68"/>
      <c r="O21" s="68"/>
      <c r="P21" s="68"/>
    </row>
    <row r="22" spans="1:16" ht="15.75" thickBot="1" x14ac:dyDescent="0.3"/>
    <row r="23" spans="1:16" ht="15.75" thickBot="1" x14ac:dyDescent="0.3">
      <c r="A23" s="43"/>
      <c r="B23" s="110" t="s">
        <v>32</v>
      </c>
      <c r="C23" s="111"/>
      <c r="D23" s="111"/>
      <c r="E23" s="111"/>
      <c r="F23" s="111"/>
      <c r="G23" s="112"/>
      <c r="H23" s="36"/>
      <c r="J23" s="17"/>
      <c r="K23" s="107" t="s">
        <v>23</v>
      </c>
      <c r="L23" s="108"/>
      <c r="M23" s="108"/>
      <c r="N23" s="108"/>
      <c r="O23" s="108"/>
      <c r="P23" s="109"/>
    </row>
    <row r="24" spans="1:16" ht="15.75" thickBot="1" x14ac:dyDescent="0.3">
      <c r="A24" s="60"/>
      <c r="B24" s="55" t="s">
        <v>1</v>
      </c>
      <c r="C24" s="44" t="s">
        <v>2</v>
      </c>
      <c r="D24" s="44" t="s">
        <v>3</v>
      </c>
      <c r="E24" s="44" t="s">
        <v>4</v>
      </c>
      <c r="F24" s="44" t="s">
        <v>5</v>
      </c>
      <c r="G24" s="47" t="s">
        <v>6</v>
      </c>
      <c r="H24" s="37" t="s">
        <v>19</v>
      </c>
      <c r="J24" s="18"/>
      <c r="K24" s="19" t="s">
        <v>1</v>
      </c>
      <c r="L24" s="19" t="s">
        <v>2</v>
      </c>
      <c r="M24" s="19" t="s">
        <v>3</v>
      </c>
      <c r="N24" s="19" t="s">
        <v>4</v>
      </c>
      <c r="O24" s="20" t="s">
        <v>5</v>
      </c>
      <c r="P24" s="21" t="s">
        <v>6</v>
      </c>
    </row>
    <row r="25" spans="1:16" ht="16.5" thickBot="1" x14ac:dyDescent="0.3">
      <c r="A25" s="61" t="s">
        <v>7</v>
      </c>
      <c r="B25" s="56"/>
      <c r="C25" s="45"/>
      <c r="D25" s="45"/>
      <c r="E25" s="45"/>
      <c r="F25" s="46"/>
      <c r="G25" s="48"/>
      <c r="H25" s="38"/>
      <c r="J25" s="22" t="s">
        <v>7</v>
      </c>
      <c r="K25" s="23"/>
      <c r="L25" s="24"/>
      <c r="M25" s="24"/>
      <c r="N25" s="24"/>
      <c r="O25" s="24"/>
      <c r="P25" s="25"/>
    </row>
    <row r="26" spans="1:16" ht="16.5" thickBot="1" x14ac:dyDescent="0.3">
      <c r="A26" s="62" t="s">
        <v>8</v>
      </c>
      <c r="B26" s="57">
        <f>21865+8006</f>
        <v>29871</v>
      </c>
      <c r="C26" s="34">
        <f>21865+8006</f>
        <v>29871</v>
      </c>
      <c r="D26" s="34">
        <f>21865+8006</f>
        <v>29871</v>
      </c>
      <c r="E26" s="34">
        <f>21865+8006</f>
        <v>29871</v>
      </c>
      <c r="F26" s="41">
        <f>21865</f>
        <v>21865</v>
      </c>
      <c r="G26" s="49">
        <f t="shared" ref="G26:G34" si="4">SUM(B26:F26)</f>
        <v>141349</v>
      </c>
      <c r="H26" s="38" t="s">
        <v>28</v>
      </c>
      <c r="J26" s="26" t="s">
        <v>8</v>
      </c>
      <c r="K26" s="27">
        <v>124000</v>
      </c>
      <c r="L26" s="28">
        <v>126480</v>
      </c>
      <c r="M26" s="28">
        <v>129010</v>
      </c>
      <c r="N26" s="28">
        <v>131589</v>
      </c>
      <c r="O26" s="28">
        <v>134220</v>
      </c>
      <c r="P26" s="29">
        <v>645299</v>
      </c>
    </row>
    <row r="27" spans="1:16" ht="16.5" thickBot="1" x14ac:dyDescent="0.3">
      <c r="A27" s="62" t="s">
        <v>9</v>
      </c>
      <c r="B27" s="57">
        <f>8135+1601</f>
        <v>9736</v>
      </c>
      <c r="C27" s="34">
        <f>8135+1601</f>
        <v>9736</v>
      </c>
      <c r="D27" s="34">
        <f>8135+1601</f>
        <v>9736</v>
      </c>
      <c r="E27" s="34">
        <f>8135+1601</f>
        <v>9736</v>
      </c>
      <c r="F27" s="41">
        <f>8135</f>
        <v>8135</v>
      </c>
      <c r="G27" s="49">
        <f t="shared" si="4"/>
        <v>47079</v>
      </c>
      <c r="H27" s="38" t="s">
        <v>28</v>
      </c>
      <c r="J27" s="26" t="s">
        <v>9</v>
      </c>
      <c r="K27" s="27">
        <v>46128</v>
      </c>
      <c r="L27" s="28">
        <v>47051</v>
      </c>
      <c r="M27" s="28">
        <v>47992</v>
      </c>
      <c r="N27" s="28">
        <v>48951</v>
      </c>
      <c r="O27" s="28">
        <v>49930</v>
      </c>
      <c r="P27" s="29">
        <v>240051</v>
      </c>
    </row>
    <row r="28" spans="1:16" ht="16.5" thickBot="1" x14ac:dyDescent="0.3">
      <c r="A28" s="62" t="s">
        <v>10</v>
      </c>
      <c r="B28" s="57">
        <v>30000</v>
      </c>
      <c r="C28" s="34">
        <v>30000</v>
      </c>
      <c r="D28" s="34">
        <v>30000</v>
      </c>
      <c r="E28" s="34">
        <v>30000</v>
      </c>
      <c r="F28" s="41">
        <v>30000</v>
      </c>
      <c r="G28" s="49">
        <f t="shared" si="4"/>
        <v>150000</v>
      </c>
      <c r="H28" s="38" t="s">
        <v>21</v>
      </c>
      <c r="J28" s="26" t="s">
        <v>10</v>
      </c>
      <c r="K28" s="27">
        <v>3755</v>
      </c>
      <c r="L28" s="28">
        <v>3755</v>
      </c>
      <c r="M28" s="28">
        <v>3755</v>
      </c>
      <c r="N28" s="28">
        <v>3755</v>
      </c>
      <c r="O28" s="28">
        <v>3755</v>
      </c>
      <c r="P28" s="29">
        <v>18775</v>
      </c>
    </row>
    <row r="29" spans="1:16" ht="16.5" thickBot="1" x14ac:dyDescent="0.3">
      <c r="A29" s="62" t="s">
        <v>11</v>
      </c>
      <c r="B29" s="57">
        <f>153894+50000+26</f>
        <v>203920</v>
      </c>
      <c r="C29" s="34">
        <f>16000+150000</f>
        <v>166000</v>
      </c>
      <c r="D29" s="34">
        <v>16000</v>
      </c>
      <c r="E29" s="34">
        <v>16000</v>
      </c>
      <c r="F29" s="41">
        <v>16000</v>
      </c>
      <c r="G29" s="49">
        <f t="shared" si="4"/>
        <v>417920</v>
      </c>
      <c r="H29" s="38" t="s">
        <v>22</v>
      </c>
      <c r="J29" s="26" t="s">
        <v>11</v>
      </c>
      <c r="K29" s="27">
        <v>311303</v>
      </c>
      <c r="L29" s="28">
        <v>16000</v>
      </c>
      <c r="M29" s="28">
        <v>16000</v>
      </c>
      <c r="N29" s="28">
        <v>16000</v>
      </c>
      <c r="O29" s="28">
        <v>16000</v>
      </c>
      <c r="P29" s="29">
        <v>375303</v>
      </c>
    </row>
    <row r="30" spans="1:16" ht="16.5" thickBot="1" x14ac:dyDescent="0.3">
      <c r="A30" s="62" t="s">
        <v>12</v>
      </c>
      <c r="B30" s="57">
        <f>73369+22640</f>
        <v>96009</v>
      </c>
      <c r="C30" s="34">
        <v>22640</v>
      </c>
      <c r="D30" s="34">
        <v>22641</v>
      </c>
      <c r="E30" s="34">
        <v>22641</v>
      </c>
      <c r="F30" s="41">
        <v>22641</v>
      </c>
      <c r="G30" s="49">
        <f t="shared" si="4"/>
        <v>186572</v>
      </c>
      <c r="H30" s="38" t="s">
        <v>29</v>
      </c>
      <c r="J30" s="26" t="s">
        <v>12</v>
      </c>
      <c r="K30" s="27">
        <v>167034</v>
      </c>
      <c r="L30" s="28">
        <v>5000</v>
      </c>
      <c r="M30" s="28">
        <v>5000</v>
      </c>
      <c r="N30" s="28">
        <v>5000</v>
      </c>
      <c r="O30" s="28">
        <v>5000</v>
      </c>
      <c r="P30" s="29">
        <v>187034</v>
      </c>
    </row>
    <row r="31" spans="1:16" ht="16.5" thickBot="1" x14ac:dyDescent="0.3">
      <c r="A31" s="62" t="s">
        <v>13</v>
      </c>
      <c r="B31" s="57">
        <v>37416</v>
      </c>
      <c r="C31" s="34">
        <v>37416</v>
      </c>
      <c r="D31" s="34">
        <v>37416</v>
      </c>
      <c r="E31" s="34">
        <v>37416</v>
      </c>
      <c r="F31" s="41">
        <v>37416</v>
      </c>
      <c r="G31" s="49">
        <f t="shared" si="4"/>
        <v>187080</v>
      </c>
      <c r="H31" s="38"/>
      <c r="J31" s="26" t="s">
        <v>13</v>
      </c>
      <c r="K31" s="27">
        <v>761473</v>
      </c>
      <c r="L31" s="28">
        <v>735908</v>
      </c>
      <c r="M31" s="28">
        <v>401365</v>
      </c>
      <c r="N31" s="28">
        <v>416552</v>
      </c>
      <c r="O31" s="28">
        <v>413412</v>
      </c>
      <c r="P31" s="29">
        <v>2728710</v>
      </c>
    </row>
    <row r="32" spans="1:16" ht="16.5" thickBot="1" x14ac:dyDescent="0.3">
      <c r="A32" s="62" t="s">
        <v>18</v>
      </c>
      <c r="B32" s="57">
        <v>100000</v>
      </c>
      <c r="C32" s="34"/>
      <c r="D32" s="34"/>
      <c r="E32" s="34"/>
      <c r="F32" s="41"/>
      <c r="G32" s="49">
        <f t="shared" si="4"/>
        <v>100000</v>
      </c>
      <c r="H32" s="38" t="s">
        <v>20</v>
      </c>
      <c r="J32" s="26"/>
      <c r="K32" s="27"/>
      <c r="L32" s="28"/>
      <c r="M32" s="28"/>
      <c r="N32" s="28"/>
      <c r="O32" s="28"/>
      <c r="P32" s="29"/>
    </row>
    <row r="33" spans="1:16" ht="16.5" thickBot="1" x14ac:dyDescent="0.3">
      <c r="A33" s="62" t="s">
        <v>14</v>
      </c>
      <c r="B33" s="57"/>
      <c r="C33" s="34"/>
      <c r="D33" s="34"/>
      <c r="E33" s="34"/>
      <c r="F33" s="41"/>
      <c r="G33" s="49"/>
      <c r="H33" s="38"/>
      <c r="J33" s="26" t="s">
        <v>14</v>
      </c>
      <c r="K33" s="30" t="s">
        <v>24</v>
      </c>
      <c r="L33" s="31" t="s">
        <v>24</v>
      </c>
      <c r="M33" s="31" t="s">
        <v>24</v>
      </c>
      <c r="N33" s="31" t="s">
        <v>24</v>
      </c>
      <c r="O33" s="31" t="s">
        <v>24</v>
      </c>
      <c r="P33" s="32" t="s">
        <v>24</v>
      </c>
    </row>
    <row r="34" spans="1:16" ht="48" thickBot="1" x14ac:dyDescent="0.3">
      <c r="A34" s="62" t="s">
        <v>15</v>
      </c>
      <c r="B34" s="57">
        <v>189380</v>
      </c>
      <c r="C34" s="34">
        <v>218250</v>
      </c>
      <c r="D34" s="34">
        <v>80227</v>
      </c>
      <c r="E34" s="34">
        <v>142271</v>
      </c>
      <c r="F34" s="41">
        <v>139872</v>
      </c>
      <c r="G34" s="49">
        <f t="shared" si="4"/>
        <v>770000</v>
      </c>
      <c r="H34" s="64" t="s">
        <v>30</v>
      </c>
      <c r="J34" s="26" t="s">
        <v>15</v>
      </c>
      <c r="K34" s="30" t="s">
        <v>24</v>
      </c>
      <c r="L34" s="28">
        <v>74820</v>
      </c>
      <c r="M34" s="28">
        <v>74820</v>
      </c>
      <c r="N34" s="28">
        <v>149640</v>
      </c>
      <c r="O34" s="28">
        <v>149640</v>
      </c>
      <c r="P34" s="29">
        <v>448920</v>
      </c>
    </row>
    <row r="35" spans="1:16" ht="16.5" thickBot="1" x14ac:dyDescent="0.3">
      <c r="A35" s="63" t="s">
        <v>16</v>
      </c>
      <c r="B35" s="58"/>
      <c r="C35" s="35"/>
      <c r="D35" s="35"/>
      <c r="E35" s="35"/>
      <c r="F35" s="42"/>
      <c r="G35" s="50"/>
      <c r="H35" s="39"/>
      <c r="J35" s="26" t="s">
        <v>16</v>
      </c>
      <c r="K35" s="27">
        <v>24888</v>
      </c>
      <c r="L35" s="28">
        <v>17729</v>
      </c>
      <c r="M35" s="28">
        <v>18076</v>
      </c>
      <c r="N35" s="28">
        <v>18430</v>
      </c>
      <c r="O35" s="28">
        <v>18790</v>
      </c>
      <c r="P35" s="29">
        <v>97913</v>
      </c>
    </row>
    <row r="36" spans="1:16" ht="16.5" thickBot="1" x14ac:dyDescent="0.3">
      <c r="A36" s="59" t="s">
        <v>17</v>
      </c>
      <c r="B36" s="51">
        <f>SUM(B25:B35)</f>
        <v>696332</v>
      </c>
      <c r="C36" s="52">
        <f>SUM(C25:C35)</f>
        <v>513913</v>
      </c>
      <c r="D36" s="52">
        <f>SUM(D25:D35)</f>
        <v>225891</v>
      </c>
      <c r="E36" s="52">
        <f>SUM(E25:E35)</f>
        <v>287935</v>
      </c>
      <c r="F36" s="53">
        <f>SUM(F25:F35)</f>
        <v>275929</v>
      </c>
      <c r="G36" s="54">
        <f>SUM(B36:F36)</f>
        <v>2000000</v>
      </c>
      <c r="H36" s="40"/>
      <c r="J36" s="26" t="s">
        <v>25</v>
      </c>
      <c r="K36" s="33">
        <v>1438581</v>
      </c>
      <c r="L36" s="29">
        <v>1026742</v>
      </c>
      <c r="M36" s="29">
        <v>696017</v>
      </c>
      <c r="N36" s="29">
        <v>789917</v>
      </c>
      <c r="O36" s="29">
        <v>790747</v>
      </c>
      <c r="P36" s="29">
        <v>4742005</v>
      </c>
    </row>
    <row r="37" spans="1:16" ht="15.75" x14ac:dyDescent="0.25">
      <c r="A37" s="65"/>
      <c r="B37" s="69"/>
      <c r="C37" s="69"/>
      <c r="D37" s="69"/>
      <c r="E37" s="69"/>
      <c r="F37" s="69"/>
      <c r="G37" s="69"/>
      <c r="H37" s="66"/>
    </row>
    <row r="38" spans="1:16" ht="16.5" thickBot="1" x14ac:dyDescent="0.3">
      <c r="A38" s="65"/>
      <c r="B38" s="69"/>
      <c r="C38" s="69"/>
      <c r="D38" s="69"/>
      <c r="E38" s="69"/>
      <c r="F38" s="69"/>
      <c r="G38" s="69"/>
      <c r="H38" s="66"/>
    </row>
    <row r="39" spans="1:16" ht="16.5" thickBot="1" x14ac:dyDescent="0.3">
      <c r="A39" s="65"/>
      <c r="B39" s="69"/>
      <c r="C39" s="69"/>
      <c r="D39" s="69"/>
      <c r="E39" s="69"/>
      <c r="F39" s="69"/>
      <c r="G39" s="69"/>
      <c r="H39" s="66"/>
      <c r="J39" s="17"/>
      <c r="K39" s="107" t="s">
        <v>23</v>
      </c>
      <c r="L39" s="108"/>
      <c r="M39" s="108"/>
      <c r="N39" s="108"/>
      <c r="O39" s="108"/>
      <c r="P39" s="109"/>
    </row>
    <row r="40" spans="1:16" ht="16.5" thickBot="1" x14ac:dyDescent="0.3">
      <c r="A40" s="65"/>
      <c r="B40" s="69"/>
      <c r="C40" s="69"/>
      <c r="D40" s="69"/>
      <c r="E40" s="69"/>
      <c r="F40" s="69"/>
      <c r="G40" s="69"/>
      <c r="H40" s="66"/>
      <c r="J40" s="18"/>
      <c r="K40" s="19" t="s">
        <v>1</v>
      </c>
      <c r="L40" s="19" t="s">
        <v>2</v>
      </c>
      <c r="M40" s="19" t="s">
        <v>3</v>
      </c>
      <c r="N40" s="19" t="s">
        <v>4</v>
      </c>
      <c r="O40" s="20" t="s">
        <v>5</v>
      </c>
      <c r="P40" s="21" t="s">
        <v>6</v>
      </c>
    </row>
    <row r="41" spans="1:16" ht="15.75" thickBot="1" x14ac:dyDescent="0.3">
      <c r="J41" s="22" t="s">
        <v>7</v>
      </c>
      <c r="K41" s="23"/>
      <c r="L41" s="24"/>
      <c r="M41" s="24"/>
      <c r="N41" s="24"/>
      <c r="O41" s="24"/>
      <c r="P41" s="25"/>
    </row>
    <row r="42" spans="1:16" ht="16.5" thickBot="1" x14ac:dyDescent="0.3">
      <c r="A42" s="43"/>
      <c r="B42" s="110" t="s">
        <v>26</v>
      </c>
      <c r="C42" s="111"/>
      <c r="D42" s="111"/>
      <c r="E42" s="111"/>
      <c r="F42" s="111"/>
      <c r="G42" s="112"/>
      <c r="J42" s="26" t="s">
        <v>8</v>
      </c>
      <c r="K42" s="27">
        <f>K26-K4</f>
        <v>124000</v>
      </c>
      <c r="L42" s="27">
        <f>L26-L4</f>
        <v>126480</v>
      </c>
      <c r="M42" s="27">
        <f>M26-M4</f>
        <v>129010</v>
      </c>
      <c r="N42" s="27">
        <f>N26-N4</f>
        <v>131589</v>
      </c>
      <c r="O42" s="27">
        <f>O26-O4</f>
        <v>134220</v>
      </c>
      <c r="P42" s="29">
        <f t="shared" ref="P42:P47" si="5">SUM(K42:O42)</f>
        <v>645299</v>
      </c>
    </row>
    <row r="43" spans="1:16" ht="16.5" thickBot="1" x14ac:dyDescent="0.3">
      <c r="A43" s="60"/>
      <c r="B43" s="55" t="s">
        <v>1</v>
      </c>
      <c r="C43" s="44" t="s">
        <v>2</v>
      </c>
      <c r="D43" s="44" t="s">
        <v>3</v>
      </c>
      <c r="E43" s="44" t="s">
        <v>4</v>
      </c>
      <c r="F43" s="44" t="s">
        <v>5</v>
      </c>
      <c r="G43" s="47" t="s">
        <v>6</v>
      </c>
      <c r="J43" s="26" t="s">
        <v>9</v>
      </c>
      <c r="K43" s="27">
        <f>K27-K5</f>
        <v>46128</v>
      </c>
      <c r="L43" s="27">
        <f>L27-L5</f>
        <v>47051</v>
      </c>
      <c r="M43" s="27">
        <f>M27-M5</f>
        <v>47992</v>
      </c>
      <c r="N43" s="27">
        <f>N27-N5</f>
        <v>48951</v>
      </c>
      <c r="O43" s="27">
        <f>O27-O5</f>
        <v>49930</v>
      </c>
      <c r="P43" s="29">
        <f t="shared" si="5"/>
        <v>240052</v>
      </c>
    </row>
    <row r="44" spans="1:16" ht="16.5" thickBot="1" x14ac:dyDescent="0.3">
      <c r="A44" s="61" t="s">
        <v>7</v>
      </c>
      <c r="B44" s="56"/>
      <c r="C44" s="45"/>
      <c r="D44" s="45"/>
      <c r="E44" s="45"/>
      <c r="F44" s="46"/>
      <c r="G44" s="48"/>
      <c r="J44" s="26" t="s">
        <v>10</v>
      </c>
      <c r="K44" s="27">
        <f>K28-K6</f>
        <v>3755</v>
      </c>
      <c r="L44" s="27">
        <f>L28-L6</f>
        <v>3755</v>
      </c>
      <c r="M44" s="27">
        <f>M28-M6</f>
        <v>3755</v>
      </c>
      <c r="N44" s="27">
        <f>N28-N6</f>
        <v>3755</v>
      </c>
      <c r="O44" s="27">
        <f>O28-O6</f>
        <v>3755</v>
      </c>
      <c r="P44" s="29">
        <f t="shared" si="5"/>
        <v>18775</v>
      </c>
    </row>
    <row r="45" spans="1:16" ht="16.5" thickBot="1" x14ac:dyDescent="0.3">
      <c r="A45" s="62" t="s">
        <v>8</v>
      </c>
      <c r="B45" s="57">
        <f t="shared" ref="B45:B54" si="6">B26+K42</f>
        <v>153871</v>
      </c>
      <c r="C45" s="34">
        <f t="shared" ref="C45:C54" si="7">C26+L42</f>
        <v>156351</v>
      </c>
      <c r="D45" s="34">
        <f t="shared" ref="D45:D54" si="8">D26+M42</f>
        <v>158881</v>
      </c>
      <c r="E45" s="34">
        <f t="shared" ref="E45:E54" si="9">E26+N42</f>
        <v>161460</v>
      </c>
      <c r="F45" s="41">
        <f t="shared" ref="F45:F54" si="10">F26+O42</f>
        <v>156085</v>
      </c>
      <c r="G45" s="49">
        <f t="shared" ref="G45:G51" si="11">SUM(B45:F45)</f>
        <v>786648</v>
      </c>
      <c r="J45" s="26" t="s">
        <v>11</v>
      </c>
      <c r="K45" s="27">
        <f>K29-K7</f>
        <v>157409</v>
      </c>
      <c r="L45" s="27">
        <f>L29-L7</f>
        <v>0</v>
      </c>
      <c r="M45" s="27">
        <f>M29-M7</f>
        <v>0</v>
      </c>
      <c r="N45" s="27">
        <f>N29-N7</f>
        <v>0</v>
      </c>
      <c r="O45" s="27">
        <f>O29-O7</f>
        <v>0</v>
      </c>
      <c r="P45" s="29">
        <f t="shared" si="5"/>
        <v>157409</v>
      </c>
    </row>
    <row r="46" spans="1:16" ht="16.5" thickBot="1" x14ac:dyDescent="0.3">
      <c r="A46" s="62" t="s">
        <v>9</v>
      </c>
      <c r="B46" s="57">
        <f t="shared" si="6"/>
        <v>55864</v>
      </c>
      <c r="C46" s="34">
        <f t="shared" si="7"/>
        <v>56787</v>
      </c>
      <c r="D46" s="34">
        <f t="shared" si="8"/>
        <v>57728</v>
      </c>
      <c r="E46" s="34">
        <f t="shared" si="9"/>
        <v>58687</v>
      </c>
      <c r="F46" s="41">
        <f t="shared" si="10"/>
        <v>58065</v>
      </c>
      <c r="G46" s="49">
        <f t="shared" si="11"/>
        <v>287131</v>
      </c>
      <c r="J46" s="26" t="s">
        <v>12</v>
      </c>
      <c r="K46" s="27">
        <f>K30-K8</f>
        <v>93638</v>
      </c>
      <c r="L46" s="27">
        <f>L30-L8</f>
        <v>5000</v>
      </c>
      <c r="M46" s="27">
        <f>M30-M8</f>
        <v>5000</v>
      </c>
      <c r="N46" s="27">
        <f>N30-N8</f>
        <v>5000</v>
      </c>
      <c r="O46" s="27">
        <f>O30-O8</f>
        <v>5000</v>
      </c>
      <c r="P46" s="29">
        <f t="shared" si="5"/>
        <v>113638</v>
      </c>
    </row>
    <row r="47" spans="1:16" ht="16.5" thickBot="1" x14ac:dyDescent="0.3">
      <c r="A47" s="62" t="s">
        <v>10</v>
      </c>
      <c r="B47" s="57">
        <f t="shared" si="6"/>
        <v>33755</v>
      </c>
      <c r="C47" s="34">
        <f t="shared" si="7"/>
        <v>33755</v>
      </c>
      <c r="D47" s="34">
        <f t="shared" si="8"/>
        <v>33755</v>
      </c>
      <c r="E47" s="34">
        <f t="shared" si="9"/>
        <v>33755</v>
      </c>
      <c r="F47" s="41">
        <f t="shared" si="10"/>
        <v>33755</v>
      </c>
      <c r="G47" s="49">
        <f t="shared" si="11"/>
        <v>168775</v>
      </c>
      <c r="J47" s="26" t="s">
        <v>13</v>
      </c>
      <c r="K47" s="27"/>
      <c r="L47" s="27"/>
      <c r="M47" s="27"/>
      <c r="N47" s="27"/>
      <c r="O47" s="27"/>
      <c r="P47" s="29">
        <f t="shared" si="5"/>
        <v>0</v>
      </c>
    </row>
    <row r="48" spans="1:16" ht="16.5" thickBot="1" x14ac:dyDescent="0.3">
      <c r="A48" s="62" t="s">
        <v>11</v>
      </c>
      <c r="B48" s="57">
        <f t="shared" si="6"/>
        <v>361329</v>
      </c>
      <c r="C48" s="34">
        <f t="shared" si="7"/>
        <v>166000</v>
      </c>
      <c r="D48" s="34">
        <f t="shared" si="8"/>
        <v>16000</v>
      </c>
      <c r="E48" s="34">
        <f t="shared" si="9"/>
        <v>16000</v>
      </c>
      <c r="F48" s="41">
        <f t="shared" si="10"/>
        <v>16000</v>
      </c>
      <c r="G48" s="49">
        <f t="shared" si="11"/>
        <v>575329</v>
      </c>
      <c r="J48" s="26" t="s">
        <v>18</v>
      </c>
      <c r="K48" s="27">
        <v>292431</v>
      </c>
      <c r="L48" s="27">
        <v>267995</v>
      </c>
      <c r="M48" s="27">
        <v>251474</v>
      </c>
      <c r="N48" s="27">
        <v>264617</v>
      </c>
      <c r="O48" s="27">
        <v>273483</v>
      </c>
      <c r="P48" s="29">
        <v>1350000</v>
      </c>
    </row>
    <row r="49" spans="1:16" ht="16.5" thickBot="1" x14ac:dyDescent="0.3">
      <c r="A49" s="62" t="s">
        <v>12</v>
      </c>
      <c r="B49" s="57">
        <f t="shared" si="6"/>
        <v>189647</v>
      </c>
      <c r="C49" s="34">
        <f t="shared" si="7"/>
        <v>27640</v>
      </c>
      <c r="D49" s="34">
        <f t="shared" si="8"/>
        <v>27641</v>
      </c>
      <c r="E49" s="34">
        <f t="shared" si="9"/>
        <v>27641</v>
      </c>
      <c r="F49" s="41">
        <f t="shared" si="10"/>
        <v>27641</v>
      </c>
      <c r="G49" s="49">
        <f t="shared" si="11"/>
        <v>300210</v>
      </c>
      <c r="J49" s="26" t="s">
        <v>14</v>
      </c>
      <c r="K49" s="27"/>
      <c r="L49" s="27"/>
      <c r="M49" s="27"/>
      <c r="N49" s="27"/>
      <c r="O49" s="27"/>
      <c r="P49" s="32" t="s">
        <v>24</v>
      </c>
    </row>
    <row r="50" spans="1:16" ht="16.5" thickBot="1" x14ac:dyDescent="0.3">
      <c r="A50" s="62" t="s">
        <v>13</v>
      </c>
      <c r="B50" s="57">
        <f t="shared" si="6"/>
        <v>37416</v>
      </c>
      <c r="C50" s="34">
        <f t="shared" si="7"/>
        <v>37416</v>
      </c>
      <c r="D50" s="34">
        <f t="shared" si="8"/>
        <v>37416</v>
      </c>
      <c r="E50" s="34">
        <f t="shared" si="9"/>
        <v>37416</v>
      </c>
      <c r="F50" s="41">
        <f t="shared" si="10"/>
        <v>37416</v>
      </c>
      <c r="G50" s="49">
        <f t="shared" si="11"/>
        <v>187080</v>
      </c>
      <c r="J50" s="26" t="s">
        <v>15</v>
      </c>
      <c r="K50" s="27"/>
      <c r="L50" s="27">
        <f>L34-L12</f>
        <v>44820</v>
      </c>
      <c r="M50" s="27">
        <f>M34-M12</f>
        <v>14820</v>
      </c>
      <c r="N50" s="27">
        <f>N34-N12</f>
        <v>29640</v>
      </c>
      <c r="O50" s="27">
        <f>O34-O12</f>
        <v>29640</v>
      </c>
      <c r="P50" s="29">
        <f>SUM(K50:O50)</f>
        <v>118920</v>
      </c>
    </row>
    <row r="51" spans="1:16" ht="16.5" thickBot="1" x14ac:dyDescent="0.3">
      <c r="A51" s="62" t="s">
        <v>18</v>
      </c>
      <c r="B51" s="57">
        <f t="shared" si="6"/>
        <v>392431</v>
      </c>
      <c r="C51" s="34">
        <f t="shared" si="7"/>
        <v>267995</v>
      </c>
      <c r="D51" s="34">
        <f t="shared" si="8"/>
        <v>251474</v>
      </c>
      <c r="E51" s="34">
        <f t="shared" si="9"/>
        <v>264617</v>
      </c>
      <c r="F51" s="41">
        <f t="shared" si="10"/>
        <v>273483</v>
      </c>
      <c r="G51" s="49">
        <f t="shared" si="11"/>
        <v>1450000</v>
      </c>
      <c r="J51" s="26" t="s">
        <v>16</v>
      </c>
      <c r="K51" s="27">
        <f>K35-K13</f>
        <v>24888</v>
      </c>
      <c r="L51" s="27">
        <f>L35-L13</f>
        <v>17729</v>
      </c>
      <c r="M51" s="27">
        <f>M35-M13</f>
        <v>18076</v>
      </c>
      <c r="N51" s="27">
        <f>N35-N13</f>
        <v>18430</v>
      </c>
      <c r="O51" s="27">
        <f>O35-O13</f>
        <v>18790</v>
      </c>
      <c r="P51" s="29">
        <f>SUM(K51:O51)</f>
        <v>97913</v>
      </c>
    </row>
    <row r="52" spans="1:16" ht="16.5" thickBot="1" x14ac:dyDescent="0.3">
      <c r="A52" s="62" t="s">
        <v>14</v>
      </c>
      <c r="B52" s="57">
        <f t="shared" si="6"/>
        <v>0</v>
      </c>
      <c r="C52" s="34">
        <f t="shared" si="7"/>
        <v>0</v>
      </c>
      <c r="D52" s="34">
        <f t="shared" si="8"/>
        <v>0</v>
      </c>
      <c r="E52" s="34">
        <f t="shared" si="9"/>
        <v>0</v>
      </c>
      <c r="F52" s="41">
        <f t="shared" si="10"/>
        <v>0</v>
      </c>
      <c r="G52" s="49"/>
      <c r="J52" s="26" t="s">
        <v>25</v>
      </c>
      <c r="K52" s="33">
        <f>SUM(K41:K51)</f>
        <v>742249</v>
      </c>
      <c r="L52" s="33">
        <f>SUM(L41:L51)</f>
        <v>512830</v>
      </c>
      <c r="M52" s="33">
        <f>SUM(M41:M51)</f>
        <v>470127</v>
      </c>
      <c r="N52" s="33">
        <f>SUM(N41:N51)</f>
        <v>501982</v>
      </c>
      <c r="O52" s="33">
        <f>SUM(O41:O51)</f>
        <v>514818</v>
      </c>
      <c r="P52" s="29">
        <f>SUM(K52:O52)</f>
        <v>2742006</v>
      </c>
    </row>
    <row r="53" spans="1:16" ht="15.75" x14ac:dyDescent="0.25">
      <c r="A53" s="62" t="s">
        <v>15</v>
      </c>
      <c r="B53" s="57">
        <f t="shared" si="6"/>
        <v>189380</v>
      </c>
      <c r="C53" s="34">
        <f t="shared" si="7"/>
        <v>263070</v>
      </c>
      <c r="D53" s="34">
        <f t="shared" si="8"/>
        <v>95047</v>
      </c>
      <c r="E53" s="34">
        <f t="shared" si="9"/>
        <v>171911</v>
      </c>
      <c r="F53" s="41">
        <f t="shared" si="10"/>
        <v>169512</v>
      </c>
      <c r="G53" s="49">
        <f>SUM(B53:F53)</f>
        <v>888920</v>
      </c>
    </row>
    <row r="54" spans="1:16" ht="16.5" thickBot="1" x14ac:dyDescent="0.3">
      <c r="A54" s="63" t="s">
        <v>16</v>
      </c>
      <c r="B54" s="58">
        <f t="shared" si="6"/>
        <v>24888</v>
      </c>
      <c r="C54" s="35">
        <f t="shared" si="7"/>
        <v>17729</v>
      </c>
      <c r="D54" s="35">
        <f t="shared" si="8"/>
        <v>18076</v>
      </c>
      <c r="E54" s="35">
        <f t="shared" si="9"/>
        <v>18430</v>
      </c>
      <c r="F54" s="42">
        <f t="shared" si="10"/>
        <v>18790</v>
      </c>
      <c r="G54" s="50"/>
    </row>
    <row r="55" spans="1:16" ht="16.5" thickBot="1" x14ac:dyDescent="0.3">
      <c r="A55" s="59" t="s">
        <v>27</v>
      </c>
      <c r="B55" s="51">
        <f>SUM(B44:B54)</f>
        <v>1438581</v>
      </c>
      <c r="C55" s="52">
        <f>SUM(C44:C54)</f>
        <v>1026743</v>
      </c>
      <c r="D55" s="52">
        <f>SUM(D44:D54)</f>
        <v>696018</v>
      </c>
      <c r="E55" s="52">
        <f>SUM(E44:E54)</f>
        <v>789917</v>
      </c>
      <c r="F55" s="53">
        <f>SUM(F44:F54)</f>
        <v>790747</v>
      </c>
      <c r="G55" s="54">
        <f>SUM(B55:F55)</f>
        <v>4742006</v>
      </c>
    </row>
  </sheetData>
  <mergeCells count="7">
    <mergeCell ref="K1:O1"/>
    <mergeCell ref="K23:P23"/>
    <mergeCell ref="K39:P39"/>
    <mergeCell ref="B23:G23"/>
    <mergeCell ref="B42:G42"/>
    <mergeCell ref="B1:G1"/>
    <mergeCell ref="H16:H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RASHAP, BRIAN</dc:creator>
  <cp:lastModifiedBy>RASHAP, BRIAN</cp:lastModifiedBy>
  <dcterms:created xsi:type="dcterms:W3CDTF">2025-01-08T15:33:50Z</dcterms:created>
  <dcterms:modified xsi:type="dcterms:W3CDTF">2025-01-17T21:58:53Z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bb7484-22c2-4b98-9fb8-3ab13d821527_Enabled">
    <vt:lpwstr>true</vt:lpwstr>
  </property>
  <property fmtid="{D5CDD505-2E9C-101B-9397-08002B2CF9AE}" pid="3" name="MSIP_Label_d8bb7484-22c2-4b98-9fb8-3ab13d821527_SetDate">
    <vt:lpwstr>2025-01-08T16:18:43Z</vt:lpwstr>
  </property>
  <property fmtid="{D5CDD505-2E9C-101B-9397-08002B2CF9AE}" pid="4" name="MSIP_Label_d8bb7484-22c2-4b98-9fb8-3ab13d821527_Method">
    <vt:lpwstr>Standard</vt:lpwstr>
  </property>
  <property fmtid="{D5CDD505-2E9C-101B-9397-08002B2CF9AE}" pid="5" name="MSIP_Label_d8bb7484-22c2-4b98-9fb8-3ab13d821527_Name">
    <vt:lpwstr>defa4170-0d19-0005-0004-bc88714345d2</vt:lpwstr>
  </property>
  <property fmtid="{D5CDD505-2E9C-101B-9397-08002B2CF9AE}" pid="6" name="MSIP_Label_d8bb7484-22c2-4b98-9fb8-3ab13d821527_SiteId">
    <vt:lpwstr>f50e076b-86a5-45f3-87b0-3f4d0ec5e94e</vt:lpwstr>
  </property>
  <property fmtid="{D5CDD505-2E9C-101B-9397-08002B2CF9AE}" pid="7" name="MSIP_Label_d8bb7484-22c2-4b98-9fb8-3ab13d821527_ActionId">
    <vt:lpwstr>55e589dc-81e5-403b-a1ea-07076d890da9</vt:lpwstr>
  </property>
  <property fmtid="{D5CDD505-2E9C-101B-9397-08002B2CF9AE}" pid="8" name="MSIP_Label_d8bb7484-22c2-4b98-9fb8-3ab13d821527_ContentBits">
    <vt:lpwstr>0</vt:lpwstr>
  </property>
</Properties>
</file>