
<file path=[Content_Types].xml><?xml version="1.0" encoding="utf-8"?>
<Types xmlns="http://schemas.openxmlformats.org/package/2006/content-types">
  <Override PartName="/xl/styles.xml" ContentType="application/vnd.openxmlformats-officedocument.spreadsheetml.styles+xml"/>
  <Override PartName="/xl/drawings/drawing12.xml" ContentType="application/vnd.openxmlformats-officedocument.drawing+xml"/>
  <Override PartName="/xl/chartsheets/sheet9.xml" ContentType="application/vnd.openxmlformats-officedocument.spreadsheetml.chartsheet+xml"/>
  <Override PartName="/xl/charts/chart11.xml" ContentType="application/vnd.openxmlformats-officedocument.drawingml.chart+xml"/>
  <Override PartName="/xl/charts/chart6.xml" ContentType="application/vnd.openxmlformats-officedocument.drawingml.chart+xml"/>
  <Override PartName="/xl/sharedStrings.xml" ContentType="application/vnd.openxmlformats-officedocument.spreadsheetml.sharedStrings+xml"/>
  <Override PartName="/xl/drawings/drawing7.xml" ContentType="application/vnd.openxmlformats-officedocument.drawing+xml"/>
  <Override PartName="/xl/chartsheets/sheet5.xml" ContentType="application/vnd.openxmlformats-officedocument.spreadsheetml.chartsheet+xml"/>
  <Default Extension="rels" ContentType="application/vnd.openxmlformats-package.relationships+xml"/>
  <Override PartName="/xl/drawings/drawing3.xml" ContentType="application/vnd.openxmlformats-officedocument.drawing+xml"/>
  <Override PartName="/xl/chartsheets/sheet19.xml" ContentType="application/vnd.openxmlformats-officedocument.spreadsheetml.chartsheet+xml"/>
  <Override PartName="/xl/chartsheets/sheet1.xml" ContentType="application/vnd.openxmlformats-officedocument.spreadsheetml.chartsheet+xml"/>
  <Override PartName="/xl/drawings/drawing20.xml" ContentType="application/vnd.openxmlformats-officedocument.drawing+xml"/>
  <Override PartName="/xl/comments4.xml" ContentType="application/vnd.openxmlformats-officedocument.spreadsheetml.comments+xml"/>
  <Override PartName="/xl/chartsheets/sheet15.xml" ContentType="application/vnd.openxmlformats-officedocument.spreadsheetml.chartsheet+xml"/>
  <Override PartName="/docProps/app.xml" ContentType="application/vnd.openxmlformats-officedocument.extended-properties+xml"/>
  <Override PartName="/xl/drawings/drawing17.xml" ContentType="application/vnd.openxmlformats-officedocument.drawing+xml"/>
  <Override PartName="/xl/worksheets/sheet5.xml" ContentType="application/vnd.openxmlformats-officedocument.spreadsheetml.worksheet+xml"/>
  <Override PartName="/xl/charts/chart16.xml" ContentType="application/vnd.openxmlformats-officedocument.drawingml.chart+xml"/>
  <Override PartName="/xl/chartsheets/sheet11.xml" ContentType="application/vnd.openxmlformats-officedocument.spreadsheetml.chartsheet+xml"/>
  <Override PartName="/xl/charts/chart2.xml" ContentType="application/vnd.openxmlformats-officedocument.drawingml.chart+xml"/>
  <Default Extension="xml" ContentType="application/xml"/>
  <Override PartName="/xl/drawings/drawing13.xml" ContentType="application/vnd.openxmlformats-officedocument.drawing+xml"/>
  <Override PartName="/xl/charts/chart12.xml" ContentType="application/vnd.openxmlformats-officedocument.drawingml.chart+xml"/>
  <Override PartName="/xl/charts/chart7.xml" ContentType="application/vnd.openxmlformats-officedocument.drawingml.chart+xml"/>
  <Override PartName="/xl/drawings/drawing8.xml" ContentType="application/vnd.openxmlformats-officedocument.drawing+xml"/>
  <Override PartName="/xl/chartsheets/sheet6.xml" ContentType="application/vnd.openxmlformats-officedocument.spreadsheetml.chartsheet+xml"/>
  <Override PartName="/xl/drawings/drawing4.xml" ContentType="application/vnd.openxmlformats-officedocument.drawing+xml"/>
  <Override PartName="/docProps/core.xml" ContentType="application/vnd.openxmlformats-package.core-properties+xml"/>
  <Override PartName="/xl/chartsheets/sheet2.xml" ContentType="application/vnd.openxmlformats-officedocument.spreadsheetml.chartsheet+xml"/>
  <Override PartName="/xl/worksheets/sheet1.xml" ContentType="application/vnd.openxmlformats-officedocument.spreadsheetml.worksheet+xml"/>
  <Override PartName="/xl/comments5.xml" ContentType="application/vnd.openxmlformats-officedocument.spreadsheetml.comments+xml"/>
  <Override PartName="/xl/charts/chart20.xml" ContentType="application/vnd.openxmlformats-officedocument.drawingml.chart+xml"/>
  <Override PartName="/xl/chartsheets/sheet16.xml" ContentType="application/vnd.openxmlformats-officedocument.spreadsheetml.chartsheet+xml"/>
  <Override PartName="/xl/workbook.xml" ContentType="application/vnd.openxmlformats-officedocument.spreadsheetml.sheet.main+xml"/>
  <Override PartName="/xl/drawings/drawing18.xml" ContentType="application/vnd.openxmlformats-officedocument.drawing+xml"/>
  <Override PartName="/xl/worksheets/sheet6.xml" ContentType="application/vnd.openxmlformats-officedocument.spreadsheetml.worksheet+xml"/>
  <Override PartName="/xl/comments1.xml" ContentType="application/vnd.openxmlformats-officedocument.spreadsheetml.comments+xml"/>
  <Override PartName="/xl/charts/chart17.xml" ContentType="application/vnd.openxmlformats-officedocument.drawingml.chart+xml"/>
  <Override PartName="/xl/chartsheets/sheet12.xml" ContentType="application/vnd.openxmlformats-officedocument.spreadsheetml.chartsheet+xml"/>
  <Override PartName="/xl/chartsheets/sheet20.xml" ContentType="application/vnd.openxmlformats-officedocument.spreadsheetml.chartsheet+xml"/>
  <Override PartName="/xl/charts/chart3.xml" ContentType="application/vnd.openxmlformats-officedocument.drawingml.chart+xml"/>
  <Override PartName="/xl/drawings/drawing14.xml" ContentType="application/vnd.openxmlformats-officedocument.drawing+xml"/>
  <Override PartName="/xl/charts/chart13.xml" ContentType="application/vnd.openxmlformats-officedocument.drawingml.chart+xml"/>
  <Override PartName="/xl/charts/chart8.xml" ContentType="application/vnd.openxmlformats-officedocument.drawingml.chart+xml"/>
  <Override PartName="/xl/theme/theme1.xml" ContentType="application/vnd.openxmlformats-officedocument.theme+xml"/>
  <Override PartName="/xl/drawings/drawing9.xml" ContentType="application/vnd.openxmlformats-officedocument.drawing+xml"/>
  <Override PartName="/xl/chartsheets/sheet7.xml" ContentType="application/vnd.openxmlformats-officedocument.spreadsheetml.chartsheet+xml"/>
  <Override PartName="/xl/drawings/drawing10.xml" ContentType="application/vnd.openxmlformats-officedocument.drawing+xml"/>
  <Override PartName="/xl/calcChain.xml" ContentType="application/vnd.openxmlformats-officedocument.spreadsheetml.calcChain+xml"/>
  <Override PartName="/xl/charts/chart4.xml" ContentType="application/vnd.openxmlformats-officedocument.drawingml.chart+xml"/>
  <Override PartName="/xl/drawings/drawing5.xml" ContentType="application/vnd.openxmlformats-officedocument.drawing+xml"/>
  <Override PartName="/xl/chartsheets/sheet3.xml" ContentType="application/vnd.openxmlformats-officedocument.spreadsheetml.chartsheet+xml"/>
  <Default Extension="vml" ContentType="application/vnd.openxmlformats-officedocument.vmlDrawing"/>
  <Override PartName="/xl/worksheets/sheet2.xml" ContentType="application/vnd.openxmlformats-officedocument.spreadsheetml.worksheet+xml"/>
  <Override PartName="/xl/comments6.xml" ContentType="application/vnd.openxmlformats-officedocument.spreadsheetml.comments+xml"/>
  <Override PartName="/xl/drawings/drawing1.xml" ContentType="application/vnd.openxmlformats-officedocument.drawing+xml"/>
  <Override PartName="/xl/chartsheets/sheet17.xml" ContentType="application/vnd.openxmlformats-officedocument.spreadsheetml.chartsheet+xml"/>
  <Override PartName="/xl/drawings/drawing19.xml" ContentType="application/vnd.openxmlformats-officedocument.drawing+xml"/>
  <Override PartName="/xl/worksheets/sheet7.xml" ContentType="application/vnd.openxmlformats-officedocument.spreadsheetml.worksheet+xml"/>
  <Override PartName="/xl/comments2.xml" ContentType="application/vnd.openxmlformats-officedocument.spreadsheetml.comments+xml"/>
  <Override PartName="/xl/charts/chart18.xml" ContentType="application/vnd.openxmlformats-officedocument.drawingml.chart+xml"/>
  <Override PartName="/xl/chartsheets/sheet13.xml" ContentType="application/vnd.openxmlformats-officedocument.spreadsheetml.chartsheet+xml"/>
  <Override PartName="/xl/drawings/drawing15.xml" ContentType="application/vnd.openxmlformats-officedocument.drawing+xml"/>
  <Override PartName="/xl/worksheets/sheet3.xml" ContentType="application/vnd.openxmlformats-officedocument.spreadsheetml.worksheet+xml"/>
  <Override PartName="/xl/charts/chart14.xml" ContentType="application/vnd.openxmlformats-officedocument.drawingml.chart+xml"/>
  <Override PartName="/xl/charts/chart9.xml" ContentType="application/vnd.openxmlformats-officedocument.drawingml.chart+xml"/>
  <Override PartName="/xl/drawings/drawing11.xml" ContentType="application/vnd.openxmlformats-officedocument.drawing+xml"/>
  <Override PartName="/xl/chartsheets/sheet8.xml" ContentType="application/vnd.openxmlformats-officedocument.spreadsheetml.chartsheet+xml"/>
  <Override PartName="/xl/charts/chart10.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chartsheets/sheet4.xml" ContentType="application/vnd.openxmlformats-officedocument.spreadsheetml.chartsheet+xml"/>
  <Override PartName="/xl/comments7.xml" ContentType="application/vnd.openxmlformats-officedocument.spreadsheetml.comments+xml"/>
  <Override PartName="/xl/drawings/drawing2.xml" ContentType="application/vnd.openxmlformats-officedocument.drawing+xml"/>
  <Override PartName="/xl/chartsheets/sheet18.xml" ContentType="application/vnd.openxmlformats-officedocument.spreadsheetml.chartsheet+xml"/>
  <Override PartName="/xl/comments3.xml" ContentType="application/vnd.openxmlformats-officedocument.spreadsheetml.comments+xml"/>
  <Override PartName="/xl/charts/chart19.xml" ContentType="application/vnd.openxmlformats-officedocument.drawingml.chart+xml"/>
  <Override PartName="/xl/chartsheets/sheet14.xml" ContentType="application/vnd.openxmlformats-officedocument.spreadsheetml.chartsheet+xml"/>
  <Override PartName="/xl/drawings/drawing16.xml" ContentType="application/vnd.openxmlformats-officedocument.drawing+xml"/>
  <Override PartName="/xl/worksheets/sheet4.xml" ContentType="application/vnd.openxmlformats-officedocument.spreadsheetml.worksheet+xml"/>
  <Override PartName="/xl/charts/chart15.xml" ContentType="application/vnd.openxmlformats-officedocument.drawingml.chart+xml"/>
  <Override PartName="/xl/chartsheets/sheet10.xml" ContentType="application/vnd.openxmlformats-officedocument.spreadsheetml.chartsheet+xml"/>
  <Override PartName="/xl/charts/chart1.xml" ContentType="application/vnd.openxmlformats-officedocument.drawingml.char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40" windowWidth="24800" windowHeight="15420" tabRatio="500" activeTab="4"/>
  </bookViews>
  <sheets>
    <sheet name="RHL pH" sheetId="34" r:id="rId1"/>
    <sheet name="RHL turbidity" sheetId="35" r:id="rId2"/>
    <sheet name="RHL temp" sheetId="36" r:id="rId3"/>
    <sheet name="RHL Salinity" sheetId="37" r:id="rId4"/>
    <sheet name="Honolua" sheetId="22" r:id="rId5"/>
    <sheet name="Mokule'ia" sheetId="1" r:id="rId6"/>
    <sheet name="RFN pH" sheetId="38" r:id="rId7"/>
    <sheet name="RFN Turbidity" sheetId="39" r:id="rId8"/>
    <sheet name="RFN Salinity" sheetId="40" r:id="rId9"/>
    <sheet name="Honokahua" sheetId="2" r:id="rId10"/>
    <sheet name="RON pH" sheetId="41" r:id="rId11"/>
    <sheet name="RON turbidity" sheetId="42" r:id="rId12"/>
    <sheet name="RON Temperature" sheetId="48" r:id="rId13"/>
    <sheet name="Oneloa" sheetId="3" r:id="rId14"/>
    <sheet name="RFS pH" sheetId="43" r:id="rId15"/>
    <sheet name="RFS Turbidity" sheetId="44" r:id="rId16"/>
    <sheet name="RFS salinity" sheetId="45" r:id="rId17"/>
    <sheet name="RFS Silicates and N" sheetId="46" r:id="rId18"/>
    <sheet name="RFS temp" sheetId="47" r:id="rId19"/>
    <sheet name="RFS Si NNN correlation" sheetId="50" r:id="rId20"/>
    <sheet name="Kapalua Bay" sheetId="4" r:id="rId21"/>
    <sheet name="RKO Turbidity" sheetId="49" r:id="rId22"/>
    <sheet name="RKO Si NNN Correl" sheetId="51" r:id="rId23"/>
    <sheet name="RKO NNN vs silicates" sheetId="52" r:id="rId24"/>
    <sheet name="RKO salinity" sheetId="53" r:id="rId25"/>
    <sheet name="Ka'opala Bay" sheetId="5" r:id="rId26"/>
    <sheet name="Kahana Village" sheetId="33" r:id="rId27"/>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J12" i="2"/>
  <c r="J11"/>
  <c r="J10"/>
  <c r="N31"/>
  <c r="N35"/>
  <c r="M31"/>
  <c r="M35"/>
  <c r="L31"/>
  <c r="L35"/>
  <c r="N33"/>
  <c r="M33"/>
  <c r="L33"/>
  <c r="N32"/>
  <c r="M32"/>
  <c r="L32"/>
  <c r="J9"/>
  <c r="J8"/>
  <c r="J7"/>
  <c r="J6"/>
  <c r="J5"/>
  <c r="D32"/>
  <c r="F33"/>
  <c r="G33"/>
  <c r="H33"/>
  <c r="E33"/>
  <c r="F32"/>
  <c r="G32"/>
  <c r="H32"/>
  <c r="J4"/>
  <c r="J3"/>
  <c r="J2"/>
  <c r="E32"/>
  <c r="I33"/>
  <c r="I32"/>
  <c r="J31"/>
  <c r="J35"/>
  <c r="J33"/>
  <c r="J32"/>
  <c r="P31"/>
  <c r="P35"/>
  <c r="O31"/>
  <c r="O35"/>
  <c r="K31"/>
  <c r="K35"/>
  <c r="O32"/>
  <c r="P32"/>
  <c r="O33"/>
  <c r="P33"/>
  <c r="K33"/>
  <c r="K32"/>
  <c r="J12" i="22"/>
  <c r="J11"/>
  <c r="J10"/>
  <c r="N27"/>
  <c r="N31"/>
  <c r="M27"/>
  <c r="M31"/>
  <c r="L27"/>
  <c r="L31"/>
  <c r="N29"/>
  <c r="M29"/>
  <c r="L29"/>
  <c r="N28"/>
  <c r="M28"/>
  <c r="L28"/>
  <c r="J9"/>
  <c r="P27"/>
  <c r="O27"/>
  <c r="K27"/>
  <c r="J8"/>
  <c r="J7"/>
  <c r="J6"/>
  <c r="J5"/>
  <c r="D28"/>
  <c r="F29"/>
  <c r="G29"/>
  <c r="H29"/>
  <c r="E29"/>
  <c r="F28"/>
  <c r="G28"/>
  <c r="H28"/>
  <c r="J4"/>
  <c r="J3"/>
  <c r="J2"/>
  <c r="P31"/>
  <c r="O31"/>
  <c r="K31"/>
  <c r="J27"/>
  <c r="J31"/>
  <c r="P29"/>
  <c r="O29"/>
  <c r="K29"/>
  <c r="J29"/>
  <c r="I29"/>
  <c r="P28"/>
  <c r="O28"/>
  <c r="K28"/>
  <c r="J28"/>
  <c r="I28"/>
  <c r="E28"/>
  <c r="J12" i="5"/>
  <c r="J11"/>
  <c r="J10"/>
  <c r="N31"/>
  <c r="N35"/>
  <c r="M31"/>
  <c r="M35"/>
  <c r="L31"/>
  <c r="L35"/>
  <c r="N33"/>
  <c r="M33"/>
  <c r="L33"/>
  <c r="N32"/>
  <c r="M32"/>
  <c r="L32"/>
  <c r="J9"/>
  <c r="J8"/>
  <c r="J7"/>
  <c r="J6"/>
  <c r="J5"/>
  <c r="D32"/>
  <c r="F33"/>
  <c r="G33"/>
  <c r="H33"/>
  <c r="E33"/>
  <c r="F32"/>
  <c r="G32"/>
  <c r="H32"/>
  <c r="J4"/>
  <c r="J3"/>
  <c r="J2"/>
  <c r="E32"/>
  <c r="I33"/>
  <c r="I32"/>
  <c r="J31"/>
  <c r="J35"/>
  <c r="J33"/>
  <c r="J32"/>
  <c r="P31"/>
  <c r="P35"/>
  <c r="O31"/>
  <c r="O35"/>
  <c r="K31"/>
  <c r="K35"/>
  <c r="O32"/>
  <c r="P32"/>
  <c r="O33"/>
  <c r="P33"/>
  <c r="K33"/>
  <c r="K32"/>
  <c r="J12" i="33"/>
  <c r="J11"/>
  <c r="J10"/>
  <c r="N32"/>
  <c r="N36"/>
  <c r="M32"/>
  <c r="M36"/>
  <c r="L32"/>
  <c r="L36"/>
  <c r="N34"/>
  <c r="M34"/>
  <c r="L34"/>
  <c r="N33"/>
  <c r="M33"/>
  <c r="L33"/>
  <c r="J9"/>
  <c r="J8"/>
  <c r="J7"/>
  <c r="J6"/>
  <c r="J5"/>
  <c r="D33"/>
  <c r="F34"/>
  <c r="G34"/>
  <c r="H34"/>
  <c r="E34"/>
  <c r="F33"/>
  <c r="G33"/>
  <c r="H33"/>
  <c r="J4"/>
  <c r="J3"/>
  <c r="P32"/>
  <c r="P36"/>
  <c r="O32"/>
  <c r="O36"/>
  <c r="K32"/>
  <c r="K36"/>
  <c r="J32"/>
  <c r="J36"/>
  <c r="P34"/>
  <c r="O34"/>
  <c r="K34"/>
  <c r="J34"/>
  <c r="I34"/>
  <c r="P33"/>
  <c r="O33"/>
  <c r="K33"/>
  <c r="J33"/>
  <c r="I33"/>
  <c r="E33"/>
  <c r="J12" i="4"/>
  <c r="J11"/>
  <c r="J10"/>
  <c r="N31"/>
  <c r="N35"/>
  <c r="M31"/>
  <c r="M35"/>
  <c r="L31"/>
  <c r="L35"/>
  <c r="N33"/>
  <c r="M33"/>
  <c r="L33"/>
  <c r="N32"/>
  <c r="M32"/>
  <c r="L32"/>
  <c r="J9"/>
  <c r="J8"/>
  <c r="J7"/>
  <c r="J6"/>
  <c r="J5"/>
  <c r="D32"/>
  <c r="F33"/>
  <c r="G33"/>
  <c r="H33"/>
  <c r="E33"/>
  <c r="F32"/>
  <c r="G32"/>
  <c r="H32"/>
  <c r="J4"/>
  <c r="J3"/>
  <c r="J2"/>
  <c r="E32"/>
  <c r="I33"/>
  <c r="I32"/>
  <c r="J31"/>
  <c r="J35"/>
  <c r="J33"/>
  <c r="J32"/>
  <c r="P31"/>
  <c r="P35"/>
  <c r="O31"/>
  <c r="O35"/>
  <c r="K31"/>
  <c r="K35"/>
  <c r="O32"/>
  <c r="P32"/>
  <c r="O33"/>
  <c r="P33"/>
  <c r="K33"/>
  <c r="K32"/>
  <c r="N31" i="1"/>
  <c r="N35"/>
  <c r="M31"/>
  <c r="M35"/>
  <c r="L31"/>
  <c r="L35"/>
  <c r="N33"/>
  <c r="M33"/>
  <c r="L33"/>
  <c r="N32"/>
  <c r="M32"/>
  <c r="L32"/>
  <c r="J2"/>
  <c r="O31"/>
  <c r="P31"/>
  <c r="K31"/>
  <c r="J31"/>
  <c r="E32"/>
  <c r="I33"/>
  <c r="I32"/>
  <c r="J35"/>
  <c r="J33"/>
  <c r="J32"/>
  <c r="P35"/>
  <c r="O35"/>
  <c r="K35"/>
  <c r="O32"/>
  <c r="P32"/>
  <c r="O33"/>
  <c r="P33"/>
  <c r="K33"/>
  <c r="K32"/>
  <c r="J12" i="3"/>
  <c r="J11"/>
  <c r="J10"/>
  <c r="N31"/>
  <c r="N35"/>
  <c r="M31"/>
  <c r="M35"/>
  <c r="L31"/>
  <c r="L35"/>
  <c r="N33"/>
  <c r="M33"/>
  <c r="L33"/>
  <c r="N32"/>
  <c r="M32"/>
  <c r="L32"/>
  <c r="J9"/>
  <c r="J8"/>
  <c r="J7"/>
  <c r="J6"/>
  <c r="J5"/>
  <c r="D32"/>
  <c r="F33"/>
  <c r="G33"/>
  <c r="H33"/>
  <c r="E33"/>
  <c r="F32"/>
  <c r="G32"/>
  <c r="H32"/>
  <c r="J4"/>
  <c r="J3"/>
  <c r="J2"/>
  <c r="E32"/>
  <c r="I33"/>
  <c r="I32"/>
  <c r="J31"/>
  <c r="J35"/>
  <c r="J33"/>
  <c r="J32"/>
  <c r="P31"/>
  <c r="P35"/>
  <c r="O31"/>
  <c r="O35"/>
  <c r="K31"/>
  <c r="K35"/>
  <c r="O32"/>
  <c r="P32"/>
  <c r="O33"/>
  <c r="P33"/>
  <c r="K33"/>
  <c r="K32"/>
</calcChain>
</file>

<file path=xl/comments1.xml><?xml version="1.0" encoding="utf-8"?>
<comments xmlns="http://schemas.openxmlformats.org/spreadsheetml/2006/main">
  <authors>
    <author>Dana Reed</author>
  </authors>
  <commentList>
    <comment ref="A2" authorId="0">
      <text>
        <r>
          <rPr>
            <b/>
            <sz val="9"/>
            <color indexed="81"/>
            <rFont val="Verdana"/>
          </rPr>
          <t>Dana Reed:</t>
        </r>
        <r>
          <rPr>
            <sz val="9"/>
            <color indexed="81"/>
            <rFont val="Verdana"/>
          </rPr>
          <t xml:space="preserve">
Waves: 0
Wind: 0
People: 0 ssk, 4 on beach, 0 campers</t>
        </r>
      </text>
    </comment>
    <comment ref="A3" authorId="0">
      <text>
        <r>
          <rPr>
            <b/>
            <sz val="9"/>
            <color indexed="81"/>
            <rFont val="Verdana"/>
          </rPr>
          <t>Dana Reed:</t>
        </r>
        <r>
          <rPr>
            <sz val="9"/>
            <color indexed="81"/>
            <rFont val="Verdana"/>
          </rPr>
          <t xml:space="preserve">
Waves: 0
Wind: 1
People: ssk 2, ob 17, campers 0
Two boats tied up at Honolua Bay.</t>
        </r>
      </text>
    </comment>
    <comment ref="A4" authorId="0">
      <text>
        <r>
          <rPr>
            <b/>
            <sz val="9"/>
            <color indexed="81"/>
            <rFont val="Verdana"/>
          </rPr>
          <t>Dana Reed:</t>
        </r>
        <r>
          <rPr>
            <sz val="9"/>
            <color indexed="81"/>
            <rFont val="Verdana"/>
          </rPr>
          <t xml:space="preserve">
Waves: 0
Wind: 1
People: ssk 0, ob 1, campers 0
No stream flow
A large contingent of people arrived as we were leaving (around 20). Parking area was full when we arrived so we parked near food truck and got reprimanded.</t>
        </r>
      </text>
    </comment>
    <comment ref="A5" authorId="0">
      <text>
        <r>
          <rPr>
            <b/>
            <sz val="9"/>
            <color indexed="81"/>
            <rFont val="Verdana"/>
          </rPr>
          <t>Dana Reed:</t>
        </r>
        <r>
          <rPr>
            <sz val="9"/>
            <color indexed="81"/>
            <rFont val="Verdana"/>
          </rPr>
          <t xml:space="preserve">
Waves: 1
Wind: 1
People: ssk 7, beach 0, camp 0</t>
        </r>
      </text>
    </comment>
    <comment ref="A6" authorId="0">
      <text>
        <r>
          <rPr>
            <b/>
            <sz val="9"/>
            <color indexed="81"/>
            <rFont val="Verdana"/>
          </rPr>
          <t>Dana Reed:</t>
        </r>
        <r>
          <rPr>
            <sz val="9"/>
            <color indexed="81"/>
            <rFont val="Verdana"/>
          </rPr>
          <t xml:space="preserve">
Waves: 0
Wind: 0
People: 4 in water, 5 on beach, no campers. Honolua stream was not flowing. Turbidity sample had suspended wood like particles as well as sediment.</t>
        </r>
      </text>
    </comment>
    <comment ref="A7" authorId="0">
      <text>
        <r>
          <rPr>
            <b/>
            <sz val="9"/>
            <color indexed="81"/>
            <rFont val="Verdana"/>
          </rPr>
          <t>Dana Reed:</t>
        </r>
        <r>
          <rPr>
            <sz val="9"/>
            <color indexed="81"/>
            <rFont val="Verdana"/>
          </rPr>
          <t xml:space="preserve">
Waves: 0
Wind: 1
People: 0,6,0
No waves at the collection site but reefs breaking half way to Lipoa point. No stream flow.</t>
        </r>
      </text>
    </comment>
    <comment ref="A8" authorId="0">
      <text>
        <r>
          <rPr>
            <b/>
            <sz val="9"/>
            <color indexed="81"/>
            <rFont val="Verdana"/>
          </rPr>
          <t>Dana Reed:</t>
        </r>
        <r>
          <rPr>
            <sz val="9"/>
            <color indexed="81"/>
            <rFont val="Verdana"/>
          </rPr>
          <t xml:space="preserve">
Waves: 1
Wind: 1
People: 0,0,0
Stream is flowing. Lots of wood debris coming down. Lots of plant debris which settled out quickly. In lab, took another sample from sediment bottle and initial measure 107 NTU, ten minutes later 9.37 NTU. 90 seconds later 8.75 NTU with no mixing once the initial measurement was taken.</t>
        </r>
      </text>
    </comment>
    <comment ref="A9" authorId="0">
      <text>
        <r>
          <rPr>
            <b/>
            <sz val="9"/>
            <color indexed="81"/>
            <rFont val="Verdana"/>
          </rPr>
          <t>Dana Reed:</t>
        </r>
        <r>
          <rPr>
            <sz val="9"/>
            <color indexed="81"/>
            <rFont val="Verdana"/>
          </rPr>
          <t xml:space="preserve">
Waves: 0
Wind: 0
People: 1,1,0
Sampling during heavy rain at RHL. Stream flowing, double rainbow. RHL has bark, leaves, other particulate matter with relatively clear water which may be affecting turbidity measurement.
</t>
        </r>
      </text>
    </comment>
    <comment ref="A10" authorId="0">
      <text>
        <r>
          <rPr>
            <b/>
            <sz val="9"/>
            <color indexed="81"/>
            <rFont val="Verdana"/>
          </rPr>
          <t>Dana Reed:</t>
        </r>
        <r>
          <rPr>
            <sz val="9"/>
            <color indexed="81"/>
            <rFont val="Verdana"/>
          </rPr>
          <t xml:space="preserve">
Waves: 1
Wind: 0
People: 0,0,0,
Stream flowing, outside surf breaking, chilly.  Very high tide at all sites. Whatman filters very slow.
</t>
        </r>
      </text>
    </comment>
    <comment ref="A11" authorId="0">
      <text>
        <r>
          <rPr>
            <b/>
            <sz val="9"/>
            <color indexed="81"/>
            <rFont val="Verdana"/>
          </rPr>
          <t>Dana Reed:</t>
        </r>
        <r>
          <rPr>
            <sz val="9"/>
            <color indexed="81"/>
            <rFont val="Verdana"/>
          </rPr>
          <t xml:space="preserve">
Waves: 1
Wind: 1
People: 0,2,0
Moderate stream flow, lots of mud, lots of organic matter from stream in our samples. Organic decay smell.</t>
        </r>
      </text>
    </comment>
    <comment ref="A12" authorId="0">
      <text>
        <r>
          <rPr>
            <b/>
            <sz val="9"/>
            <color indexed="81"/>
            <rFont val="Verdana"/>
          </rPr>
          <t>Dana Reed:</t>
        </r>
        <r>
          <rPr>
            <sz val="9"/>
            <color indexed="81"/>
            <rFont val="Verdana"/>
          </rPr>
          <t xml:space="preserve">
Waves: 1+
Wind: 0
People: 0,0,0
Sediment sample taken. High surf outside of the reef.  Stream was flowing.</t>
        </r>
      </text>
    </comment>
  </commentList>
</comments>
</file>

<file path=xl/comments2.xml><?xml version="1.0" encoding="utf-8"?>
<comments xmlns="http://schemas.openxmlformats.org/spreadsheetml/2006/main">
  <authors>
    <author>Dana Reed</author>
  </authors>
  <commentList>
    <comment ref="A2" authorId="0">
      <text>
        <r>
          <rPr>
            <b/>
            <sz val="9"/>
            <color indexed="81"/>
            <rFont val="Verdana"/>
          </rPr>
          <t>Dana Reed:</t>
        </r>
        <r>
          <rPr>
            <sz val="9"/>
            <color indexed="81"/>
            <rFont val="Verdana"/>
          </rPr>
          <t xml:space="preserve">
Waves: 2 ft
Wind: 0
People: 5 ssk, 5 on beach, 0 campers</t>
        </r>
      </text>
    </comment>
  </commentList>
</comments>
</file>

<file path=xl/comments3.xml><?xml version="1.0" encoding="utf-8"?>
<comments xmlns="http://schemas.openxmlformats.org/spreadsheetml/2006/main">
  <authors>
    <author>Dana Reed</author>
  </authors>
  <commentList>
    <comment ref="A2" authorId="0">
      <text>
        <r>
          <rPr>
            <b/>
            <sz val="9"/>
            <color indexed="81"/>
            <rFont val="Verdana"/>
          </rPr>
          <t>Dana Reed:</t>
        </r>
        <r>
          <rPr>
            <sz val="9"/>
            <color indexed="81"/>
            <rFont val="Verdana"/>
          </rPr>
          <t xml:space="preserve">
Waves: 1 ft
Wind: 1
People: 4 ssk, 9 on beach, 0 campers</t>
        </r>
      </text>
    </comment>
    <comment ref="A3" authorId="0">
      <text>
        <r>
          <rPr>
            <b/>
            <sz val="9"/>
            <color indexed="81"/>
            <rFont val="Verdana"/>
          </rPr>
          <t>Dana Reed:</t>
        </r>
        <r>
          <rPr>
            <sz val="9"/>
            <color indexed="81"/>
            <rFont val="Verdana"/>
          </rPr>
          <t xml:space="preserve">
Waves: 1.5
Wnid: 2 (8-12 mph)
People: ssk 0, ob 23, campers 0
</t>
        </r>
      </text>
    </comment>
    <comment ref="A4" authorId="0">
      <text>
        <r>
          <rPr>
            <b/>
            <sz val="9"/>
            <color indexed="81"/>
            <rFont val="Verdana"/>
          </rPr>
          <t>Dana Reed:</t>
        </r>
        <r>
          <rPr>
            <sz val="9"/>
            <color indexed="81"/>
            <rFont val="Verdana"/>
          </rPr>
          <t xml:space="preserve">
Waves: 1 ft
Wind: 2
People: ssk 0, ob 5, campers 0</t>
        </r>
      </text>
    </comment>
    <comment ref="A5" authorId="0">
      <text>
        <r>
          <rPr>
            <b/>
            <sz val="9"/>
            <color indexed="81"/>
            <rFont val="Verdana"/>
          </rPr>
          <t>Dana Reed:</t>
        </r>
        <r>
          <rPr>
            <sz val="9"/>
            <color indexed="81"/>
            <rFont val="Verdana"/>
          </rPr>
          <t xml:space="preserve">
Waves: 3
Wind: 4
People: ssk 0, beach 0, camp 0</t>
        </r>
      </text>
    </comment>
    <comment ref="A6" authorId="0">
      <text>
        <r>
          <rPr>
            <b/>
            <sz val="9"/>
            <color indexed="81"/>
            <rFont val="Verdana"/>
          </rPr>
          <t>Dana Reed:</t>
        </r>
        <r>
          <rPr>
            <sz val="9"/>
            <color indexed="81"/>
            <rFont val="Verdana"/>
          </rPr>
          <t xml:space="preserve">
Waves: 2
Wind: 2
People: Nobody in water, 10 people on the beach, 0 campers. Paddlers were readying canoes for the Pailolo Challenge the next day.</t>
        </r>
      </text>
    </comment>
    <comment ref="A7" authorId="0">
      <text>
        <r>
          <rPr>
            <b/>
            <sz val="9"/>
            <color indexed="81"/>
            <rFont val="Verdana"/>
          </rPr>
          <t>Dana Reed:</t>
        </r>
        <r>
          <rPr>
            <sz val="9"/>
            <color indexed="81"/>
            <rFont val="Verdana"/>
          </rPr>
          <t xml:space="preserve">
Waves: 3
Wind: 1
People: 6,5,0
Tamara took samples because volunteers were reluctant to get in with high surf.</t>
        </r>
      </text>
    </comment>
    <comment ref="A8" authorId="0">
      <text>
        <r>
          <rPr>
            <b/>
            <sz val="9"/>
            <color indexed="81"/>
            <rFont val="Verdana"/>
          </rPr>
          <t>Dana Reed:</t>
        </r>
        <r>
          <rPr>
            <sz val="9"/>
            <color indexed="81"/>
            <rFont val="Verdana"/>
          </rPr>
          <t xml:space="preserve">
Waves: 3
Wind: 1
People: 11,40,0
No flow from streams but some mixing from stagnant pond by stream mouth entrance.  Rain fell from Monday night through Wednesday in this area.</t>
        </r>
      </text>
    </comment>
    <comment ref="A9" authorId="0">
      <text>
        <r>
          <rPr>
            <b/>
            <sz val="9"/>
            <color indexed="81"/>
            <rFont val="Verdana"/>
          </rPr>
          <t>Dana Reed:</t>
        </r>
        <r>
          <rPr>
            <sz val="9"/>
            <color indexed="81"/>
            <rFont val="Verdana"/>
          </rPr>
          <t xml:space="preserve">
Waves: 4
Wind: 0
People: 4,3,0
RFN - small flow from stream into ocean.</t>
        </r>
      </text>
    </comment>
    <comment ref="A10" authorId="0">
      <text>
        <r>
          <rPr>
            <b/>
            <sz val="9"/>
            <color indexed="81"/>
            <rFont val="Verdana"/>
          </rPr>
          <t>Dana Reed:</t>
        </r>
        <r>
          <rPr>
            <sz val="9"/>
            <color indexed="81"/>
            <rFont val="Verdana"/>
          </rPr>
          <t xml:space="preserve">
Waves: 3
Wind: 0
People: 2,5,0
Stream not flowing.</t>
        </r>
      </text>
    </comment>
    <comment ref="A11" authorId="0">
      <text>
        <r>
          <rPr>
            <b/>
            <sz val="9"/>
            <color indexed="81"/>
            <rFont val="Verdana"/>
          </rPr>
          <t>Dana Reed:</t>
        </r>
        <r>
          <rPr>
            <sz val="9"/>
            <color indexed="81"/>
            <rFont val="Verdana"/>
          </rPr>
          <t xml:space="preserve">
Waves: 3
Wind: 4
People: 0,0,0
Both streams flowing lightly.  BIG waves and strong NE wind.</t>
        </r>
      </text>
    </comment>
    <comment ref="A12" authorId="0">
      <text>
        <r>
          <rPr>
            <b/>
            <sz val="9"/>
            <color indexed="81"/>
            <rFont val="Verdana"/>
          </rPr>
          <t>Dana Reed:</t>
        </r>
        <r>
          <rPr>
            <sz val="9"/>
            <color indexed="81"/>
            <rFont val="Verdana"/>
          </rPr>
          <t xml:space="preserve">
Waves: 3+
Wind: 0
People: 0,0,0
</t>
        </r>
      </text>
    </comment>
  </commentList>
</comments>
</file>

<file path=xl/comments4.xml><?xml version="1.0" encoding="utf-8"?>
<comments xmlns="http://schemas.openxmlformats.org/spreadsheetml/2006/main">
  <authors>
    <author>Dana Reed</author>
  </authors>
  <commentList>
    <comment ref="A2" authorId="0">
      <text>
        <r>
          <rPr>
            <b/>
            <sz val="9"/>
            <color indexed="81"/>
            <rFont val="Verdana"/>
          </rPr>
          <t>Dana Reed:</t>
        </r>
        <r>
          <rPr>
            <sz val="9"/>
            <color indexed="81"/>
            <rFont val="Verdana"/>
          </rPr>
          <t xml:space="preserve">
Waves: 0
Wind: 1
People: 2 ssk, 10-20 on beach, 0 campers</t>
        </r>
      </text>
    </comment>
    <comment ref="A3" authorId="0">
      <text>
        <r>
          <rPr>
            <b/>
            <sz val="9"/>
            <color indexed="81"/>
            <rFont val="Verdana"/>
          </rPr>
          <t>Dana Reed:</t>
        </r>
        <r>
          <rPr>
            <sz val="9"/>
            <color indexed="81"/>
            <rFont val="Verdana"/>
          </rPr>
          <t xml:space="preserve">
Waves: 0.5
Wind: 2
People: ssk 0, ob 9, campers 0</t>
        </r>
      </text>
    </comment>
    <comment ref="A4" authorId="0">
      <text>
        <r>
          <rPr>
            <b/>
            <sz val="9"/>
            <color indexed="81"/>
            <rFont val="Verdana"/>
          </rPr>
          <t>Dana Reed:</t>
        </r>
        <r>
          <rPr>
            <sz val="9"/>
            <color indexed="81"/>
            <rFont val="Verdana"/>
          </rPr>
          <t xml:space="preserve">
Waves: 0.5
Wind: 1
People: ssk 1, ob 0, camping 0</t>
        </r>
      </text>
    </comment>
    <comment ref="A5" authorId="0">
      <text>
        <r>
          <rPr>
            <b/>
            <sz val="9"/>
            <color indexed="81"/>
            <rFont val="Verdana"/>
          </rPr>
          <t>Dana Reed:</t>
        </r>
        <r>
          <rPr>
            <sz val="9"/>
            <color indexed="81"/>
            <rFont val="Verdana"/>
          </rPr>
          <t xml:space="preserve">
Waves: 3
Wind: 4
People: ssk 4, beach 2, camp 0</t>
        </r>
      </text>
    </comment>
    <comment ref="A6" authorId="0">
      <text>
        <r>
          <rPr>
            <b/>
            <sz val="9"/>
            <color indexed="81"/>
            <rFont val="Verdana"/>
          </rPr>
          <t>Dana Reed:</t>
        </r>
        <r>
          <rPr>
            <sz val="9"/>
            <color indexed="81"/>
            <rFont val="Verdana"/>
          </rPr>
          <t xml:space="preserve">
Waves: 1
Wind: 2
People: 5 in water, 15 on beach, no campers. One person on the beach had two dogs.</t>
        </r>
      </text>
    </comment>
    <comment ref="A7" authorId="0">
      <text>
        <r>
          <rPr>
            <b/>
            <sz val="9"/>
            <color indexed="81"/>
            <rFont val="Verdana"/>
          </rPr>
          <t>Dana Reed:</t>
        </r>
        <r>
          <rPr>
            <sz val="9"/>
            <color indexed="81"/>
            <rFont val="Verdana"/>
          </rPr>
          <t xml:space="preserve">
Waves: 3
Wind: 4
People: 1,9,0
</t>
        </r>
      </text>
    </comment>
    <comment ref="A8" authorId="0">
      <text>
        <r>
          <rPr>
            <b/>
            <sz val="9"/>
            <color indexed="81"/>
            <rFont val="Verdana"/>
          </rPr>
          <t>Dana Reed:</t>
        </r>
        <r>
          <rPr>
            <sz val="9"/>
            <color indexed="81"/>
            <rFont val="Verdana"/>
          </rPr>
          <t xml:space="preserve">
Waves: 3
Wind: 1
People: 2,15,0
Lots of wood debris on beach. </t>
        </r>
      </text>
    </comment>
    <comment ref="A9" authorId="0">
      <text>
        <r>
          <rPr>
            <b/>
            <sz val="9"/>
            <color indexed="81"/>
            <rFont val="Verdana"/>
          </rPr>
          <t>Dana Reed:</t>
        </r>
        <r>
          <rPr>
            <sz val="9"/>
            <color indexed="81"/>
            <rFont val="Verdana"/>
          </rPr>
          <t xml:space="preserve">
Waves: 3
Wind: 2
People: 1,0,0
</t>
        </r>
      </text>
    </comment>
    <comment ref="A10" authorId="0">
      <text>
        <r>
          <rPr>
            <b/>
            <sz val="9"/>
            <color indexed="81"/>
            <rFont val="Verdana"/>
          </rPr>
          <t>Dana Reed:</t>
        </r>
        <r>
          <rPr>
            <sz val="9"/>
            <color indexed="81"/>
            <rFont val="Verdana"/>
          </rPr>
          <t xml:space="preserve">
Waves: 3
Wind: 1
People: 3,6,0
</t>
        </r>
      </text>
    </comment>
    <comment ref="A11" authorId="0">
      <text>
        <r>
          <rPr>
            <b/>
            <sz val="9"/>
            <color indexed="81"/>
            <rFont val="Verdana"/>
          </rPr>
          <t>Dana Reed:</t>
        </r>
        <r>
          <rPr>
            <sz val="9"/>
            <color indexed="81"/>
            <rFont val="Verdana"/>
          </rPr>
          <t xml:space="preserve">
Waves: 2
Wind: 3
People: 0,0,0
Dirtiest water ever seen in this bay.  Lots of detritis floating in water. Debris from Honokahua entering bay on the swell.
</t>
        </r>
      </text>
    </comment>
    <comment ref="A12" authorId="0">
      <text>
        <r>
          <rPr>
            <b/>
            <sz val="9"/>
            <color indexed="81"/>
            <rFont val="Verdana"/>
          </rPr>
          <t>Dana Reed:</t>
        </r>
        <r>
          <rPr>
            <sz val="9"/>
            <color indexed="81"/>
            <rFont val="Verdana"/>
          </rPr>
          <t xml:space="preserve">
Waves: 3+
Wind: 1
People: 0,4,0
</t>
        </r>
      </text>
    </comment>
  </commentList>
</comments>
</file>

<file path=xl/comments5.xml><?xml version="1.0" encoding="utf-8"?>
<comments xmlns="http://schemas.openxmlformats.org/spreadsheetml/2006/main">
  <authors>
    <author>Dana Reed</author>
  </authors>
  <commentList>
    <comment ref="A2" authorId="0">
      <text>
        <r>
          <rPr>
            <b/>
            <sz val="9"/>
            <color indexed="81"/>
            <rFont val="Verdana"/>
          </rPr>
          <t>Dana Reed:</t>
        </r>
        <r>
          <rPr>
            <sz val="9"/>
            <color indexed="81"/>
            <rFont val="Verdana"/>
          </rPr>
          <t xml:space="preserve">
Waves: 0
Wind: 1
People: &gt;50 ssk, &gt;50 on beach, 0 campers
County employees working on the lift station.  They said they were just checking on the sound levels of the backup generator.
</t>
        </r>
      </text>
    </comment>
    <comment ref="A3" authorId="0">
      <text>
        <r>
          <rPr>
            <b/>
            <sz val="9"/>
            <color indexed="81"/>
            <rFont val="Verdana"/>
          </rPr>
          <t>Dana Reed:</t>
        </r>
        <r>
          <rPr>
            <sz val="9"/>
            <color indexed="81"/>
            <rFont val="Verdana"/>
          </rPr>
          <t xml:space="preserve">
Waves: 0
Wind: 1 (2-5 mph)
People: ssk 60, ob 60+, campers 0
The nutrient bottle was used to collect sea water instead of the syringe.  The team dumped the water from the bottle, filled the syringe and then did the procedure the correct way by filtering into the bottle through the syringe filter.</t>
        </r>
      </text>
    </comment>
    <comment ref="K3" authorId="0">
      <text>
        <r>
          <rPr>
            <b/>
            <sz val="9"/>
            <color indexed="81"/>
            <rFont val="Verdana"/>
          </rPr>
          <t>Dana Reed:</t>
        </r>
        <r>
          <rPr>
            <sz val="9"/>
            <color indexed="81"/>
            <rFont val="Verdana"/>
          </rPr>
          <t xml:space="preserve">
Nutrient bottle was accidently submerged instead of the syringe.  Team went ahead and collected the sample with syringe and then filtered into the bottle after emptying the bottle as much as possible.
</t>
        </r>
      </text>
    </comment>
    <comment ref="A4" authorId="0">
      <text>
        <r>
          <rPr>
            <b/>
            <sz val="9"/>
            <color indexed="81"/>
            <rFont val="Verdana"/>
          </rPr>
          <t>Dana Reed:</t>
        </r>
        <r>
          <rPr>
            <sz val="9"/>
            <color indexed="81"/>
            <rFont val="Verdana"/>
          </rPr>
          <t xml:space="preserve">
Waves: 0
Wind: 1
People: ssk 40+, ob 27, camping 0</t>
        </r>
      </text>
    </comment>
    <comment ref="A5" authorId="0">
      <text>
        <r>
          <rPr>
            <b/>
            <sz val="9"/>
            <color indexed="81"/>
            <rFont val="Verdana"/>
          </rPr>
          <t>Dana Reed:</t>
        </r>
        <r>
          <rPr>
            <sz val="9"/>
            <color indexed="81"/>
            <rFont val="Verdana"/>
          </rPr>
          <t xml:space="preserve">
Waves: 1
Wind: 1
People: ssk 50+, beach 35, camp 0</t>
        </r>
      </text>
    </comment>
    <comment ref="A6" authorId="0">
      <text>
        <r>
          <rPr>
            <b/>
            <sz val="9"/>
            <color indexed="81"/>
            <rFont val="Verdana"/>
          </rPr>
          <t>Dana Reed:</t>
        </r>
        <r>
          <rPr>
            <sz val="9"/>
            <color indexed="81"/>
            <rFont val="Verdana"/>
          </rPr>
          <t xml:space="preserve">
Waves: 0.5
Wind: 1
People: ~40 in water, ~40 on beach.</t>
        </r>
      </text>
    </comment>
    <comment ref="A7" authorId="0">
      <text>
        <r>
          <rPr>
            <b/>
            <sz val="9"/>
            <color indexed="81"/>
            <rFont val="Verdana"/>
          </rPr>
          <t>Dana Reed:</t>
        </r>
        <r>
          <rPr>
            <sz val="9"/>
            <color indexed="81"/>
            <rFont val="Verdana"/>
          </rPr>
          <t xml:space="preserve">
Waves: 0
Wind: 2
People: 18,35,0
</t>
        </r>
      </text>
    </comment>
    <comment ref="A8" authorId="0">
      <text>
        <r>
          <rPr>
            <b/>
            <sz val="9"/>
            <color indexed="81"/>
            <rFont val="Verdana"/>
          </rPr>
          <t>Dana Reed:</t>
        </r>
        <r>
          <rPr>
            <sz val="9"/>
            <color indexed="81"/>
            <rFont val="Verdana"/>
          </rPr>
          <t xml:space="preserve">
Waves: 1
Wind: 1
People: 33,60,0
</t>
        </r>
      </text>
    </comment>
    <comment ref="A9" authorId="0">
      <text>
        <r>
          <rPr>
            <b/>
            <sz val="9"/>
            <color indexed="81"/>
            <rFont val="Verdana"/>
          </rPr>
          <t>Dana Reed:</t>
        </r>
        <r>
          <rPr>
            <sz val="9"/>
            <color indexed="81"/>
            <rFont val="Verdana"/>
          </rPr>
          <t xml:space="preserve">
Waves: 1
Wind: 1
People: 40,62,0
</t>
        </r>
      </text>
    </comment>
    <comment ref="A10" authorId="0">
      <text>
        <r>
          <rPr>
            <b/>
            <sz val="9"/>
            <color indexed="81"/>
            <rFont val="Verdana"/>
          </rPr>
          <t>Dana Reed:</t>
        </r>
        <r>
          <rPr>
            <sz val="9"/>
            <color indexed="81"/>
            <rFont val="Verdana"/>
          </rPr>
          <t xml:space="preserve">
Waves: 1
Wind: 1
People: 36,60,0
</t>
        </r>
      </text>
    </comment>
    <comment ref="A11" authorId="0">
      <text>
        <r>
          <rPr>
            <b/>
            <sz val="9"/>
            <color indexed="81"/>
            <rFont val="Verdana"/>
          </rPr>
          <t>Dana Reed:</t>
        </r>
        <r>
          <rPr>
            <sz val="9"/>
            <color indexed="81"/>
            <rFont val="Verdana"/>
          </rPr>
          <t xml:space="preserve">
Waves: 2
Wind: 3
People: 13,50,0
</t>
        </r>
      </text>
    </comment>
    <comment ref="A12" authorId="0">
      <text>
        <r>
          <rPr>
            <b/>
            <sz val="9"/>
            <color indexed="81"/>
            <rFont val="Verdana"/>
          </rPr>
          <t>Dana Reed:</t>
        </r>
        <r>
          <rPr>
            <sz val="9"/>
            <color indexed="81"/>
            <rFont val="Verdana"/>
          </rPr>
          <t xml:space="preserve">
Waves: 1
Wind: 1
People: 6,14,0
Surf high outside of bay. Yucky foam on water.</t>
        </r>
      </text>
    </comment>
  </commentList>
</comments>
</file>

<file path=xl/comments6.xml><?xml version="1.0" encoding="utf-8"?>
<comments xmlns="http://schemas.openxmlformats.org/spreadsheetml/2006/main">
  <authors>
    <author>Dana Reed</author>
  </authors>
  <commentList>
    <comment ref="A3" authorId="0">
      <text>
        <r>
          <rPr>
            <b/>
            <sz val="9"/>
            <color indexed="81"/>
            <rFont val="Verdana"/>
          </rPr>
          <t>Dana Reed:</t>
        </r>
        <r>
          <rPr>
            <sz val="9"/>
            <color indexed="81"/>
            <rFont val="Verdana"/>
          </rPr>
          <t xml:space="preserve">
Waves: 0
Wind: 1 (1-2 mph)
People: ssk 0, ob 1, campers 0</t>
        </r>
      </text>
    </comment>
    <comment ref="A4" authorId="0">
      <text>
        <r>
          <rPr>
            <b/>
            <sz val="9"/>
            <color indexed="81"/>
            <rFont val="Verdana"/>
          </rPr>
          <t>Dana Reed:</t>
        </r>
        <r>
          <rPr>
            <sz val="9"/>
            <color indexed="81"/>
            <rFont val="Verdana"/>
          </rPr>
          <t xml:space="preserve">
Waves: 0
Wind: 1
People: ssk 0, ob 4, campers 0
One person with a dog on beach and one fisherman</t>
        </r>
      </text>
    </comment>
    <comment ref="A5" authorId="0">
      <text>
        <r>
          <rPr>
            <b/>
            <sz val="9"/>
            <color indexed="81"/>
            <rFont val="Verdana"/>
          </rPr>
          <t>Dana Reed:</t>
        </r>
        <r>
          <rPr>
            <sz val="9"/>
            <color indexed="81"/>
            <rFont val="Verdana"/>
          </rPr>
          <t xml:space="preserve">
Waves: 0
Wind: 1
People: ssk 3, beach 0, camp 0</t>
        </r>
      </text>
    </comment>
    <comment ref="A6" authorId="0">
      <text>
        <r>
          <rPr>
            <b/>
            <sz val="9"/>
            <color indexed="81"/>
            <rFont val="Verdana"/>
          </rPr>
          <t>Dana Reed:</t>
        </r>
        <r>
          <rPr>
            <sz val="9"/>
            <color indexed="81"/>
            <rFont val="Verdana"/>
          </rPr>
          <t xml:space="preserve">
Waves: 0.5
Wind: 1
People: nobody in water, on beach or camping. Duplicate nutrient sample taken.</t>
        </r>
      </text>
    </comment>
    <comment ref="A7" authorId="0">
      <text>
        <r>
          <rPr>
            <b/>
            <sz val="9"/>
            <color indexed="81"/>
            <rFont val="Verdana"/>
          </rPr>
          <t>Dana Reed:</t>
        </r>
        <r>
          <rPr>
            <sz val="9"/>
            <color indexed="81"/>
            <rFont val="Verdana"/>
          </rPr>
          <t xml:space="preserve">
Waves: 0
Wind: 1
People: 0,2,0
</t>
        </r>
      </text>
    </comment>
    <comment ref="A8" authorId="0">
      <text>
        <r>
          <rPr>
            <b/>
            <sz val="9"/>
            <color indexed="81"/>
            <rFont val="Verdana"/>
          </rPr>
          <t>Dana Reed:</t>
        </r>
        <r>
          <rPr>
            <sz val="9"/>
            <color indexed="81"/>
            <rFont val="Verdana"/>
          </rPr>
          <t xml:space="preserve">
Waves: 2
Wind: 1
People: 0,0,0
Lots of leaves and wood debris.</t>
        </r>
      </text>
    </comment>
    <comment ref="A9" authorId="0">
      <text>
        <r>
          <rPr>
            <b/>
            <sz val="9"/>
            <color indexed="81"/>
            <rFont val="Verdana"/>
          </rPr>
          <t>Dana Reed:</t>
        </r>
        <r>
          <rPr>
            <sz val="9"/>
            <color indexed="81"/>
            <rFont val="Verdana"/>
          </rPr>
          <t xml:space="preserve">
Waves: 1
Wind: 0
People: 0,2,0
No water coming out of pipe.
</t>
        </r>
      </text>
    </comment>
    <comment ref="A10" authorId="0">
      <text>
        <r>
          <rPr>
            <b/>
            <sz val="9"/>
            <color indexed="81"/>
            <rFont val="Verdana"/>
          </rPr>
          <t>Dana Reed:</t>
        </r>
        <r>
          <rPr>
            <sz val="9"/>
            <color indexed="81"/>
            <rFont val="Verdana"/>
          </rPr>
          <t xml:space="preserve">
Waves: 2
Wind: 1
People: 0,0,0
</t>
        </r>
      </text>
    </comment>
    <comment ref="A11" authorId="0">
      <text>
        <r>
          <rPr>
            <b/>
            <sz val="9"/>
            <color indexed="81"/>
            <rFont val="Verdana"/>
          </rPr>
          <t>Dana Reed:</t>
        </r>
        <r>
          <rPr>
            <sz val="9"/>
            <color indexed="81"/>
            <rFont val="Verdana"/>
          </rPr>
          <t xml:space="preserve">
Waves: 2
Wind: 1
People: 0,2,0
</t>
        </r>
      </text>
    </comment>
    <comment ref="A12" authorId="0">
      <text>
        <r>
          <rPr>
            <b/>
            <sz val="9"/>
            <color indexed="81"/>
            <rFont val="Verdana"/>
          </rPr>
          <t>Dana Reed:</t>
        </r>
        <r>
          <rPr>
            <sz val="9"/>
            <color indexed="81"/>
            <rFont val="Verdana"/>
          </rPr>
          <t xml:space="preserve">
Waves: 1
Wind: 1
People: 0,0,0
Surf higher outside of bay.</t>
        </r>
      </text>
    </comment>
  </commentList>
</comments>
</file>

<file path=xl/comments7.xml><?xml version="1.0" encoding="utf-8"?>
<comments xmlns="http://schemas.openxmlformats.org/spreadsheetml/2006/main">
  <authors>
    <author>Dana Reed</author>
  </authors>
  <commentList>
    <comment ref="A3" authorId="0">
      <text>
        <r>
          <rPr>
            <b/>
            <sz val="9"/>
            <color indexed="81"/>
            <rFont val="Verdana"/>
          </rPr>
          <t>Dana Reed:</t>
        </r>
        <r>
          <rPr>
            <sz val="9"/>
            <color indexed="81"/>
            <rFont val="Verdana"/>
          </rPr>
          <t xml:space="preserve">
Waves: 0
Wind: 0
People: ssk 6, ob 12, campers 0
</t>
        </r>
      </text>
    </comment>
    <comment ref="A4" authorId="0">
      <text>
        <r>
          <rPr>
            <b/>
            <sz val="9"/>
            <color indexed="81"/>
            <rFont val="Verdana"/>
          </rPr>
          <t>Dana Reed:</t>
        </r>
        <r>
          <rPr>
            <sz val="9"/>
            <color indexed="81"/>
            <rFont val="Verdana"/>
          </rPr>
          <t xml:space="preserve">
Waves: 0
Wind: 0
People: ssk 0, ob 1, campers 0
Two fishermen
DO measurement a little suspect so it was repeated and came up with the exact same value.</t>
        </r>
      </text>
    </comment>
    <comment ref="A5" authorId="0">
      <text>
        <r>
          <rPr>
            <b/>
            <sz val="9"/>
            <color indexed="81"/>
            <rFont val="Verdana"/>
          </rPr>
          <t>Dana Reed:</t>
        </r>
        <r>
          <rPr>
            <sz val="9"/>
            <color indexed="81"/>
            <rFont val="Verdana"/>
          </rPr>
          <t xml:space="preserve">
Waves: 1
Wind: 1
People: ssk 0, beach 10, camp 0
Three people fishing from shore.</t>
        </r>
      </text>
    </comment>
    <comment ref="A6" authorId="0">
      <text>
        <r>
          <rPr>
            <b/>
            <sz val="9"/>
            <color indexed="81"/>
            <rFont val="Verdana"/>
          </rPr>
          <t>Dana Reed:</t>
        </r>
        <r>
          <rPr>
            <sz val="9"/>
            <color indexed="81"/>
            <rFont val="Verdana"/>
          </rPr>
          <t xml:space="preserve">
Waves: 1
Wind: 1
People: 2 in water, 2 on beach.</t>
        </r>
      </text>
    </comment>
    <comment ref="A7" authorId="0">
      <text>
        <r>
          <rPr>
            <b/>
            <sz val="9"/>
            <color indexed="81"/>
            <rFont val="Verdana"/>
          </rPr>
          <t>Dana Reed:</t>
        </r>
        <r>
          <rPr>
            <sz val="9"/>
            <color indexed="81"/>
            <rFont val="Verdana"/>
          </rPr>
          <t xml:space="preserve">
Waves: 1
Wind: 0
People: 4,8,0
Duplicate sample taken
</t>
        </r>
      </text>
    </comment>
    <comment ref="A8" authorId="0">
      <text>
        <r>
          <rPr>
            <b/>
            <sz val="9"/>
            <color indexed="81"/>
            <rFont val="Verdana"/>
          </rPr>
          <t>Dana Reed:</t>
        </r>
        <r>
          <rPr>
            <sz val="9"/>
            <color indexed="81"/>
            <rFont val="Verdana"/>
          </rPr>
          <t xml:space="preserve">
Waves: 2
Wind: 1
People: 0,7,0
</t>
        </r>
      </text>
    </comment>
    <comment ref="A9" authorId="0">
      <text>
        <r>
          <rPr>
            <b/>
            <sz val="9"/>
            <color indexed="81"/>
            <rFont val="Verdana"/>
          </rPr>
          <t>Dana Reed:</t>
        </r>
        <r>
          <rPr>
            <sz val="9"/>
            <color indexed="81"/>
            <rFont val="Verdana"/>
          </rPr>
          <t xml:space="preserve">
Waves: 1
Wind: 1
People: 0,4,0
Waves irregular and turbulent. Rocks exposed so footing was difficult. 3 people fell on the slippery rocks.
</t>
        </r>
      </text>
    </comment>
    <comment ref="A10" authorId="0">
      <text>
        <r>
          <rPr>
            <b/>
            <sz val="9"/>
            <color indexed="81"/>
            <rFont val="Verdana"/>
          </rPr>
          <t>Dana Reed:</t>
        </r>
        <r>
          <rPr>
            <sz val="9"/>
            <color indexed="81"/>
            <rFont val="Verdana"/>
          </rPr>
          <t xml:space="preserve">
Waves: 2
Wind: 0
People: 0,1,0
Little bait fish school 5 foot from sample site.
</t>
        </r>
      </text>
    </comment>
    <comment ref="A11" authorId="0">
      <text>
        <r>
          <rPr>
            <b/>
            <sz val="9"/>
            <color indexed="81"/>
            <rFont val="Verdana"/>
          </rPr>
          <t>Dana Reed:</t>
        </r>
        <r>
          <rPr>
            <sz val="9"/>
            <color indexed="81"/>
            <rFont val="Verdana"/>
          </rPr>
          <t xml:space="preserve">
Waves: 3
Wind: 1
People: 0,0,0
</t>
        </r>
      </text>
    </comment>
    <comment ref="A12" authorId="0">
      <text>
        <r>
          <rPr>
            <b/>
            <sz val="9"/>
            <color indexed="81"/>
            <rFont val="Verdana"/>
          </rPr>
          <t>Dana Reed:</t>
        </r>
        <r>
          <rPr>
            <sz val="9"/>
            <color indexed="81"/>
            <rFont val="Verdana"/>
          </rPr>
          <t xml:space="preserve">
Waves: 1
Wind: 1
People: 4,4,0
Dogs on beach.  Surf outside reef.  Moved sample spot to southern most beach access point on Kahana Village property.
</t>
        </r>
      </text>
    </comment>
  </commentList>
</comments>
</file>

<file path=xl/sharedStrings.xml><?xml version="1.0" encoding="utf-8"?>
<sst xmlns="http://schemas.openxmlformats.org/spreadsheetml/2006/main" count="427" uniqueCount="51">
  <si>
    <t>Location</t>
    <phoneticPr fontId="1" type="noConversion"/>
  </si>
  <si>
    <t>Date</t>
    <phoneticPr fontId="1" type="noConversion"/>
  </si>
  <si>
    <t>Time</t>
    <phoneticPr fontId="1" type="noConversion"/>
  </si>
  <si>
    <t>Temp (degrees C)</t>
    <phoneticPr fontId="1" type="noConversion"/>
  </si>
  <si>
    <t>Salinity (ppt)</t>
    <phoneticPr fontId="1" type="noConversion"/>
  </si>
  <si>
    <t>DO (mg/L)</t>
    <phoneticPr fontId="1" type="noConversion"/>
  </si>
  <si>
    <t>DO sat (percent)</t>
    <phoneticPr fontId="1" type="noConversion"/>
  </si>
  <si>
    <t>pH</t>
    <phoneticPr fontId="1" type="noConversion"/>
  </si>
  <si>
    <t>Turbidity (NTU)</t>
    <phoneticPr fontId="1" type="noConversion"/>
  </si>
  <si>
    <t>Location Code</t>
    <phoneticPr fontId="1" type="noConversion"/>
  </si>
  <si>
    <t>Honolua Bay</t>
    <phoneticPr fontId="1" type="noConversion"/>
  </si>
  <si>
    <t>RHL</t>
    <phoneticPr fontId="1" type="noConversion"/>
  </si>
  <si>
    <t>Mokule'ia Bay</t>
    <phoneticPr fontId="1" type="noConversion"/>
  </si>
  <si>
    <t>RMO</t>
    <phoneticPr fontId="1" type="noConversion"/>
  </si>
  <si>
    <t>Fleming North</t>
    <phoneticPr fontId="1" type="noConversion"/>
  </si>
  <si>
    <t>RFN</t>
    <phoneticPr fontId="1" type="noConversion"/>
  </si>
  <si>
    <t>Oneloa Bay</t>
    <phoneticPr fontId="1" type="noConversion"/>
  </si>
  <si>
    <t>RON</t>
    <phoneticPr fontId="1" type="noConversion"/>
  </si>
  <si>
    <t>Fleming South</t>
    <phoneticPr fontId="1" type="noConversion"/>
  </si>
  <si>
    <t>RFS</t>
    <phoneticPr fontId="1" type="noConversion"/>
  </si>
  <si>
    <t>Ka'opala Bay</t>
    <phoneticPr fontId="1" type="noConversion"/>
  </si>
  <si>
    <t>RKO</t>
    <phoneticPr fontId="1" type="noConversion"/>
  </si>
  <si>
    <t>Comments QA/QC Notes</t>
    <phoneticPr fontId="1" type="noConversion"/>
  </si>
  <si>
    <t>Total N (ug/L)</t>
    <phoneticPr fontId="1" type="noConversion"/>
  </si>
  <si>
    <t>NNN (ug/L)</t>
    <phoneticPr fontId="1" type="noConversion"/>
  </si>
  <si>
    <t>NH4 (ug/L)</t>
    <phoneticPr fontId="1" type="noConversion"/>
  </si>
  <si>
    <t>Total P (ug/L)</t>
    <phoneticPr fontId="1" type="noConversion"/>
  </si>
  <si>
    <t>Phosphate (ug/L)</t>
    <phoneticPr fontId="1" type="noConversion"/>
  </si>
  <si>
    <t>Silicate (ug/L)</t>
    <phoneticPr fontId="1" type="noConversion"/>
  </si>
  <si>
    <t>Geometric Mean</t>
    <phoneticPr fontId="1" type="noConversion"/>
  </si>
  <si>
    <t>Arithmetric Mean</t>
    <phoneticPr fontId="1" type="noConversion"/>
  </si>
  <si>
    <t>Standard deviation</t>
    <phoneticPr fontId="1" type="noConversion"/>
  </si>
  <si>
    <t>Normalized geometric mean</t>
    <phoneticPr fontId="1" type="noConversion"/>
  </si>
  <si>
    <t>Equipment Turbidity</t>
    <phoneticPr fontId="1" type="noConversion"/>
  </si>
  <si>
    <t>Equipment HQ40D</t>
    <phoneticPr fontId="1" type="noConversion"/>
  </si>
  <si>
    <t>Washed, rinsed syringes; acid washed bottles, 0.7 um filters, new syringe filter holders</t>
    <phoneticPr fontId="1" type="noConversion"/>
  </si>
  <si>
    <t>2 (3,2,3)</t>
    <phoneticPr fontId="1" type="noConversion"/>
  </si>
  <si>
    <t>1 (3,1,4)</t>
  </si>
  <si>
    <t>1 (3,1,4)</t>
    <phoneticPr fontId="1" type="noConversion"/>
  </si>
  <si>
    <t>Kahana Village</t>
    <phoneticPr fontId="1" type="noConversion"/>
  </si>
  <si>
    <t>RKV</t>
    <phoneticPr fontId="1" type="noConversion"/>
  </si>
  <si>
    <t>2 (2,1,3)</t>
    <phoneticPr fontId="1" type="noConversion"/>
  </si>
  <si>
    <t>1 (3,2,4)</t>
    <phoneticPr fontId="1" type="noConversion"/>
  </si>
  <si>
    <t>2 (2,1,3)</t>
    <phoneticPr fontId="1" type="noConversion"/>
  </si>
  <si>
    <t>1 (3,2,4)</t>
    <phoneticPr fontId="1" type="noConversion"/>
  </si>
  <si>
    <t>Washed, rinsed syringes; acid washed bottles, 0.2 um disposable filters</t>
    <phoneticPr fontId="1" type="noConversion"/>
  </si>
  <si>
    <t>2 (2,1,3)</t>
    <phoneticPr fontId="1" type="noConversion"/>
  </si>
  <si>
    <t>1 (3,2,4)</t>
    <phoneticPr fontId="1" type="noConversion"/>
  </si>
  <si>
    <t>2 (2,1,3)</t>
    <phoneticPr fontId="1" type="noConversion"/>
  </si>
  <si>
    <t>1 (3,2,4)</t>
    <phoneticPr fontId="1" type="noConversion"/>
  </si>
  <si>
    <t>2 (2,1,3)</t>
    <phoneticPr fontId="1" type="noConversion"/>
  </si>
</sst>
</file>

<file path=xl/styles.xml><?xml version="1.0" encoding="utf-8"?>
<styleSheet xmlns="http://schemas.openxmlformats.org/spreadsheetml/2006/main">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s>
  <fonts count="6">
    <font>
      <sz val="10"/>
      <name val="Verdana"/>
    </font>
    <font>
      <sz val="8"/>
      <name val="Verdana"/>
    </font>
    <font>
      <sz val="12"/>
      <name val="Verdana"/>
    </font>
    <font>
      <b/>
      <sz val="12"/>
      <name val="Verdana"/>
    </font>
    <font>
      <sz val="9"/>
      <color indexed="81"/>
      <name val="Verdana"/>
    </font>
    <font>
      <b/>
      <sz val="9"/>
      <color indexed="81"/>
      <name val="Verdana"/>
    </font>
  </fonts>
  <fills count="6">
    <fill>
      <patternFill patternType="none"/>
    </fill>
    <fill>
      <patternFill patternType="gray125"/>
    </fill>
    <fill>
      <patternFill patternType="solid">
        <fgColor indexed="43"/>
        <bgColor indexed="64"/>
      </patternFill>
    </fill>
    <fill>
      <patternFill patternType="solid">
        <fgColor indexed="14"/>
        <bgColor indexed="64"/>
      </patternFill>
    </fill>
    <fill>
      <patternFill patternType="solid">
        <fgColor indexed="41"/>
        <bgColor indexed="64"/>
      </patternFill>
    </fill>
    <fill>
      <patternFill patternType="solid">
        <fgColor indexed="45"/>
        <bgColor indexed="64"/>
      </patternFill>
    </fill>
  </fills>
  <borders count="1">
    <border>
      <left/>
      <right/>
      <top/>
      <bottom/>
      <diagonal/>
    </border>
  </borders>
  <cellStyleXfs count="1">
    <xf numFmtId="0" fontId="0" fillId="0" borderId="0"/>
  </cellStyleXfs>
  <cellXfs count="51">
    <xf numFmtId="0" fontId="0" fillId="0" borderId="0" xfId="0"/>
    <xf numFmtId="0" fontId="2" fillId="0" borderId="0" xfId="0" applyFont="1"/>
    <xf numFmtId="0" fontId="3" fillId="0" borderId="0" xfId="0" applyFont="1" applyAlignment="1">
      <alignment horizontal="center" wrapText="1"/>
    </xf>
    <xf numFmtId="0" fontId="2" fillId="0" borderId="0" xfId="0" applyFont="1" applyAlignment="1">
      <alignment horizontal="center"/>
    </xf>
    <xf numFmtId="14" fontId="2" fillId="0" borderId="0" xfId="0" applyNumberFormat="1" applyFont="1"/>
    <xf numFmtId="20" fontId="2" fillId="0" borderId="0" xfId="0" applyNumberFormat="1" applyFont="1"/>
    <xf numFmtId="164" fontId="2" fillId="0" borderId="0" xfId="0" applyNumberFormat="1" applyFont="1"/>
    <xf numFmtId="2" fontId="3" fillId="0" borderId="0" xfId="0" applyNumberFormat="1" applyFont="1" applyAlignment="1">
      <alignment horizontal="center" wrapText="1"/>
    </xf>
    <xf numFmtId="2" fontId="2" fillId="0" borderId="0" xfId="0" applyNumberFormat="1" applyFont="1"/>
    <xf numFmtId="164" fontId="3" fillId="0" borderId="0" xfId="0" applyNumberFormat="1" applyFont="1" applyAlignment="1">
      <alignment horizontal="center" wrapText="1"/>
    </xf>
    <xf numFmtId="2" fontId="2" fillId="0" borderId="0" xfId="0" applyNumberFormat="1" applyFont="1"/>
    <xf numFmtId="164" fontId="2" fillId="0" borderId="0" xfId="0" applyNumberFormat="1" applyFont="1"/>
    <xf numFmtId="2" fontId="3" fillId="0" borderId="0" xfId="0" applyNumberFormat="1" applyFont="1" applyAlignment="1">
      <alignment horizontal="center" wrapText="1"/>
    </xf>
    <xf numFmtId="2" fontId="2" fillId="0" borderId="0" xfId="0" applyNumberFormat="1" applyFont="1"/>
    <xf numFmtId="164" fontId="3" fillId="0" borderId="0" xfId="0" applyNumberFormat="1" applyFont="1" applyAlignment="1">
      <alignment horizontal="center" wrapText="1"/>
    </xf>
    <xf numFmtId="164" fontId="2" fillId="0" borderId="0" xfId="0" applyNumberFormat="1" applyFont="1"/>
    <xf numFmtId="0" fontId="2" fillId="0" borderId="0" xfId="0" applyFont="1" applyAlignment="1">
      <alignment wrapText="1"/>
    </xf>
    <xf numFmtId="164" fontId="2" fillId="0" borderId="0" xfId="0" applyNumberFormat="1" applyFont="1" applyFill="1"/>
    <xf numFmtId="2" fontId="2" fillId="0" borderId="0" xfId="0" applyNumberFormat="1" applyFont="1"/>
    <xf numFmtId="2" fontId="2" fillId="0" borderId="0" xfId="0" applyNumberFormat="1" applyFont="1"/>
    <xf numFmtId="2" fontId="3" fillId="0" borderId="0" xfId="0" applyNumberFormat="1" applyFont="1" applyAlignment="1">
      <alignment horizontal="center" wrapText="1"/>
    </xf>
    <xf numFmtId="2" fontId="3" fillId="0" borderId="0" xfId="0" applyNumberFormat="1" applyFont="1" applyAlignment="1">
      <alignment horizontal="center" wrapText="1"/>
    </xf>
    <xf numFmtId="2" fontId="2" fillId="0" borderId="0" xfId="0" applyNumberFormat="1" applyFont="1"/>
    <xf numFmtId="2" fontId="3" fillId="0" borderId="0" xfId="0" applyNumberFormat="1" applyFont="1" applyAlignment="1">
      <alignment horizontal="center" wrapText="1"/>
    </xf>
    <xf numFmtId="2" fontId="2" fillId="0" borderId="0" xfId="0" applyNumberFormat="1" applyFont="1"/>
    <xf numFmtId="2" fontId="2" fillId="3" borderId="0" xfId="0" applyNumberFormat="1" applyFont="1" applyFill="1"/>
    <xf numFmtId="2" fontId="3" fillId="0" borderId="0" xfId="0" applyNumberFormat="1" applyFont="1" applyAlignment="1">
      <alignment horizontal="center" wrapText="1"/>
    </xf>
    <xf numFmtId="2" fontId="2" fillId="0" borderId="0" xfId="0" applyNumberFormat="1" applyFont="1"/>
    <xf numFmtId="2" fontId="2" fillId="2" borderId="0" xfId="0" applyNumberFormat="1" applyFont="1" applyFill="1"/>
    <xf numFmtId="2" fontId="3" fillId="0" borderId="0" xfId="0" applyNumberFormat="1" applyFont="1" applyAlignment="1">
      <alignment horizontal="center" wrapText="1"/>
    </xf>
    <xf numFmtId="2" fontId="2" fillId="0" borderId="0" xfId="0" applyNumberFormat="1" applyFont="1"/>
    <xf numFmtId="2" fontId="3" fillId="0" borderId="0" xfId="0" applyNumberFormat="1" applyFont="1" applyAlignment="1">
      <alignment horizontal="center" wrapText="1"/>
    </xf>
    <xf numFmtId="2" fontId="2" fillId="0" borderId="0" xfId="0" applyNumberFormat="1" applyFont="1"/>
    <xf numFmtId="2" fontId="3" fillId="0" borderId="0" xfId="0" applyNumberFormat="1" applyFont="1" applyAlignment="1">
      <alignment horizontal="center" wrapText="1"/>
    </xf>
    <xf numFmtId="2" fontId="2" fillId="0" borderId="0" xfId="0" applyNumberFormat="1" applyFont="1"/>
    <xf numFmtId="2" fontId="2" fillId="0" borderId="0" xfId="0" applyNumberFormat="1" applyFont="1"/>
    <xf numFmtId="2" fontId="3" fillId="0" borderId="0" xfId="0" applyNumberFormat="1" applyFont="1" applyAlignment="1">
      <alignment horizontal="center" wrapText="1"/>
    </xf>
    <xf numFmtId="2" fontId="3" fillId="0" borderId="0" xfId="0" applyNumberFormat="1" applyFont="1" applyAlignment="1">
      <alignment horizontal="center" wrapText="1"/>
    </xf>
    <xf numFmtId="2" fontId="2" fillId="0" borderId="0" xfId="0" applyNumberFormat="1" applyFont="1"/>
    <xf numFmtId="2" fontId="2" fillId="0" borderId="0" xfId="0" applyNumberFormat="1" applyFont="1" applyFill="1"/>
    <xf numFmtId="14" fontId="2" fillId="0" borderId="0" xfId="0" applyNumberFormat="1" applyFont="1" applyAlignment="1">
      <alignment horizontal="right" wrapText="1"/>
    </xf>
    <xf numFmtId="20" fontId="2" fillId="0" borderId="0" xfId="0" applyNumberFormat="1" applyFont="1"/>
    <xf numFmtId="20" fontId="2" fillId="0" borderId="0" xfId="0" applyNumberFormat="1" applyFont="1"/>
    <xf numFmtId="20" fontId="2" fillId="0" borderId="0" xfId="0" applyNumberFormat="1" applyFont="1"/>
    <xf numFmtId="20" fontId="2" fillId="0" borderId="0" xfId="0" applyNumberFormat="1" applyFont="1"/>
    <xf numFmtId="20" fontId="2" fillId="0" borderId="0" xfId="0" applyNumberFormat="1" applyFont="1"/>
    <xf numFmtId="20" fontId="2" fillId="0" borderId="0" xfId="0" applyNumberFormat="1" applyFont="1"/>
    <xf numFmtId="2" fontId="2" fillId="4" borderId="0" xfId="0" applyNumberFormat="1" applyFont="1" applyFill="1"/>
    <xf numFmtId="2" fontId="2" fillId="5" borderId="0" xfId="0" applyNumberFormat="1" applyFont="1" applyFill="1"/>
    <xf numFmtId="164" fontId="3" fillId="0" borderId="0" xfId="0" applyNumberFormat="1" applyFont="1" applyAlignment="1">
      <alignment horizontal="center" wrapText="1"/>
    </xf>
    <xf numFmtId="164" fontId="2" fillId="0" borderId="0" xfId="0" applyNumberFormat="1"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9" Type="http://schemas.openxmlformats.org/officeDocument/2006/relationships/chartsheet" Target="chartsheets/sheet7.xml"/><Relationship Id="rId20" Type="http://schemas.openxmlformats.org/officeDocument/2006/relationships/chartsheet" Target="chartsheets/sheet16.xml"/><Relationship Id="rId21" Type="http://schemas.openxmlformats.org/officeDocument/2006/relationships/worksheet" Target="worksheets/sheet5.xml"/><Relationship Id="rId22" Type="http://schemas.openxmlformats.org/officeDocument/2006/relationships/chartsheet" Target="chartsheets/sheet17.xml"/><Relationship Id="rId23" Type="http://schemas.openxmlformats.org/officeDocument/2006/relationships/chartsheet" Target="chartsheets/sheet18.xml"/><Relationship Id="rId24" Type="http://schemas.openxmlformats.org/officeDocument/2006/relationships/chartsheet" Target="chartsheets/sheet19.xml"/><Relationship Id="rId25" Type="http://schemas.openxmlformats.org/officeDocument/2006/relationships/chartsheet" Target="chartsheets/sheet20.xml"/><Relationship Id="rId26" Type="http://schemas.openxmlformats.org/officeDocument/2006/relationships/worksheet" Target="worksheets/sheet6.xml"/><Relationship Id="rId27" Type="http://schemas.openxmlformats.org/officeDocument/2006/relationships/worksheet" Target="worksheets/sheet7.xml"/><Relationship Id="rId28" Type="http://schemas.openxmlformats.org/officeDocument/2006/relationships/theme" Target="theme/theme1.xml"/><Relationship Id="rId29" Type="http://schemas.openxmlformats.org/officeDocument/2006/relationships/styles" Target="styles.xml"/><Relationship Id="rId30" Type="http://schemas.openxmlformats.org/officeDocument/2006/relationships/sharedStrings" Target="sharedStrings.xml"/><Relationship Id="rId31" Type="http://schemas.openxmlformats.org/officeDocument/2006/relationships/calcChain" Target="calcChain.xml"/><Relationship Id="rId10" Type="http://schemas.openxmlformats.org/officeDocument/2006/relationships/worksheet" Target="worksheets/sheet3.xml"/><Relationship Id="rId11" Type="http://schemas.openxmlformats.org/officeDocument/2006/relationships/chartsheet" Target="chartsheets/sheet8.xml"/><Relationship Id="rId12" Type="http://schemas.openxmlformats.org/officeDocument/2006/relationships/chartsheet" Target="chartsheets/sheet9.xml"/><Relationship Id="rId13" Type="http://schemas.openxmlformats.org/officeDocument/2006/relationships/chartsheet" Target="chartsheets/sheet10.xml"/><Relationship Id="rId14" Type="http://schemas.openxmlformats.org/officeDocument/2006/relationships/worksheet" Target="worksheets/sheet4.xml"/><Relationship Id="rId15" Type="http://schemas.openxmlformats.org/officeDocument/2006/relationships/chartsheet" Target="chartsheets/sheet11.xml"/><Relationship Id="rId16" Type="http://schemas.openxmlformats.org/officeDocument/2006/relationships/chartsheet" Target="chartsheets/sheet12.xml"/><Relationship Id="rId17" Type="http://schemas.openxmlformats.org/officeDocument/2006/relationships/chartsheet" Target="chartsheets/sheet13.xml"/><Relationship Id="rId18" Type="http://schemas.openxmlformats.org/officeDocument/2006/relationships/chartsheet" Target="chartsheets/sheet14.xml"/><Relationship Id="rId19" Type="http://schemas.openxmlformats.org/officeDocument/2006/relationships/chartsheet" Target="chartsheets/sheet15.xml"/><Relationship Id="rId1" Type="http://schemas.openxmlformats.org/officeDocument/2006/relationships/chartsheet" Target="chartsheets/sheet1.xml"/><Relationship Id="rId2" Type="http://schemas.openxmlformats.org/officeDocument/2006/relationships/chartsheet" Target="chartsheets/sheet2.xml"/><Relationship Id="rId3" Type="http://schemas.openxmlformats.org/officeDocument/2006/relationships/chartsheet" Target="chartsheets/sheet3.xml"/><Relationship Id="rId4" Type="http://schemas.openxmlformats.org/officeDocument/2006/relationships/chartsheet" Target="chartsheets/sheet4.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chartsheet" Target="chartsheets/sheet5.xml"/><Relationship Id="rId8" Type="http://schemas.openxmlformats.org/officeDocument/2006/relationships/chartsheet" Target="chartsheets/sheet6.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pH - Honolua Bay (RHL)</a:t>
            </a:r>
          </a:p>
        </c:rich>
      </c:tx>
    </c:title>
    <c:plotArea>
      <c:layout/>
      <c:scatterChart>
        <c:scatterStyle val="smoothMarker"/>
        <c:ser>
          <c:idx val="0"/>
          <c:order val="0"/>
          <c:tx>
            <c:strRef>
              <c:f>Honolua!$I$1</c:f>
              <c:strCache>
                <c:ptCount val="1"/>
                <c:pt idx="0">
                  <c:v>pH</c:v>
                </c:pt>
              </c:strCache>
            </c:strRef>
          </c:tx>
          <c:xVal>
            <c:numRef>
              <c:f>Honolua!$C$2:$C$12</c:f>
              <c:numCache>
                <c:formatCode>m/d/yy</c:formatCode>
                <c:ptCount val="11"/>
                <c:pt idx="0">
                  <c:v>42909.0</c:v>
                </c:pt>
                <c:pt idx="1">
                  <c:v>42930.0</c:v>
                </c:pt>
                <c:pt idx="2">
                  <c:v>42951.0</c:v>
                </c:pt>
                <c:pt idx="3">
                  <c:v>42972.0</c:v>
                </c:pt>
                <c:pt idx="4">
                  <c:v>42993.0</c:v>
                </c:pt>
                <c:pt idx="5">
                  <c:v>43014.0</c:v>
                </c:pt>
                <c:pt idx="6">
                  <c:v>43035.0</c:v>
                </c:pt>
                <c:pt idx="7">
                  <c:v>43056.0</c:v>
                </c:pt>
                <c:pt idx="8">
                  <c:v>43077.0</c:v>
                </c:pt>
                <c:pt idx="9">
                  <c:v>43091.0</c:v>
                </c:pt>
                <c:pt idx="10">
                  <c:v>43112.0</c:v>
                </c:pt>
              </c:numCache>
            </c:numRef>
          </c:xVal>
          <c:yVal>
            <c:numRef>
              <c:f>Honolua!$I$2:$I$12</c:f>
              <c:numCache>
                <c:formatCode>0.00</c:formatCode>
                <c:ptCount val="11"/>
                <c:pt idx="0">
                  <c:v>8.08</c:v>
                </c:pt>
                <c:pt idx="1">
                  <c:v>8.130000000000001</c:v>
                </c:pt>
                <c:pt idx="2">
                  <c:v>8.09</c:v>
                </c:pt>
                <c:pt idx="3">
                  <c:v>8.12</c:v>
                </c:pt>
                <c:pt idx="4">
                  <c:v>8.07</c:v>
                </c:pt>
                <c:pt idx="5">
                  <c:v>8.1</c:v>
                </c:pt>
                <c:pt idx="6">
                  <c:v>8.11</c:v>
                </c:pt>
                <c:pt idx="7">
                  <c:v>8.15</c:v>
                </c:pt>
                <c:pt idx="8">
                  <c:v>8.140000000000001</c:v>
                </c:pt>
                <c:pt idx="9">
                  <c:v>8.17</c:v>
                </c:pt>
                <c:pt idx="10">
                  <c:v>8.07</c:v>
                </c:pt>
              </c:numCache>
            </c:numRef>
          </c:yVal>
          <c:smooth val="1"/>
        </c:ser>
        <c:axId val="388373432"/>
        <c:axId val="388377960"/>
      </c:scatterChart>
      <c:valAx>
        <c:axId val="388373432"/>
        <c:scaling>
          <c:orientation val="minMax"/>
        </c:scaling>
        <c:axPos val="b"/>
        <c:numFmt formatCode="m/d/yy" sourceLinked="1"/>
        <c:tickLblPos val="nextTo"/>
        <c:crossAx val="388377960"/>
        <c:crosses val="autoZero"/>
        <c:crossBetween val="midCat"/>
      </c:valAx>
      <c:valAx>
        <c:axId val="388377960"/>
        <c:scaling>
          <c:orientation val="minMax"/>
          <c:max val="8.3"/>
          <c:min val="7.7"/>
        </c:scaling>
        <c:axPos val="l"/>
        <c:majorGridlines/>
        <c:title>
          <c:tx>
            <c:rich>
              <a:bodyPr/>
              <a:lstStyle/>
              <a:p>
                <a:pPr>
                  <a:defRPr/>
                </a:pPr>
                <a:r>
                  <a:rPr lang="en-US"/>
                  <a:t>pH</a:t>
                </a:r>
              </a:p>
            </c:rich>
          </c:tx>
        </c:title>
        <c:numFmt formatCode="0.00" sourceLinked="1"/>
        <c:tickLblPos val="nextTo"/>
        <c:crossAx val="388373432"/>
        <c:crosses val="autoZero"/>
        <c:crossBetween val="midCat"/>
      </c:valAx>
    </c:plotArea>
    <c:plotVisOnly val="1"/>
  </c:chart>
</c:chartSpace>
</file>

<file path=xl/charts/chart10.xml><?xml version="1.0" encoding="utf-8"?>
<c:chartSpace xmlns:c="http://schemas.openxmlformats.org/drawingml/2006/chart" xmlns:a="http://schemas.openxmlformats.org/drawingml/2006/main" xmlns:r="http://schemas.openxmlformats.org/officeDocument/2006/relationships">
  <c:lang val="en-US"/>
  <c:style val="2"/>
  <c:chart>
    <c:title/>
    <c:plotArea>
      <c:layout/>
      <c:scatterChart>
        <c:scatterStyle val="smoothMarker"/>
        <c:ser>
          <c:idx val="0"/>
          <c:order val="0"/>
          <c:tx>
            <c:strRef>
              <c:f>Oneloa!$E$1</c:f>
              <c:strCache>
                <c:ptCount val="1"/>
                <c:pt idx="0">
                  <c:v>Temp (degrees C)</c:v>
                </c:pt>
              </c:strCache>
            </c:strRef>
          </c:tx>
          <c:xVal>
            <c:numRef>
              <c:f>Oneloa!$C$2:$C$12</c:f>
              <c:numCache>
                <c:formatCode>m/d/yy</c:formatCode>
                <c:ptCount val="11"/>
                <c:pt idx="0">
                  <c:v>42909.0</c:v>
                </c:pt>
                <c:pt idx="1">
                  <c:v>42930.0</c:v>
                </c:pt>
                <c:pt idx="2">
                  <c:v>42951.0</c:v>
                </c:pt>
                <c:pt idx="3">
                  <c:v>42972.0</c:v>
                </c:pt>
                <c:pt idx="4">
                  <c:v>42993.0</c:v>
                </c:pt>
                <c:pt idx="5">
                  <c:v>43014.0</c:v>
                </c:pt>
                <c:pt idx="6">
                  <c:v>43035.0</c:v>
                </c:pt>
                <c:pt idx="7">
                  <c:v>43056.0</c:v>
                </c:pt>
                <c:pt idx="8">
                  <c:v>43077.0</c:v>
                </c:pt>
                <c:pt idx="9">
                  <c:v>43091.0</c:v>
                </c:pt>
                <c:pt idx="10">
                  <c:v>43112.0</c:v>
                </c:pt>
              </c:numCache>
            </c:numRef>
          </c:xVal>
          <c:yVal>
            <c:numRef>
              <c:f>Oneloa!$E$2:$E$12</c:f>
              <c:numCache>
                <c:formatCode>0.0</c:formatCode>
                <c:ptCount val="11"/>
                <c:pt idx="0">
                  <c:v>26.7</c:v>
                </c:pt>
                <c:pt idx="1">
                  <c:v>26.4</c:v>
                </c:pt>
                <c:pt idx="2">
                  <c:v>27.2</c:v>
                </c:pt>
                <c:pt idx="3">
                  <c:v>26.5</c:v>
                </c:pt>
                <c:pt idx="4">
                  <c:v>27.6</c:v>
                </c:pt>
                <c:pt idx="5">
                  <c:v>27.0</c:v>
                </c:pt>
                <c:pt idx="6">
                  <c:v>27.0</c:v>
                </c:pt>
                <c:pt idx="7">
                  <c:v>26.0</c:v>
                </c:pt>
                <c:pt idx="8">
                  <c:v>25.1</c:v>
                </c:pt>
                <c:pt idx="9">
                  <c:v>24.0</c:v>
                </c:pt>
                <c:pt idx="10">
                  <c:v>24.5</c:v>
                </c:pt>
              </c:numCache>
            </c:numRef>
          </c:yVal>
          <c:smooth val="1"/>
        </c:ser>
        <c:axId val="488671464"/>
        <c:axId val="488674632"/>
      </c:scatterChart>
      <c:valAx>
        <c:axId val="488671464"/>
        <c:scaling>
          <c:orientation val="minMax"/>
        </c:scaling>
        <c:axPos val="b"/>
        <c:numFmt formatCode="m/d/yy" sourceLinked="1"/>
        <c:tickLblPos val="nextTo"/>
        <c:crossAx val="488674632"/>
        <c:crosses val="autoZero"/>
        <c:crossBetween val="midCat"/>
      </c:valAx>
      <c:valAx>
        <c:axId val="488674632"/>
        <c:scaling>
          <c:orientation val="minMax"/>
          <c:max val="29.0"/>
          <c:min val="22.0"/>
        </c:scaling>
        <c:axPos val="l"/>
        <c:majorGridlines/>
        <c:numFmt formatCode="0.0" sourceLinked="1"/>
        <c:tickLblPos val="nextTo"/>
        <c:crossAx val="488671464"/>
        <c:crosses val="autoZero"/>
        <c:crossBetween val="midCat"/>
      </c:valAx>
    </c:plotArea>
    <c:plotVisOnly val="1"/>
  </c:chart>
</c:chartSpace>
</file>

<file path=xl/charts/chart11.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Kapalua Bay pH (RFS)</a:t>
            </a:r>
          </a:p>
        </c:rich>
      </c:tx>
    </c:title>
    <c:plotArea>
      <c:layout/>
      <c:scatterChart>
        <c:scatterStyle val="smoothMarker"/>
        <c:ser>
          <c:idx val="0"/>
          <c:order val="0"/>
          <c:tx>
            <c:strRef>
              <c:f>'Kapalua Bay'!$I$1</c:f>
              <c:strCache>
                <c:ptCount val="1"/>
                <c:pt idx="0">
                  <c:v>pH</c:v>
                </c:pt>
              </c:strCache>
            </c:strRef>
          </c:tx>
          <c:xVal>
            <c:numRef>
              <c:f>'Kapalua Bay'!$C$2:$C$12</c:f>
              <c:numCache>
                <c:formatCode>m/d/yy</c:formatCode>
                <c:ptCount val="11"/>
                <c:pt idx="0">
                  <c:v>42909.0</c:v>
                </c:pt>
                <c:pt idx="1">
                  <c:v>42930.0</c:v>
                </c:pt>
                <c:pt idx="2">
                  <c:v>42951.0</c:v>
                </c:pt>
                <c:pt idx="3">
                  <c:v>42972.0</c:v>
                </c:pt>
                <c:pt idx="4">
                  <c:v>42993.0</c:v>
                </c:pt>
                <c:pt idx="5">
                  <c:v>43014.0</c:v>
                </c:pt>
                <c:pt idx="6">
                  <c:v>43035.0</c:v>
                </c:pt>
                <c:pt idx="7">
                  <c:v>43056.0</c:v>
                </c:pt>
                <c:pt idx="8">
                  <c:v>43077.0</c:v>
                </c:pt>
                <c:pt idx="9">
                  <c:v>43091.0</c:v>
                </c:pt>
                <c:pt idx="10">
                  <c:v>43112.0</c:v>
                </c:pt>
              </c:numCache>
            </c:numRef>
          </c:xVal>
          <c:yVal>
            <c:numRef>
              <c:f>'Kapalua Bay'!$I$2:$I$12</c:f>
              <c:numCache>
                <c:formatCode>0.00</c:formatCode>
                <c:ptCount val="11"/>
                <c:pt idx="0">
                  <c:v>8.08</c:v>
                </c:pt>
                <c:pt idx="1">
                  <c:v>8.08</c:v>
                </c:pt>
                <c:pt idx="2">
                  <c:v>8.09</c:v>
                </c:pt>
                <c:pt idx="3">
                  <c:v>8.09</c:v>
                </c:pt>
                <c:pt idx="4">
                  <c:v>8.15</c:v>
                </c:pt>
                <c:pt idx="5">
                  <c:v>8.16</c:v>
                </c:pt>
                <c:pt idx="6">
                  <c:v>8.210000000000001</c:v>
                </c:pt>
                <c:pt idx="7">
                  <c:v>8.16</c:v>
                </c:pt>
                <c:pt idx="8">
                  <c:v>8.19</c:v>
                </c:pt>
                <c:pt idx="9">
                  <c:v>8.18</c:v>
                </c:pt>
                <c:pt idx="10">
                  <c:v>8.16</c:v>
                </c:pt>
              </c:numCache>
            </c:numRef>
          </c:yVal>
          <c:smooth val="1"/>
        </c:ser>
        <c:axId val="488730728"/>
        <c:axId val="488723464"/>
      </c:scatterChart>
      <c:valAx>
        <c:axId val="488730728"/>
        <c:scaling>
          <c:orientation val="minMax"/>
        </c:scaling>
        <c:axPos val="b"/>
        <c:numFmt formatCode="m/d/yy" sourceLinked="1"/>
        <c:tickLblPos val="nextTo"/>
        <c:crossAx val="488723464"/>
        <c:crosses val="autoZero"/>
        <c:crossBetween val="midCat"/>
      </c:valAx>
      <c:valAx>
        <c:axId val="488723464"/>
        <c:scaling>
          <c:orientation val="minMax"/>
          <c:max val="8.3"/>
          <c:min val="7.7"/>
        </c:scaling>
        <c:axPos val="l"/>
        <c:majorGridlines/>
        <c:title>
          <c:tx>
            <c:rich>
              <a:bodyPr/>
              <a:lstStyle/>
              <a:p>
                <a:pPr>
                  <a:defRPr/>
                </a:pPr>
                <a:r>
                  <a:rPr lang="en-US"/>
                  <a:t>pH</a:t>
                </a:r>
              </a:p>
            </c:rich>
          </c:tx>
        </c:title>
        <c:numFmt formatCode="0.00" sourceLinked="1"/>
        <c:tickLblPos val="nextTo"/>
        <c:crossAx val="488730728"/>
        <c:crosses val="autoZero"/>
        <c:crossBetween val="midCat"/>
      </c:valAx>
    </c:plotArea>
    <c:plotVisOnly val="1"/>
  </c:chart>
</c:chartSpace>
</file>

<file path=xl/charts/chart12.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Kapalua Bay Turbidity (RFS)</a:t>
            </a:r>
          </a:p>
        </c:rich>
      </c:tx>
    </c:title>
    <c:plotArea>
      <c:layout/>
      <c:scatterChart>
        <c:scatterStyle val="smoothMarker"/>
        <c:ser>
          <c:idx val="0"/>
          <c:order val="0"/>
          <c:tx>
            <c:strRef>
              <c:f>'Kapalua Bay'!$J$1</c:f>
              <c:strCache>
                <c:ptCount val="1"/>
                <c:pt idx="0">
                  <c:v>Turbidity (NTU)</c:v>
                </c:pt>
              </c:strCache>
            </c:strRef>
          </c:tx>
          <c:xVal>
            <c:numRef>
              <c:f>'Kapalua Bay'!$C$2:$C$12</c:f>
              <c:numCache>
                <c:formatCode>m/d/yy</c:formatCode>
                <c:ptCount val="11"/>
                <c:pt idx="0">
                  <c:v>42909.0</c:v>
                </c:pt>
                <c:pt idx="1">
                  <c:v>42930.0</c:v>
                </c:pt>
                <c:pt idx="2">
                  <c:v>42951.0</c:v>
                </c:pt>
                <c:pt idx="3">
                  <c:v>42972.0</c:v>
                </c:pt>
                <c:pt idx="4">
                  <c:v>42993.0</c:v>
                </c:pt>
                <c:pt idx="5">
                  <c:v>43014.0</c:v>
                </c:pt>
                <c:pt idx="6">
                  <c:v>43035.0</c:v>
                </c:pt>
                <c:pt idx="7">
                  <c:v>43056.0</c:v>
                </c:pt>
                <c:pt idx="8">
                  <c:v>43077.0</c:v>
                </c:pt>
                <c:pt idx="9">
                  <c:v>43091.0</c:v>
                </c:pt>
                <c:pt idx="10">
                  <c:v>43112.0</c:v>
                </c:pt>
              </c:numCache>
            </c:numRef>
          </c:xVal>
          <c:yVal>
            <c:numRef>
              <c:f>'Kapalua Bay'!$J$2:$J$12</c:f>
              <c:numCache>
                <c:formatCode>0.00</c:formatCode>
                <c:ptCount val="11"/>
                <c:pt idx="0">
                  <c:v>1.216666666666667</c:v>
                </c:pt>
                <c:pt idx="1">
                  <c:v>0.596666666666667</c:v>
                </c:pt>
                <c:pt idx="2">
                  <c:v>1.033333333333333</c:v>
                </c:pt>
                <c:pt idx="3">
                  <c:v>1.276666666666667</c:v>
                </c:pt>
                <c:pt idx="4">
                  <c:v>1.486666666666667</c:v>
                </c:pt>
                <c:pt idx="5">
                  <c:v>3.033333333333334</c:v>
                </c:pt>
                <c:pt idx="6">
                  <c:v>2.626666666666666</c:v>
                </c:pt>
                <c:pt idx="7">
                  <c:v>2.566666666666666</c:v>
                </c:pt>
                <c:pt idx="8">
                  <c:v>1.406666666666666</c:v>
                </c:pt>
                <c:pt idx="9">
                  <c:v>3.38</c:v>
                </c:pt>
                <c:pt idx="10">
                  <c:v>2.603333333333333</c:v>
                </c:pt>
              </c:numCache>
            </c:numRef>
          </c:yVal>
          <c:smooth val="1"/>
        </c:ser>
        <c:axId val="488772696"/>
        <c:axId val="488765496"/>
      </c:scatterChart>
      <c:valAx>
        <c:axId val="488772696"/>
        <c:scaling>
          <c:orientation val="minMax"/>
        </c:scaling>
        <c:axPos val="b"/>
        <c:numFmt formatCode="m/d/yy" sourceLinked="1"/>
        <c:tickLblPos val="nextTo"/>
        <c:crossAx val="488765496"/>
        <c:crosses val="autoZero"/>
        <c:crossBetween val="midCat"/>
      </c:valAx>
      <c:valAx>
        <c:axId val="488765496"/>
        <c:scaling>
          <c:orientation val="minMax"/>
          <c:max val="10.0"/>
        </c:scaling>
        <c:axPos val="l"/>
        <c:majorGridlines/>
        <c:title>
          <c:tx>
            <c:rich>
              <a:bodyPr/>
              <a:lstStyle/>
              <a:p>
                <a:pPr>
                  <a:defRPr/>
                </a:pPr>
                <a:r>
                  <a:rPr lang="en-US"/>
                  <a:t>Turbidity (NTU)</a:t>
                </a:r>
              </a:p>
            </c:rich>
          </c:tx>
        </c:title>
        <c:numFmt formatCode="0.00" sourceLinked="1"/>
        <c:tickLblPos val="nextTo"/>
        <c:crossAx val="488772696"/>
        <c:crosses val="autoZero"/>
        <c:crossBetween val="midCat"/>
      </c:valAx>
    </c:plotArea>
    <c:plotVisOnly val="1"/>
  </c:chart>
</c:chartSpace>
</file>

<file path=xl/charts/chart13.xml><?xml version="1.0" encoding="utf-8"?>
<c:chartSpace xmlns:c="http://schemas.openxmlformats.org/drawingml/2006/chart" xmlns:a="http://schemas.openxmlformats.org/drawingml/2006/main" xmlns:r="http://schemas.openxmlformats.org/officeDocument/2006/relationships">
  <c:lang val="en-US"/>
  <c:style val="2"/>
  <c:chart>
    <c:title/>
    <c:plotArea>
      <c:layout/>
      <c:scatterChart>
        <c:scatterStyle val="smoothMarker"/>
        <c:ser>
          <c:idx val="0"/>
          <c:order val="0"/>
          <c:tx>
            <c:strRef>
              <c:f>'Kapalua Bay'!$F$1</c:f>
              <c:strCache>
                <c:ptCount val="1"/>
                <c:pt idx="0">
                  <c:v>Salinity (ppt)</c:v>
                </c:pt>
              </c:strCache>
            </c:strRef>
          </c:tx>
          <c:xVal>
            <c:numRef>
              <c:f>'Kapalua Bay'!$C$2:$C$12</c:f>
              <c:numCache>
                <c:formatCode>m/d/yy</c:formatCode>
                <c:ptCount val="11"/>
                <c:pt idx="0">
                  <c:v>42909.0</c:v>
                </c:pt>
                <c:pt idx="1">
                  <c:v>42930.0</c:v>
                </c:pt>
                <c:pt idx="2">
                  <c:v>42951.0</c:v>
                </c:pt>
                <c:pt idx="3">
                  <c:v>42972.0</c:v>
                </c:pt>
                <c:pt idx="4">
                  <c:v>42993.0</c:v>
                </c:pt>
                <c:pt idx="5">
                  <c:v>43014.0</c:v>
                </c:pt>
                <c:pt idx="6">
                  <c:v>43035.0</c:v>
                </c:pt>
                <c:pt idx="7">
                  <c:v>43056.0</c:v>
                </c:pt>
                <c:pt idx="8">
                  <c:v>43077.0</c:v>
                </c:pt>
                <c:pt idx="9">
                  <c:v>43091.0</c:v>
                </c:pt>
                <c:pt idx="10">
                  <c:v>43112.0</c:v>
                </c:pt>
              </c:numCache>
            </c:numRef>
          </c:xVal>
          <c:yVal>
            <c:numRef>
              <c:f>'Kapalua Bay'!$F$2:$F$12</c:f>
              <c:numCache>
                <c:formatCode>0.0</c:formatCode>
                <c:ptCount val="11"/>
                <c:pt idx="0">
                  <c:v>31.7</c:v>
                </c:pt>
                <c:pt idx="1">
                  <c:v>31.4</c:v>
                </c:pt>
                <c:pt idx="2">
                  <c:v>33.4</c:v>
                </c:pt>
                <c:pt idx="3">
                  <c:v>33.6</c:v>
                </c:pt>
                <c:pt idx="4">
                  <c:v>34.4</c:v>
                </c:pt>
                <c:pt idx="5">
                  <c:v>33.4</c:v>
                </c:pt>
                <c:pt idx="6">
                  <c:v>34.8</c:v>
                </c:pt>
                <c:pt idx="7">
                  <c:v>34.1</c:v>
                </c:pt>
                <c:pt idx="8">
                  <c:v>35.1</c:v>
                </c:pt>
                <c:pt idx="9">
                  <c:v>34.7</c:v>
                </c:pt>
                <c:pt idx="10">
                  <c:v>33.9</c:v>
                </c:pt>
              </c:numCache>
            </c:numRef>
          </c:yVal>
          <c:smooth val="1"/>
        </c:ser>
        <c:axId val="488815048"/>
        <c:axId val="488818216"/>
      </c:scatterChart>
      <c:valAx>
        <c:axId val="488815048"/>
        <c:scaling>
          <c:orientation val="minMax"/>
        </c:scaling>
        <c:axPos val="b"/>
        <c:numFmt formatCode="m/d/yy" sourceLinked="1"/>
        <c:tickLblPos val="nextTo"/>
        <c:crossAx val="488818216"/>
        <c:crosses val="autoZero"/>
        <c:crossBetween val="midCat"/>
      </c:valAx>
      <c:valAx>
        <c:axId val="488818216"/>
        <c:scaling>
          <c:orientation val="minMax"/>
          <c:max val="36.0"/>
          <c:min val="20.0"/>
        </c:scaling>
        <c:axPos val="l"/>
        <c:majorGridlines/>
        <c:numFmt formatCode="0.0" sourceLinked="1"/>
        <c:tickLblPos val="nextTo"/>
        <c:crossAx val="488815048"/>
        <c:crosses val="autoZero"/>
        <c:crossBetween val="midCat"/>
      </c:valAx>
    </c:plotArea>
    <c:plotVisOnly val="1"/>
  </c:chart>
</c:chartSpace>
</file>

<file path=xl/charts/chart14.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Kapalua Bay Nitrogen vs Silicates (RFS)</a:t>
            </a:r>
          </a:p>
        </c:rich>
      </c:tx>
    </c:title>
    <c:plotArea>
      <c:layout/>
      <c:scatterChart>
        <c:scatterStyle val="smoothMarker"/>
        <c:ser>
          <c:idx val="2"/>
          <c:order val="1"/>
          <c:tx>
            <c:strRef>
              <c:f>'Kapalua Bay'!$O$1</c:f>
              <c:strCache>
                <c:ptCount val="1"/>
                <c:pt idx="0">
                  <c:v>NNN (ug/L)</c:v>
                </c:pt>
              </c:strCache>
            </c:strRef>
          </c:tx>
          <c:spPr>
            <a:ln>
              <a:solidFill>
                <a:schemeClr val="accent1"/>
              </a:solidFill>
            </a:ln>
          </c:spPr>
          <c:marker>
            <c:spPr>
              <a:solidFill>
                <a:schemeClr val="accent1"/>
              </a:solidFill>
              <a:ln>
                <a:solidFill>
                  <a:schemeClr val="accent1"/>
                </a:solidFill>
              </a:ln>
            </c:spPr>
          </c:marker>
          <c:xVal>
            <c:numRef>
              <c:f>'Kapalua Bay'!$C$2:$C$9</c:f>
              <c:numCache>
                <c:formatCode>m/d/yy</c:formatCode>
                <c:ptCount val="8"/>
                <c:pt idx="0">
                  <c:v>42909.0</c:v>
                </c:pt>
                <c:pt idx="1">
                  <c:v>42930.0</c:v>
                </c:pt>
                <c:pt idx="2">
                  <c:v>42951.0</c:v>
                </c:pt>
                <c:pt idx="3">
                  <c:v>42972.0</c:v>
                </c:pt>
                <c:pt idx="4">
                  <c:v>42993.0</c:v>
                </c:pt>
                <c:pt idx="5">
                  <c:v>43014.0</c:v>
                </c:pt>
                <c:pt idx="6">
                  <c:v>43035.0</c:v>
                </c:pt>
                <c:pt idx="7">
                  <c:v>43056.0</c:v>
                </c:pt>
              </c:numCache>
            </c:numRef>
          </c:xVal>
          <c:yVal>
            <c:numRef>
              <c:f>'Kapalua Bay'!$O$2:$O$9</c:f>
              <c:numCache>
                <c:formatCode>0.00</c:formatCode>
                <c:ptCount val="8"/>
                <c:pt idx="0">
                  <c:v>208.3578384791906</c:v>
                </c:pt>
                <c:pt idx="1">
                  <c:v>326.8138561152895</c:v>
                </c:pt>
                <c:pt idx="2">
                  <c:v>109.8377896909963</c:v>
                </c:pt>
                <c:pt idx="3">
                  <c:v>86.83015416888652</c:v>
                </c:pt>
                <c:pt idx="4">
                  <c:v>43.29119971273263</c:v>
                </c:pt>
                <c:pt idx="5">
                  <c:v>85.8800892059879</c:v>
                </c:pt>
                <c:pt idx="6">
                  <c:v>12.12967206513175</c:v>
                </c:pt>
                <c:pt idx="7">
                  <c:v>66.4423538442559</c:v>
                </c:pt>
              </c:numCache>
            </c:numRef>
          </c:yVal>
          <c:smooth val="1"/>
        </c:ser>
        <c:axId val="488873240"/>
        <c:axId val="488867496"/>
      </c:scatterChart>
      <c:scatterChart>
        <c:scatterStyle val="smoothMarker"/>
        <c:ser>
          <c:idx val="1"/>
          <c:order val="0"/>
          <c:tx>
            <c:strRef>
              <c:f>'Kapalua Bay'!$N$1</c:f>
              <c:strCache>
                <c:ptCount val="1"/>
                <c:pt idx="0">
                  <c:v>Silicate (ug/L)</c:v>
                </c:pt>
              </c:strCache>
            </c:strRef>
          </c:tx>
          <c:xVal>
            <c:numRef>
              <c:f>'Kapalua Bay'!$C$2:$C$9</c:f>
              <c:numCache>
                <c:formatCode>m/d/yy</c:formatCode>
                <c:ptCount val="8"/>
                <c:pt idx="0">
                  <c:v>42909.0</c:v>
                </c:pt>
                <c:pt idx="1">
                  <c:v>42930.0</c:v>
                </c:pt>
                <c:pt idx="2">
                  <c:v>42951.0</c:v>
                </c:pt>
                <c:pt idx="3">
                  <c:v>42972.0</c:v>
                </c:pt>
                <c:pt idx="4">
                  <c:v>42993.0</c:v>
                </c:pt>
                <c:pt idx="5">
                  <c:v>43014.0</c:v>
                </c:pt>
                <c:pt idx="6">
                  <c:v>43035.0</c:v>
                </c:pt>
                <c:pt idx="7">
                  <c:v>43056.0</c:v>
                </c:pt>
              </c:numCache>
            </c:numRef>
          </c:xVal>
          <c:yVal>
            <c:numRef>
              <c:f>'Kapalua Bay'!$N$2:$N$9</c:f>
              <c:numCache>
                <c:formatCode>0.00</c:formatCode>
                <c:ptCount val="8"/>
                <c:pt idx="0">
                  <c:v>2095.311405320364</c:v>
                </c:pt>
                <c:pt idx="1">
                  <c:v>2740.607651622892</c:v>
                </c:pt>
                <c:pt idx="2">
                  <c:v>926.0146073734571</c:v>
                </c:pt>
                <c:pt idx="3">
                  <c:v>840.5448266145212</c:v>
                </c:pt>
                <c:pt idx="4">
                  <c:v>510.071151629339</c:v>
                </c:pt>
                <c:pt idx="5">
                  <c:v>934.6145933778242</c:v>
                </c:pt>
                <c:pt idx="6">
                  <c:v>151.8548580185515</c:v>
                </c:pt>
                <c:pt idx="7">
                  <c:v>758.324827502405</c:v>
                </c:pt>
              </c:numCache>
            </c:numRef>
          </c:yVal>
          <c:smooth val="1"/>
        </c:ser>
        <c:axId val="488892248"/>
        <c:axId val="488885896"/>
      </c:scatterChart>
      <c:valAx>
        <c:axId val="488873240"/>
        <c:scaling>
          <c:orientation val="minMax"/>
        </c:scaling>
        <c:axPos val="b"/>
        <c:numFmt formatCode="m/d/yy" sourceLinked="1"/>
        <c:tickLblPos val="nextTo"/>
        <c:crossAx val="488867496"/>
        <c:crosses val="autoZero"/>
        <c:crossBetween val="midCat"/>
      </c:valAx>
      <c:valAx>
        <c:axId val="488867496"/>
        <c:scaling>
          <c:orientation val="minMax"/>
          <c:max val="400.0"/>
        </c:scaling>
        <c:axPos val="l"/>
        <c:majorGridlines/>
        <c:title>
          <c:tx>
            <c:rich>
              <a:bodyPr/>
              <a:lstStyle/>
              <a:p>
                <a:pPr>
                  <a:defRPr/>
                </a:pPr>
                <a:r>
                  <a:rPr lang="en-US"/>
                  <a:t>Nitrate + Nitrites  (ug/L)</a:t>
                </a:r>
              </a:p>
            </c:rich>
          </c:tx>
        </c:title>
        <c:numFmt formatCode="0.00" sourceLinked="1"/>
        <c:tickLblPos val="nextTo"/>
        <c:crossAx val="488873240"/>
        <c:crosses val="autoZero"/>
        <c:crossBetween val="midCat"/>
      </c:valAx>
      <c:valAx>
        <c:axId val="488885896"/>
        <c:scaling>
          <c:orientation val="minMax"/>
        </c:scaling>
        <c:axPos val="r"/>
        <c:title>
          <c:tx>
            <c:rich>
              <a:bodyPr/>
              <a:lstStyle/>
              <a:p>
                <a:pPr>
                  <a:defRPr/>
                </a:pPr>
                <a:r>
                  <a:rPr lang="en-US"/>
                  <a:t>Silicate (ug/L)</a:t>
                </a:r>
              </a:p>
            </c:rich>
          </c:tx>
        </c:title>
        <c:numFmt formatCode="0.00" sourceLinked="1"/>
        <c:tickLblPos val="nextTo"/>
        <c:crossAx val="488892248"/>
        <c:crosses val="max"/>
        <c:crossBetween val="midCat"/>
      </c:valAx>
      <c:valAx>
        <c:axId val="488892248"/>
        <c:scaling>
          <c:orientation val="minMax"/>
        </c:scaling>
        <c:delete val="1"/>
        <c:axPos val="b"/>
        <c:numFmt formatCode="m/d/yy" sourceLinked="1"/>
        <c:tickLblPos val="nextTo"/>
        <c:crossAx val="488885896"/>
        <c:crosses val="autoZero"/>
        <c:crossBetween val="midCat"/>
      </c:valAx>
    </c:plotArea>
    <c:legend>
      <c:legendPos val="t"/>
    </c:legend>
    <c:plotVisOnly val="1"/>
  </c:chart>
</c:chartSpace>
</file>

<file path=xl/charts/chart15.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Kapalua Bay Temperature (RFS)</a:t>
            </a:r>
          </a:p>
        </c:rich>
      </c:tx>
    </c:title>
    <c:plotArea>
      <c:layout/>
      <c:scatterChart>
        <c:scatterStyle val="smoothMarker"/>
        <c:ser>
          <c:idx val="0"/>
          <c:order val="0"/>
          <c:tx>
            <c:strRef>
              <c:f>'Kapalua Bay'!$E$1</c:f>
              <c:strCache>
                <c:ptCount val="1"/>
                <c:pt idx="0">
                  <c:v>Temp (degrees C)</c:v>
                </c:pt>
              </c:strCache>
            </c:strRef>
          </c:tx>
          <c:xVal>
            <c:numRef>
              <c:f>'Kapalua Bay'!$C$2:$C$12</c:f>
              <c:numCache>
                <c:formatCode>m/d/yy</c:formatCode>
                <c:ptCount val="11"/>
                <c:pt idx="0">
                  <c:v>42909.0</c:v>
                </c:pt>
                <c:pt idx="1">
                  <c:v>42930.0</c:v>
                </c:pt>
                <c:pt idx="2">
                  <c:v>42951.0</c:v>
                </c:pt>
                <c:pt idx="3">
                  <c:v>42972.0</c:v>
                </c:pt>
                <c:pt idx="4">
                  <c:v>42993.0</c:v>
                </c:pt>
                <c:pt idx="5">
                  <c:v>43014.0</c:v>
                </c:pt>
                <c:pt idx="6">
                  <c:v>43035.0</c:v>
                </c:pt>
                <c:pt idx="7">
                  <c:v>43056.0</c:v>
                </c:pt>
                <c:pt idx="8">
                  <c:v>43077.0</c:v>
                </c:pt>
                <c:pt idx="9">
                  <c:v>43091.0</c:v>
                </c:pt>
                <c:pt idx="10">
                  <c:v>43112.0</c:v>
                </c:pt>
              </c:numCache>
            </c:numRef>
          </c:xVal>
          <c:yVal>
            <c:numRef>
              <c:f>'Kapalua Bay'!$E$2:$E$12</c:f>
              <c:numCache>
                <c:formatCode>0.0</c:formatCode>
                <c:ptCount val="11"/>
                <c:pt idx="0">
                  <c:v>26.3</c:v>
                </c:pt>
                <c:pt idx="1">
                  <c:v>27.4</c:v>
                </c:pt>
                <c:pt idx="2">
                  <c:v>27.8</c:v>
                </c:pt>
                <c:pt idx="3">
                  <c:v>27.0</c:v>
                </c:pt>
                <c:pt idx="4">
                  <c:v>28.5</c:v>
                </c:pt>
                <c:pt idx="5">
                  <c:v>26.9</c:v>
                </c:pt>
                <c:pt idx="6">
                  <c:v>26.7</c:v>
                </c:pt>
                <c:pt idx="7">
                  <c:v>26.3</c:v>
                </c:pt>
                <c:pt idx="8">
                  <c:v>25.4</c:v>
                </c:pt>
                <c:pt idx="9">
                  <c:v>24.5</c:v>
                </c:pt>
                <c:pt idx="10">
                  <c:v>24.8</c:v>
                </c:pt>
              </c:numCache>
            </c:numRef>
          </c:yVal>
          <c:smooth val="1"/>
        </c:ser>
        <c:axId val="488922120"/>
        <c:axId val="488911192"/>
      </c:scatterChart>
      <c:valAx>
        <c:axId val="488922120"/>
        <c:scaling>
          <c:orientation val="minMax"/>
        </c:scaling>
        <c:axPos val="b"/>
        <c:numFmt formatCode="m/d/yy" sourceLinked="1"/>
        <c:tickLblPos val="nextTo"/>
        <c:crossAx val="488911192"/>
        <c:crosses val="autoZero"/>
        <c:crossBetween val="midCat"/>
      </c:valAx>
      <c:valAx>
        <c:axId val="488911192"/>
        <c:scaling>
          <c:orientation val="minMax"/>
          <c:max val="29.0"/>
          <c:min val="22.0"/>
        </c:scaling>
        <c:axPos val="l"/>
        <c:majorGridlines/>
        <c:title>
          <c:tx>
            <c:rich>
              <a:bodyPr/>
              <a:lstStyle/>
              <a:p>
                <a:pPr>
                  <a:defRPr/>
                </a:pPr>
                <a:r>
                  <a:rPr lang="en-US"/>
                  <a:t>Temperature (C)</a:t>
                </a:r>
              </a:p>
            </c:rich>
          </c:tx>
        </c:title>
        <c:numFmt formatCode="0.0" sourceLinked="1"/>
        <c:tickLblPos val="nextTo"/>
        <c:crossAx val="488922120"/>
        <c:crosses val="autoZero"/>
        <c:crossBetween val="midCat"/>
      </c:valAx>
    </c:plotArea>
    <c:plotVisOnly val="1"/>
  </c:chart>
</c:chartSpace>
</file>

<file path=xl/charts/chart16.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Kapalua Bay NNN vs Silicate Correlation (RFS)</a:t>
            </a:r>
          </a:p>
        </c:rich>
      </c:tx>
    </c:title>
    <c:plotArea>
      <c:layout/>
      <c:scatterChart>
        <c:scatterStyle val="lineMarker"/>
        <c:ser>
          <c:idx val="0"/>
          <c:order val="0"/>
          <c:tx>
            <c:strRef>
              <c:f>'Kapalua Bay'!$O$1</c:f>
              <c:strCache>
                <c:ptCount val="1"/>
                <c:pt idx="0">
                  <c:v>NNN (ug/L)</c:v>
                </c:pt>
              </c:strCache>
            </c:strRef>
          </c:tx>
          <c:spPr>
            <a:ln w="28575">
              <a:noFill/>
            </a:ln>
          </c:spPr>
          <c:trendline>
            <c:trendlineType val="linear"/>
            <c:dispRSqr val="1"/>
            <c:dispEq val="1"/>
            <c:trendlineLbl>
              <c:layout>
                <c:manualLayout>
                  <c:x val="0.0771135866240755"/>
                  <c:y val="-0.131035887468918"/>
                </c:manualLayout>
              </c:layout>
              <c:numFmt formatCode="General" sourceLinked="0"/>
            </c:trendlineLbl>
          </c:trendline>
          <c:xVal>
            <c:numRef>
              <c:f>'Kapalua Bay'!$N$2:$N$9</c:f>
              <c:numCache>
                <c:formatCode>0.00</c:formatCode>
                <c:ptCount val="8"/>
                <c:pt idx="0">
                  <c:v>2095.311405320364</c:v>
                </c:pt>
                <c:pt idx="1">
                  <c:v>2740.607651622892</c:v>
                </c:pt>
                <c:pt idx="2">
                  <c:v>926.0146073734571</c:v>
                </c:pt>
                <c:pt idx="3">
                  <c:v>840.5448266145212</c:v>
                </c:pt>
                <c:pt idx="4">
                  <c:v>510.071151629339</c:v>
                </c:pt>
                <c:pt idx="5">
                  <c:v>934.6145933778242</c:v>
                </c:pt>
                <c:pt idx="6">
                  <c:v>151.8548580185515</c:v>
                </c:pt>
                <c:pt idx="7">
                  <c:v>758.324827502405</c:v>
                </c:pt>
              </c:numCache>
            </c:numRef>
          </c:xVal>
          <c:yVal>
            <c:numRef>
              <c:f>'Kapalua Bay'!$O$2:$O$9</c:f>
              <c:numCache>
                <c:formatCode>0.00</c:formatCode>
                <c:ptCount val="8"/>
                <c:pt idx="0">
                  <c:v>208.3578384791906</c:v>
                </c:pt>
                <c:pt idx="1">
                  <c:v>326.8138561152895</c:v>
                </c:pt>
                <c:pt idx="2">
                  <c:v>109.8377896909963</c:v>
                </c:pt>
                <c:pt idx="3">
                  <c:v>86.83015416888652</c:v>
                </c:pt>
                <c:pt idx="4">
                  <c:v>43.29119971273263</c:v>
                </c:pt>
                <c:pt idx="5">
                  <c:v>85.8800892059879</c:v>
                </c:pt>
                <c:pt idx="6">
                  <c:v>12.12967206513175</c:v>
                </c:pt>
                <c:pt idx="7">
                  <c:v>66.4423538442559</c:v>
                </c:pt>
              </c:numCache>
            </c:numRef>
          </c:yVal>
        </c:ser>
        <c:axId val="488963080"/>
        <c:axId val="488972152"/>
      </c:scatterChart>
      <c:valAx>
        <c:axId val="488963080"/>
        <c:scaling>
          <c:orientation val="minMax"/>
        </c:scaling>
        <c:axPos val="b"/>
        <c:title>
          <c:tx>
            <c:rich>
              <a:bodyPr/>
              <a:lstStyle/>
              <a:p>
                <a:pPr>
                  <a:defRPr/>
                </a:pPr>
                <a:r>
                  <a:rPr lang="en-US"/>
                  <a:t>Silicate (ug/L)</a:t>
                </a:r>
              </a:p>
            </c:rich>
          </c:tx>
        </c:title>
        <c:numFmt formatCode="0.00" sourceLinked="1"/>
        <c:tickLblPos val="nextTo"/>
        <c:crossAx val="488972152"/>
        <c:crosses val="autoZero"/>
        <c:crossBetween val="midCat"/>
      </c:valAx>
      <c:valAx>
        <c:axId val="488972152"/>
        <c:scaling>
          <c:orientation val="minMax"/>
        </c:scaling>
        <c:axPos val="l"/>
        <c:majorGridlines/>
        <c:title>
          <c:tx>
            <c:rich>
              <a:bodyPr/>
              <a:lstStyle/>
              <a:p>
                <a:pPr>
                  <a:defRPr/>
                </a:pPr>
                <a:r>
                  <a:rPr lang="en-US"/>
                  <a:t>NItrate + Nitrite (ug/L)</a:t>
                </a:r>
              </a:p>
            </c:rich>
          </c:tx>
        </c:title>
        <c:numFmt formatCode="0.00" sourceLinked="1"/>
        <c:tickLblPos val="nextTo"/>
        <c:crossAx val="488963080"/>
        <c:crosses val="autoZero"/>
        <c:crossBetween val="midCat"/>
      </c:valAx>
    </c:plotArea>
    <c:plotVisOnly val="1"/>
  </c:chart>
</c:chartSpace>
</file>

<file path=xl/charts/chart17.xml><?xml version="1.0" encoding="utf-8"?>
<c:chartSpace xmlns:c="http://schemas.openxmlformats.org/drawingml/2006/chart" xmlns:a="http://schemas.openxmlformats.org/drawingml/2006/main" xmlns:r="http://schemas.openxmlformats.org/officeDocument/2006/relationships">
  <c:lang val="en-US"/>
  <c:style val="2"/>
  <c:chart>
    <c:title/>
    <c:plotArea>
      <c:layout/>
      <c:scatterChart>
        <c:scatterStyle val="smoothMarker"/>
        <c:ser>
          <c:idx val="0"/>
          <c:order val="0"/>
          <c:tx>
            <c:strRef>
              <c:f>'Ka''opala Bay'!$J$1</c:f>
              <c:strCache>
                <c:ptCount val="1"/>
                <c:pt idx="0">
                  <c:v>Turbidity (NTU)</c:v>
                </c:pt>
              </c:strCache>
            </c:strRef>
          </c:tx>
          <c:xVal>
            <c:numRef>
              <c:f>'Ka''opala Bay'!$C$2:$C$12</c:f>
              <c:numCache>
                <c:formatCode>m/d/yy</c:formatCode>
                <c:ptCount val="11"/>
                <c:pt idx="0">
                  <c:v>42909.0</c:v>
                </c:pt>
                <c:pt idx="1">
                  <c:v>42930.0</c:v>
                </c:pt>
                <c:pt idx="2">
                  <c:v>42951.0</c:v>
                </c:pt>
                <c:pt idx="3">
                  <c:v>42972.0</c:v>
                </c:pt>
                <c:pt idx="4">
                  <c:v>42993.0</c:v>
                </c:pt>
                <c:pt idx="5">
                  <c:v>43014.0</c:v>
                </c:pt>
                <c:pt idx="6">
                  <c:v>43035.0</c:v>
                </c:pt>
                <c:pt idx="7">
                  <c:v>43056.0</c:v>
                </c:pt>
                <c:pt idx="8">
                  <c:v>43077.0</c:v>
                </c:pt>
                <c:pt idx="9">
                  <c:v>43091.0</c:v>
                </c:pt>
                <c:pt idx="10">
                  <c:v>43112.0</c:v>
                </c:pt>
              </c:numCache>
            </c:numRef>
          </c:xVal>
          <c:yVal>
            <c:numRef>
              <c:f>'Ka''opala Bay'!$J$2:$J$12</c:f>
              <c:numCache>
                <c:formatCode>0.00</c:formatCode>
                <c:ptCount val="11"/>
                <c:pt idx="0">
                  <c:v>8.26</c:v>
                </c:pt>
                <c:pt idx="1">
                  <c:v>1.696666666666666</c:v>
                </c:pt>
                <c:pt idx="2">
                  <c:v>4.5975</c:v>
                </c:pt>
                <c:pt idx="3">
                  <c:v>3.29</c:v>
                </c:pt>
                <c:pt idx="4">
                  <c:v>6.683333333333333</c:v>
                </c:pt>
                <c:pt idx="5">
                  <c:v>13.46666666666667</c:v>
                </c:pt>
                <c:pt idx="6">
                  <c:v>26.56666666666667</c:v>
                </c:pt>
                <c:pt idx="7">
                  <c:v>17.06666666666667</c:v>
                </c:pt>
                <c:pt idx="8">
                  <c:v>15.33333333333333</c:v>
                </c:pt>
                <c:pt idx="9">
                  <c:v>36.16666666666666</c:v>
                </c:pt>
                <c:pt idx="10">
                  <c:v>17.7</c:v>
                </c:pt>
              </c:numCache>
            </c:numRef>
          </c:yVal>
          <c:smooth val="1"/>
        </c:ser>
        <c:axId val="388527032"/>
        <c:axId val="388530216"/>
      </c:scatterChart>
      <c:valAx>
        <c:axId val="388527032"/>
        <c:scaling>
          <c:orientation val="minMax"/>
        </c:scaling>
        <c:axPos val="b"/>
        <c:numFmt formatCode="m/d/yy" sourceLinked="1"/>
        <c:tickLblPos val="nextTo"/>
        <c:crossAx val="388530216"/>
        <c:crosses val="autoZero"/>
        <c:crossBetween val="midCat"/>
      </c:valAx>
      <c:valAx>
        <c:axId val="388530216"/>
        <c:scaling>
          <c:orientation val="minMax"/>
        </c:scaling>
        <c:axPos val="l"/>
        <c:majorGridlines/>
        <c:numFmt formatCode="0.00" sourceLinked="1"/>
        <c:tickLblPos val="nextTo"/>
        <c:crossAx val="388527032"/>
        <c:crosses val="autoZero"/>
        <c:crossBetween val="midCat"/>
      </c:valAx>
    </c:plotArea>
    <c:legend>
      <c:legendPos val="r"/>
    </c:legend>
    <c:plotVisOnly val="1"/>
  </c:chart>
</c:chartSpace>
</file>

<file path=xl/charts/chart18.xml><?xml version="1.0" encoding="utf-8"?>
<c:chartSpace xmlns:c="http://schemas.openxmlformats.org/drawingml/2006/chart" xmlns:a="http://schemas.openxmlformats.org/drawingml/2006/main" xmlns:r="http://schemas.openxmlformats.org/officeDocument/2006/relationships">
  <c:lang val="en-US"/>
  <c:style val="2"/>
  <c:chart>
    <c:title/>
    <c:plotArea>
      <c:layout/>
      <c:scatterChart>
        <c:scatterStyle val="lineMarker"/>
        <c:ser>
          <c:idx val="0"/>
          <c:order val="0"/>
          <c:tx>
            <c:strRef>
              <c:f>'Ka''opala Bay'!$O$1</c:f>
              <c:strCache>
                <c:ptCount val="1"/>
                <c:pt idx="0">
                  <c:v>NNN (ug/L)</c:v>
                </c:pt>
              </c:strCache>
            </c:strRef>
          </c:tx>
          <c:spPr>
            <a:ln w="28575">
              <a:noFill/>
            </a:ln>
          </c:spPr>
          <c:trendline>
            <c:trendlineType val="linear"/>
            <c:dispRSqr val="1"/>
            <c:dispEq val="1"/>
            <c:trendlineLbl>
              <c:layout>
                <c:manualLayout>
                  <c:x val="0.229395688084435"/>
                  <c:y val="-0.163127788961102"/>
                </c:manualLayout>
              </c:layout>
              <c:numFmt formatCode="General" sourceLinked="0"/>
            </c:trendlineLbl>
          </c:trendline>
          <c:xVal>
            <c:numRef>
              <c:f>'Ka''opala Bay'!$N$2:$N$9</c:f>
              <c:numCache>
                <c:formatCode>0.00</c:formatCode>
                <c:ptCount val="8"/>
                <c:pt idx="0">
                  <c:v>948.800259405464</c:v>
                </c:pt>
                <c:pt idx="1">
                  <c:v>315.7171489637852</c:v>
                </c:pt>
                <c:pt idx="2">
                  <c:v>346.3573025210381</c:v>
                </c:pt>
                <c:pt idx="3">
                  <c:v>296.646221784929</c:v>
                </c:pt>
                <c:pt idx="4">
                  <c:v>448.8858472761223</c:v>
                </c:pt>
                <c:pt idx="5">
                  <c:v>691.3247762655626</c:v>
                </c:pt>
                <c:pt idx="6">
                  <c:v>561.3176951447277</c:v>
                </c:pt>
                <c:pt idx="7">
                  <c:v>638.7793505211767</c:v>
                </c:pt>
              </c:numCache>
            </c:numRef>
          </c:xVal>
          <c:yVal>
            <c:numRef>
              <c:f>'Ka''opala Bay'!$O$2:$O$9</c:f>
              <c:numCache>
                <c:formatCode>0.00</c:formatCode>
                <c:ptCount val="8"/>
                <c:pt idx="0">
                  <c:v>92.60564827370398</c:v>
                </c:pt>
                <c:pt idx="1">
                  <c:v>39.02259747110192</c:v>
                </c:pt>
                <c:pt idx="2">
                  <c:v>32.88487455047949</c:v>
                </c:pt>
                <c:pt idx="3">
                  <c:v>34.1849715303676</c:v>
                </c:pt>
                <c:pt idx="4">
                  <c:v>41.16254132563985</c:v>
                </c:pt>
                <c:pt idx="5">
                  <c:v>70.32683804604744</c:v>
                </c:pt>
                <c:pt idx="6">
                  <c:v>99.58544147772038</c:v>
                </c:pt>
                <c:pt idx="7">
                  <c:v>66.1185132893781</c:v>
                </c:pt>
              </c:numCache>
            </c:numRef>
          </c:yVal>
        </c:ser>
        <c:axId val="388576088"/>
        <c:axId val="388578968"/>
      </c:scatterChart>
      <c:valAx>
        <c:axId val="388576088"/>
        <c:scaling>
          <c:orientation val="minMax"/>
        </c:scaling>
        <c:axPos val="b"/>
        <c:numFmt formatCode="0.00" sourceLinked="1"/>
        <c:tickLblPos val="nextTo"/>
        <c:crossAx val="388578968"/>
        <c:crosses val="autoZero"/>
        <c:crossBetween val="midCat"/>
      </c:valAx>
      <c:valAx>
        <c:axId val="388578968"/>
        <c:scaling>
          <c:orientation val="minMax"/>
        </c:scaling>
        <c:axPos val="l"/>
        <c:majorGridlines/>
        <c:numFmt formatCode="0.00" sourceLinked="1"/>
        <c:tickLblPos val="nextTo"/>
        <c:crossAx val="388576088"/>
        <c:crosses val="autoZero"/>
        <c:crossBetween val="midCat"/>
      </c:valAx>
    </c:plotArea>
    <c:legend>
      <c:legendPos val="r"/>
    </c:legend>
    <c:plotVisOnly val="1"/>
  </c:chart>
</c:chartSpace>
</file>

<file path=xl/charts/chart19.xml><?xml version="1.0" encoding="utf-8"?>
<c:chartSpace xmlns:c="http://schemas.openxmlformats.org/drawingml/2006/chart" xmlns:a="http://schemas.openxmlformats.org/drawingml/2006/main" xmlns:r="http://schemas.openxmlformats.org/officeDocument/2006/relationships">
  <c:lang val="en-US"/>
  <c:style val="2"/>
  <c:chart>
    <c:plotArea>
      <c:layout/>
      <c:scatterChart>
        <c:scatterStyle val="smoothMarker"/>
        <c:ser>
          <c:idx val="1"/>
          <c:order val="1"/>
          <c:tx>
            <c:strRef>
              <c:f>'Ka''opala Bay'!$O$1</c:f>
              <c:strCache>
                <c:ptCount val="1"/>
                <c:pt idx="0">
                  <c:v>NNN (ug/L)</c:v>
                </c:pt>
              </c:strCache>
            </c:strRef>
          </c:tx>
          <c:xVal>
            <c:numRef>
              <c:f>'Ka''opala Bay'!$C$2:$C$9</c:f>
              <c:numCache>
                <c:formatCode>m/d/yy</c:formatCode>
                <c:ptCount val="8"/>
                <c:pt idx="0">
                  <c:v>42909.0</c:v>
                </c:pt>
                <c:pt idx="1">
                  <c:v>42930.0</c:v>
                </c:pt>
                <c:pt idx="2">
                  <c:v>42951.0</c:v>
                </c:pt>
                <c:pt idx="3">
                  <c:v>42972.0</c:v>
                </c:pt>
                <c:pt idx="4">
                  <c:v>42993.0</c:v>
                </c:pt>
                <c:pt idx="5">
                  <c:v>43014.0</c:v>
                </c:pt>
                <c:pt idx="6">
                  <c:v>43035.0</c:v>
                </c:pt>
                <c:pt idx="7">
                  <c:v>43056.0</c:v>
                </c:pt>
              </c:numCache>
            </c:numRef>
          </c:xVal>
          <c:yVal>
            <c:numRef>
              <c:f>'Ka''opala Bay'!$O$2:$O$9</c:f>
              <c:numCache>
                <c:formatCode>0.00</c:formatCode>
                <c:ptCount val="8"/>
                <c:pt idx="0">
                  <c:v>92.60564827370398</c:v>
                </c:pt>
                <c:pt idx="1">
                  <c:v>39.02259747110192</c:v>
                </c:pt>
                <c:pt idx="2">
                  <c:v>32.88487455047949</c:v>
                </c:pt>
                <c:pt idx="3">
                  <c:v>34.1849715303676</c:v>
                </c:pt>
                <c:pt idx="4">
                  <c:v>41.16254132563985</c:v>
                </c:pt>
                <c:pt idx="5">
                  <c:v>70.32683804604744</c:v>
                </c:pt>
                <c:pt idx="6">
                  <c:v>99.58544147772038</c:v>
                </c:pt>
                <c:pt idx="7">
                  <c:v>66.1185132893781</c:v>
                </c:pt>
              </c:numCache>
            </c:numRef>
          </c:yVal>
          <c:smooth val="1"/>
        </c:ser>
        <c:axId val="388616712"/>
        <c:axId val="388619800"/>
      </c:scatterChart>
      <c:scatterChart>
        <c:scatterStyle val="smoothMarker"/>
        <c:ser>
          <c:idx val="0"/>
          <c:order val="0"/>
          <c:tx>
            <c:strRef>
              <c:f>'Ka''opala Bay'!$N$1</c:f>
              <c:strCache>
                <c:ptCount val="1"/>
                <c:pt idx="0">
                  <c:v>Silicate (ug/L)</c:v>
                </c:pt>
              </c:strCache>
            </c:strRef>
          </c:tx>
          <c:xVal>
            <c:numRef>
              <c:f>'Ka''opala Bay'!$C$2:$C$9</c:f>
              <c:numCache>
                <c:formatCode>m/d/yy</c:formatCode>
                <c:ptCount val="8"/>
                <c:pt idx="0">
                  <c:v>42909.0</c:v>
                </c:pt>
                <c:pt idx="1">
                  <c:v>42930.0</c:v>
                </c:pt>
                <c:pt idx="2">
                  <c:v>42951.0</c:v>
                </c:pt>
                <c:pt idx="3">
                  <c:v>42972.0</c:v>
                </c:pt>
                <c:pt idx="4">
                  <c:v>42993.0</c:v>
                </c:pt>
                <c:pt idx="5">
                  <c:v>43014.0</c:v>
                </c:pt>
                <c:pt idx="6">
                  <c:v>43035.0</c:v>
                </c:pt>
                <c:pt idx="7">
                  <c:v>43056.0</c:v>
                </c:pt>
              </c:numCache>
            </c:numRef>
          </c:xVal>
          <c:yVal>
            <c:numRef>
              <c:f>'Ka''opala Bay'!$N$2:$N$9</c:f>
              <c:numCache>
                <c:formatCode>0.00</c:formatCode>
                <c:ptCount val="8"/>
                <c:pt idx="0">
                  <c:v>948.800259405464</c:v>
                </c:pt>
                <c:pt idx="1">
                  <c:v>315.7171489637852</c:v>
                </c:pt>
                <c:pt idx="2">
                  <c:v>346.3573025210381</c:v>
                </c:pt>
                <c:pt idx="3">
                  <c:v>296.646221784929</c:v>
                </c:pt>
                <c:pt idx="4">
                  <c:v>448.8858472761223</c:v>
                </c:pt>
                <c:pt idx="5">
                  <c:v>691.3247762655626</c:v>
                </c:pt>
                <c:pt idx="6">
                  <c:v>561.3176951447277</c:v>
                </c:pt>
                <c:pt idx="7">
                  <c:v>638.7793505211767</c:v>
                </c:pt>
              </c:numCache>
            </c:numRef>
          </c:yVal>
          <c:smooth val="1"/>
        </c:ser>
        <c:axId val="388626232"/>
        <c:axId val="388622952"/>
      </c:scatterChart>
      <c:valAx>
        <c:axId val="388616712"/>
        <c:scaling>
          <c:orientation val="minMax"/>
        </c:scaling>
        <c:axPos val="b"/>
        <c:numFmt formatCode="m/d/yy" sourceLinked="1"/>
        <c:tickLblPos val="nextTo"/>
        <c:crossAx val="388619800"/>
        <c:crosses val="autoZero"/>
        <c:crossBetween val="midCat"/>
      </c:valAx>
      <c:valAx>
        <c:axId val="388619800"/>
        <c:scaling>
          <c:orientation val="minMax"/>
        </c:scaling>
        <c:axPos val="l"/>
        <c:majorGridlines/>
        <c:numFmt formatCode="0.00" sourceLinked="1"/>
        <c:tickLblPos val="nextTo"/>
        <c:crossAx val="388616712"/>
        <c:crosses val="autoZero"/>
        <c:crossBetween val="midCat"/>
      </c:valAx>
      <c:valAx>
        <c:axId val="388622952"/>
        <c:scaling>
          <c:orientation val="minMax"/>
        </c:scaling>
        <c:axPos val="r"/>
        <c:numFmt formatCode="0.00" sourceLinked="1"/>
        <c:tickLblPos val="nextTo"/>
        <c:crossAx val="388626232"/>
        <c:crosses val="max"/>
        <c:crossBetween val="midCat"/>
      </c:valAx>
      <c:valAx>
        <c:axId val="388626232"/>
        <c:scaling>
          <c:orientation val="minMax"/>
        </c:scaling>
        <c:delete val="1"/>
        <c:axPos val="b"/>
        <c:numFmt formatCode="m/d/yy" sourceLinked="1"/>
        <c:tickLblPos val="nextTo"/>
        <c:crossAx val="388622952"/>
        <c:crosses val="autoZero"/>
        <c:crossBetween val="midCat"/>
      </c:valAx>
    </c:plotArea>
    <c:legend>
      <c:legendPos val="r"/>
    </c:legend>
    <c:plotVisOnly val="1"/>
  </c:chart>
</c:chartSpace>
</file>

<file path=xl/charts/chart2.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Turbidity - Honolua Bay (RHL)</a:t>
            </a:r>
          </a:p>
        </c:rich>
      </c:tx>
    </c:title>
    <c:plotArea>
      <c:layout/>
      <c:scatterChart>
        <c:scatterStyle val="smoothMarker"/>
        <c:ser>
          <c:idx val="0"/>
          <c:order val="0"/>
          <c:tx>
            <c:strRef>
              <c:f>Honolua!$J$1</c:f>
              <c:strCache>
                <c:ptCount val="1"/>
                <c:pt idx="0">
                  <c:v>Turbidity (NTU)</c:v>
                </c:pt>
              </c:strCache>
            </c:strRef>
          </c:tx>
          <c:xVal>
            <c:numRef>
              <c:f>Honolua!$C$2:$C$12</c:f>
              <c:numCache>
                <c:formatCode>m/d/yy</c:formatCode>
                <c:ptCount val="11"/>
                <c:pt idx="0">
                  <c:v>42909.0</c:v>
                </c:pt>
                <c:pt idx="1">
                  <c:v>42930.0</c:v>
                </c:pt>
                <c:pt idx="2">
                  <c:v>42951.0</c:v>
                </c:pt>
                <c:pt idx="3">
                  <c:v>42972.0</c:v>
                </c:pt>
                <c:pt idx="4">
                  <c:v>42993.0</c:v>
                </c:pt>
                <c:pt idx="5">
                  <c:v>43014.0</c:v>
                </c:pt>
                <c:pt idx="6">
                  <c:v>43035.0</c:v>
                </c:pt>
                <c:pt idx="7">
                  <c:v>43056.0</c:v>
                </c:pt>
                <c:pt idx="8">
                  <c:v>43077.0</c:v>
                </c:pt>
                <c:pt idx="9">
                  <c:v>43091.0</c:v>
                </c:pt>
                <c:pt idx="10">
                  <c:v>43112.0</c:v>
                </c:pt>
              </c:numCache>
            </c:numRef>
          </c:xVal>
          <c:yVal>
            <c:numRef>
              <c:f>Honolua!$J$2:$J$12</c:f>
              <c:numCache>
                <c:formatCode>0.00</c:formatCode>
                <c:ptCount val="11"/>
                <c:pt idx="0">
                  <c:v>0.933333333333333</c:v>
                </c:pt>
                <c:pt idx="1">
                  <c:v>0.633333333333333</c:v>
                </c:pt>
                <c:pt idx="2">
                  <c:v>1.25</c:v>
                </c:pt>
                <c:pt idx="3">
                  <c:v>1.29</c:v>
                </c:pt>
                <c:pt idx="4">
                  <c:v>6.456666666666666</c:v>
                </c:pt>
                <c:pt idx="5">
                  <c:v>38.53333333333333</c:v>
                </c:pt>
                <c:pt idx="6">
                  <c:v>159.3333333333333</c:v>
                </c:pt>
                <c:pt idx="7">
                  <c:v>21.16666666666667</c:v>
                </c:pt>
                <c:pt idx="8">
                  <c:v>25.86666666666666</c:v>
                </c:pt>
                <c:pt idx="9">
                  <c:v>20.83333333333333</c:v>
                </c:pt>
                <c:pt idx="10">
                  <c:v>64.56666666666666</c:v>
                </c:pt>
              </c:numCache>
            </c:numRef>
          </c:yVal>
          <c:smooth val="1"/>
        </c:ser>
        <c:axId val="388333176"/>
        <c:axId val="388331128"/>
      </c:scatterChart>
      <c:valAx>
        <c:axId val="388333176"/>
        <c:scaling>
          <c:orientation val="minMax"/>
        </c:scaling>
        <c:axPos val="b"/>
        <c:numFmt formatCode="m/d/yy" sourceLinked="1"/>
        <c:tickLblPos val="nextTo"/>
        <c:crossAx val="388331128"/>
        <c:crosses val="autoZero"/>
        <c:crossBetween val="midCat"/>
      </c:valAx>
      <c:valAx>
        <c:axId val="388331128"/>
        <c:scaling>
          <c:orientation val="minMax"/>
        </c:scaling>
        <c:axPos val="l"/>
        <c:majorGridlines/>
        <c:title>
          <c:tx>
            <c:rich>
              <a:bodyPr/>
              <a:lstStyle/>
              <a:p>
                <a:pPr>
                  <a:defRPr/>
                </a:pPr>
                <a:r>
                  <a:rPr lang="en-US"/>
                  <a:t>Turbidity (NTU)</a:t>
                </a:r>
              </a:p>
            </c:rich>
          </c:tx>
        </c:title>
        <c:numFmt formatCode="0.00" sourceLinked="1"/>
        <c:tickLblPos val="nextTo"/>
        <c:crossAx val="388333176"/>
        <c:crosses val="autoZero"/>
        <c:crossBetween val="midCat"/>
      </c:valAx>
    </c:plotArea>
    <c:plotVisOnly val="1"/>
  </c:chart>
</c:chartSpace>
</file>

<file path=xl/charts/chart20.xml><?xml version="1.0" encoding="utf-8"?>
<c:chartSpace xmlns:c="http://schemas.openxmlformats.org/drawingml/2006/chart" xmlns:a="http://schemas.openxmlformats.org/drawingml/2006/main" xmlns:r="http://schemas.openxmlformats.org/officeDocument/2006/relationships">
  <c:lang val="en-US"/>
  <c:style val="2"/>
  <c:chart>
    <c:title/>
    <c:plotArea>
      <c:layout/>
      <c:scatterChart>
        <c:scatterStyle val="smoothMarker"/>
        <c:ser>
          <c:idx val="0"/>
          <c:order val="0"/>
          <c:tx>
            <c:strRef>
              <c:f>'Ka''opala Bay'!$F$1</c:f>
              <c:strCache>
                <c:ptCount val="1"/>
                <c:pt idx="0">
                  <c:v>Salinity (ppt)</c:v>
                </c:pt>
              </c:strCache>
            </c:strRef>
          </c:tx>
          <c:xVal>
            <c:numRef>
              <c:f>'Ka''opala Bay'!$C$2:$C$12</c:f>
              <c:numCache>
                <c:formatCode>m/d/yy</c:formatCode>
                <c:ptCount val="11"/>
                <c:pt idx="0">
                  <c:v>42909.0</c:v>
                </c:pt>
                <c:pt idx="1">
                  <c:v>42930.0</c:v>
                </c:pt>
                <c:pt idx="2">
                  <c:v>42951.0</c:v>
                </c:pt>
                <c:pt idx="3">
                  <c:v>42972.0</c:v>
                </c:pt>
                <c:pt idx="4">
                  <c:v>42993.0</c:v>
                </c:pt>
                <c:pt idx="5">
                  <c:v>43014.0</c:v>
                </c:pt>
                <c:pt idx="6">
                  <c:v>43035.0</c:v>
                </c:pt>
                <c:pt idx="7">
                  <c:v>43056.0</c:v>
                </c:pt>
                <c:pt idx="8">
                  <c:v>43077.0</c:v>
                </c:pt>
                <c:pt idx="9">
                  <c:v>43091.0</c:v>
                </c:pt>
                <c:pt idx="10">
                  <c:v>43112.0</c:v>
                </c:pt>
              </c:numCache>
            </c:numRef>
          </c:xVal>
          <c:yVal>
            <c:numRef>
              <c:f>'Ka''opala Bay'!$F$2:$F$12</c:f>
              <c:numCache>
                <c:formatCode>0.0</c:formatCode>
                <c:ptCount val="11"/>
                <c:pt idx="0">
                  <c:v>33.1</c:v>
                </c:pt>
                <c:pt idx="1">
                  <c:v>34.3</c:v>
                </c:pt>
                <c:pt idx="2">
                  <c:v>34.0</c:v>
                </c:pt>
                <c:pt idx="3">
                  <c:v>34.9</c:v>
                </c:pt>
                <c:pt idx="4">
                  <c:v>34.5</c:v>
                </c:pt>
                <c:pt idx="5">
                  <c:v>33.7</c:v>
                </c:pt>
                <c:pt idx="6">
                  <c:v>34.3</c:v>
                </c:pt>
                <c:pt idx="7">
                  <c:v>34.0</c:v>
                </c:pt>
                <c:pt idx="8">
                  <c:v>34.6</c:v>
                </c:pt>
                <c:pt idx="9">
                  <c:v>33.9</c:v>
                </c:pt>
                <c:pt idx="10">
                  <c:v>33.8</c:v>
                </c:pt>
              </c:numCache>
            </c:numRef>
          </c:yVal>
          <c:smooth val="1"/>
        </c:ser>
        <c:axId val="474810152"/>
        <c:axId val="474813320"/>
      </c:scatterChart>
      <c:valAx>
        <c:axId val="474810152"/>
        <c:scaling>
          <c:orientation val="minMax"/>
        </c:scaling>
        <c:axPos val="b"/>
        <c:numFmt formatCode="m/d/yy" sourceLinked="1"/>
        <c:tickLblPos val="nextTo"/>
        <c:crossAx val="474813320"/>
        <c:crosses val="autoZero"/>
        <c:crossBetween val="midCat"/>
      </c:valAx>
      <c:valAx>
        <c:axId val="474813320"/>
        <c:scaling>
          <c:orientation val="minMax"/>
        </c:scaling>
        <c:axPos val="l"/>
        <c:majorGridlines/>
        <c:numFmt formatCode="0.0" sourceLinked="1"/>
        <c:tickLblPos val="nextTo"/>
        <c:crossAx val="474810152"/>
        <c:crosses val="autoZero"/>
        <c:crossBetween val="midCat"/>
      </c:valAx>
    </c:plotArea>
    <c:plotVisOnly val="1"/>
  </c:chart>
</c:chartSpace>
</file>

<file path=xl/charts/chart3.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Honolua Bay Temperature (RHL)</a:t>
            </a:r>
          </a:p>
        </c:rich>
      </c:tx>
    </c:title>
    <c:plotArea>
      <c:layout/>
      <c:scatterChart>
        <c:scatterStyle val="smoothMarker"/>
        <c:ser>
          <c:idx val="0"/>
          <c:order val="0"/>
          <c:tx>
            <c:strRef>
              <c:f>Honolua!$E$1</c:f>
              <c:strCache>
                <c:ptCount val="1"/>
                <c:pt idx="0">
                  <c:v>Temp (degrees C)</c:v>
                </c:pt>
              </c:strCache>
            </c:strRef>
          </c:tx>
          <c:xVal>
            <c:numRef>
              <c:f>Honolua!$C$2:$C$12</c:f>
              <c:numCache>
                <c:formatCode>m/d/yy</c:formatCode>
                <c:ptCount val="11"/>
                <c:pt idx="0">
                  <c:v>42909.0</c:v>
                </c:pt>
                <c:pt idx="1">
                  <c:v>42930.0</c:v>
                </c:pt>
                <c:pt idx="2">
                  <c:v>42951.0</c:v>
                </c:pt>
                <c:pt idx="3">
                  <c:v>42972.0</c:v>
                </c:pt>
                <c:pt idx="4">
                  <c:v>42993.0</c:v>
                </c:pt>
                <c:pt idx="5">
                  <c:v>43014.0</c:v>
                </c:pt>
                <c:pt idx="6">
                  <c:v>43035.0</c:v>
                </c:pt>
                <c:pt idx="7">
                  <c:v>43056.0</c:v>
                </c:pt>
                <c:pt idx="8">
                  <c:v>43077.0</c:v>
                </c:pt>
                <c:pt idx="9">
                  <c:v>43091.0</c:v>
                </c:pt>
                <c:pt idx="10">
                  <c:v>43112.0</c:v>
                </c:pt>
              </c:numCache>
            </c:numRef>
          </c:xVal>
          <c:yVal>
            <c:numRef>
              <c:f>Honolua!$E$2:$E$12</c:f>
              <c:numCache>
                <c:formatCode>0.0</c:formatCode>
                <c:ptCount val="11"/>
                <c:pt idx="0">
                  <c:v>25.5</c:v>
                </c:pt>
                <c:pt idx="1">
                  <c:v>26.4</c:v>
                </c:pt>
                <c:pt idx="2">
                  <c:v>26.7</c:v>
                </c:pt>
                <c:pt idx="3">
                  <c:v>25.6</c:v>
                </c:pt>
                <c:pt idx="4">
                  <c:v>26.9</c:v>
                </c:pt>
                <c:pt idx="5">
                  <c:v>25.3</c:v>
                </c:pt>
                <c:pt idx="6">
                  <c:v>25.4</c:v>
                </c:pt>
                <c:pt idx="7">
                  <c:v>24.3</c:v>
                </c:pt>
                <c:pt idx="8">
                  <c:v>23.2</c:v>
                </c:pt>
                <c:pt idx="9">
                  <c:v>22.6</c:v>
                </c:pt>
                <c:pt idx="10">
                  <c:v>22.8</c:v>
                </c:pt>
              </c:numCache>
            </c:numRef>
          </c:yVal>
          <c:smooth val="1"/>
        </c:ser>
        <c:axId val="388273944"/>
        <c:axId val="388281528"/>
      </c:scatterChart>
      <c:valAx>
        <c:axId val="388273944"/>
        <c:scaling>
          <c:orientation val="minMax"/>
        </c:scaling>
        <c:axPos val="b"/>
        <c:numFmt formatCode="m/d/yy" sourceLinked="1"/>
        <c:tickLblPos val="nextTo"/>
        <c:crossAx val="388281528"/>
        <c:crosses val="autoZero"/>
        <c:crossBetween val="midCat"/>
      </c:valAx>
      <c:valAx>
        <c:axId val="388281528"/>
        <c:scaling>
          <c:orientation val="minMax"/>
          <c:max val="29.0"/>
          <c:min val="22.0"/>
        </c:scaling>
        <c:axPos val="l"/>
        <c:majorGridlines/>
        <c:title>
          <c:tx>
            <c:rich>
              <a:bodyPr/>
              <a:lstStyle/>
              <a:p>
                <a:pPr>
                  <a:defRPr/>
                </a:pPr>
                <a:r>
                  <a:rPr lang="en-US"/>
                  <a:t>Temperature (C)</a:t>
                </a:r>
              </a:p>
            </c:rich>
          </c:tx>
        </c:title>
        <c:numFmt formatCode="0.0" sourceLinked="1"/>
        <c:tickLblPos val="nextTo"/>
        <c:crossAx val="388273944"/>
        <c:crosses val="autoZero"/>
        <c:crossBetween val="midCat"/>
      </c:valAx>
    </c:plotArea>
    <c:plotVisOnly val="1"/>
  </c:chart>
</c:chartSpace>
</file>

<file path=xl/charts/chart4.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Honolua Bay Salinity (RHL)</a:t>
            </a:r>
          </a:p>
        </c:rich>
      </c:tx>
    </c:title>
    <c:plotArea>
      <c:layout/>
      <c:scatterChart>
        <c:scatterStyle val="smoothMarker"/>
        <c:ser>
          <c:idx val="0"/>
          <c:order val="0"/>
          <c:tx>
            <c:strRef>
              <c:f>Honolua!$F$1</c:f>
              <c:strCache>
                <c:ptCount val="1"/>
                <c:pt idx="0">
                  <c:v>Salinity (ppt)</c:v>
                </c:pt>
              </c:strCache>
            </c:strRef>
          </c:tx>
          <c:xVal>
            <c:numRef>
              <c:f>Honolua!$C$2:$C$12</c:f>
              <c:numCache>
                <c:formatCode>m/d/yy</c:formatCode>
                <c:ptCount val="11"/>
                <c:pt idx="0">
                  <c:v>42909.0</c:v>
                </c:pt>
                <c:pt idx="1">
                  <c:v>42930.0</c:v>
                </c:pt>
                <c:pt idx="2">
                  <c:v>42951.0</c:v>
                </c:pt>
                <c:pt idx="3">
                  <c:v>42972.0</c:v>
                </c:pt>
                <c:pt idx="4">
                  <c:v>42993.0</c:v>
                </c:pt>
                <c:pt idx="5">
                  <c:v>43014.0</c:v>
                </c:pt>
                <c:pt idx="6">
                  <c:v>43035.0</c:v>
                </c:pt>
                <c:pt idx="7">
                  <c:v>43056.0</c:v>
                </c:pt>
                <c:pt idx="8">
                  <c:v>43077.0</c:v>
                </c:pt>
                <c:pt idx="9">
                  <c:v>43091.0</c:v>
                </c:pt>
                <c:pt idx="10">
                  <c:v>43112.0</c:v>
                </c:pt>
              </c:numCache>
            </c:numRef>
          </c:xVal>
          <c:yVal>
            <c:numRef>
              <c:f>Honolua!$F$2:$F$12</c:f>
              <c:numCache>
                <c:formatCode>0.0</c:formatCode>
                <c:ptCount val="11"/>
                <c:pt idx="0">
                  <c:v>33.3</c:v>
                </c:pt>
                <c:pt idx="1">
                  <c:v>33.8</c:v>
                </c:pt>
                <c:pt idx="2">
                  <c:v>33.5</c:v>
                </c:pt>
                <c:pt idx="3">
                  <c:v>34.6</c:v>
                </c:pt>
                <c:pt idx="4">
                  <c:v>34.1</c:v>
                </c:pt>
                <c:pt idx="5">
                  <c:v>33.7</c:v>
                </c:pt>
                <c:pt idx="6">
                  <c:v>33.0</c:v>
                </c:pt>
                <c:pt idx="7">
                  <c:v>30.6</c:v>
                </c:pt>
                <c:pt idx="8">
                  <c:v>34.5</c:v>
                </c:pt>
                <c:pt idx="9">
                  <c:v>28.5</c:v>
                </c:pt>
                <c:pt idx="10">
                  <c:v>33.1</c:v>
                </c:pt>
              </c:numCache>
            </c:numRef>
          </c:yVal>
          <c:smooth val="1"/>
        </c:ser>
        <c:axId val="388457176"/>
        <c:axId val="388446232"/>
      </c:scatterChart>
      <c:valAx>
        <c:axId val="388457176"/>
        <c:scaling>
          <c:orientation val="minMax"/>
        </c:scaling>
        <c:axPos val="b"/>
        <c:numFmt formatCode="m/d/yy" sourceLinked="1"/>
        <c:tickLblPos val="nextTo"/>
        <c:crossAx val="388446232"/>
        <c:crosses val="autoZero"/>
        <c:crossBetween val="midCat"/>
      </c:valAx>
      <c:valAx>
        <c:axId val="388446232"/>
        <c:scaling>
          <c:orientation val="minMax"/>
          <c:min val="20.0"/>
        </c:scaling>
        <c:axPos val="l"/>
        <c:majorGridlines/>
        <c:title>
          <c:tx>
            <c:rich>
              <a:bodyPr/>
              <a:lstStyle/>
              <a:p>
                <a:pPr>
                  <a:defRPr/>
                </a:pPr>
                <a:r>
                  <a:rPr lang="en-US"/>
                  <a:t>Salinity (ppt)</a:t>
                </a:r>
              </a:p>
            </c:rich>
          </c:tx>
        </c:title>
        <c:numFmt formatCode="0.0" sourceLinked="1"/>
        <c:tickLblPos val="nextTo"/>
        <c:crossAx val="388457176"/>
        <c:crosses val="autoZero"/>
        <c:crossBetween val="midCat"/>
      </c:valAx>
    </c:plotArea>
    <c:plotVisOnly val="1"/>
  </c:chart>
</c:chartSpace>
</file>

<file path=xl/charts/chart5.xml><?xml version="1.0" encoding="utf-8"?>
<c:chartSpace xmlns:c="http://schemas.openxmlformats.org/drawingml/2006/chart" xmlns:a="http://schemas.openxmlformats.org/drawingml/2006/main" xmlns:r="http://schemas.openxmlformats.org/officeDocument/2006/relationships">
  <c:lang val="en-US"/>
  <c:style val="2"/>
  <c:chart>
    <c:title/>
    <c:plotArea>
      <c:layout/>
      <c:scatterChart>
        <c:scatterStyle val="smoothMarker"/>
        <c:ser>
          <c:idx val="0"/>
          <c:order val="0"/>
          <c:tx>
            <c:strRef>
              <c:f>Honokahua!$I$1</c:f>
              <c:strCache>
                <c:ptCount val="1"/>
                <c:pt idx="0">
                  <c:v>pH</c:v>
                </c:pt>
              </c:strCache>
            </c:strRef>
          </c:tx>
          <c:xVal>
            <c:numRef>
              <c:f>Honokahua!$C$2:$C$12</c:f>
              <c:numCache>
                <c:formatCode>m/d/yy</c:formatCode>
                <c:ptCount val="11"/>
                <c:pt idx="0">
                  <c:v>42909.0</c:v>
                </c:pt>
                <c:pt idx="1">
                  <c:v>42930.0</c:v>
                </c:pt>
                <c:pt idx="2">
                  <c:v>42951.0</c:v>
                </c:pt>
                <c:pt idx="3">
                  <c:v>42972.0</c:v>
                </c:pt>
                <c:pt idx="4">
                  <c:v>42993.0</c:v>
                </c:pt>
                <c:pt idx="5">
                  <c:v>43014.0</c:v>
                </c:pt>
                <c:pt idx="6">
                  <c:v>43035.0</c:v>
                </c:pt>
                <c:pt idx="7">
                  <c:v>43056.0</c:v>
                </c:pt>
                <c:pt idx="8">
                  <c:v>43077.0</c:v>
                </c:pt>
                <c:pt idx="9">
                  <c:v>43091.0</c:v>
                </c:pt>
                <c:pt idx="10">
                  <c:v>43112.0</c:v>
                </c:pt>
              </c:numCache>
            </c:numRef>
          </c:xVal>
          <c:yVal>
            <c:numRef>
              <c:f>Honokahua!$I$2:$I$12</c:f>
              <c:numCache>
                <c:formatCode>0.00</c:formatCode>
                <c:ptCount val="11"/>
                <c:pt idx="0">
                  <c:v>8.130000000000001</c:v>
                </c:pt>
                <c:pt idx="1">
                  <c:v>8.15</c:v>
                </c:pt>
                <c:pt idx="2">
                  <c:v>8.17</c:v>
                </c:pt>
                <c:pt idx="3">
                  <c:v>8.12</c:v>
                </c:pt>
                <c:pt idx="4">
                  <c:v>8.16</c:v>
                </c:pt>
                <c:pt idx="5">
                  <c:v>8.16</c:v>
                </c:pt>
                <c:pt idx="6">
                  <c:v>8.17</c:v>
                </c:pt>
                <c:pt idx="7">
                  <c:v>8.15</c:v>
                </c:pt>
                <c:pt idx="8">
                  <c:v>8.18</c:v>
                </c:pt>
                <c:pt idx="9">
                  <c:v>8.17</c:v>
                </c:pt>
                <c:pt idx="10">
                  <c:v>8.16</c:v>
                </c:pt>
              </c:numCache>
            </c:numRef>
          </c:yVal>
          <c:smooth val="1"/>
        </c:ser>
        <c:axId val="351614120"/>
        <c:axId val="351617288"/>
      </c:scatterChart>
      <c:valAx>
        <c:axId val="351614120"/>
        <c:scaling>
          <c:orientation val="minMax"/>
        </c:scaling>
        <c:axPos val="b"/>
        <c:numFmt formatCode="m/d/yy" sourceLinked="1"/>
        <c:tickLblPos val="nextTo"/>
        <c:crossAx val="351617288"/>
        <c:crosses val="autoZero"/>
        <c:crossBetween val="midCat"/>
      </c:valAx>
      <c:valAx>
        <c:axId val="351617288"/>
        <c:scaling>
          <c:orientation val="minMax"/>
          <c:max val="8.3"/>
          <c:min val="7.7"/>
        </c:scaling>
        <c:axPos val="l"/>
        <c:majorGridlines/>
        <c:numFmt formatCode="0.00" sourceLinked="1"/>
        <c:tickLblPos val="nextTo"/>
        <c:crossAx val="351614120"/>
        <c:crosses val="autoZero"/>
        <c:crossBetween val="midCat"/>
      </c:valAx>
    </c:plotArea>
    <c:plotVisOnly val="1"/>
  </c:chart>
</c:chartSpace>
</file>

<file path=xl/charts/chart6.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Honokahua Bay Turbidity (RFN)</a:t>
            </a:r>
          </a:p>
        </c:rich>
      </c:tx>
    </c:title>
    <c:plotArea>
      <c:layout/>
      <c:scatterChart>
        <c:scatterStyle val="smoothMarker"/>
        <c:ser>
          <c:idx val="0"/>
          <c:order val="0"/>
          <c:tx>
            <c:strRef>
              <c:f>Honokahua!$J$1</c:f>
              <c:strCache>
                <c:ptCount val="1"/>
                <c:pt idx="0">
                  <c:v>Turbidity (NTU)</c:v>
                </c:pt>
              </c:strCache>
            </c:strRef>
          </c:tx>
          <c:xVal>
            <c:numRef>
              <c:f>Honokahua!$C$2:$C$12</c:f>
              <c:numCache>
                <c:formatCode>m/d/yy</c:formatCode>
                <c:ptCount val="11"/>
                <c:pt idx="0">
                  <c:v>42909.0</c:v>
                </c:pt>
                <c:pt idx="1">
                  <c:v>42930.0</c:v>
                </c:pt>
                <c:pt idx="2">
                  <c:v>42951.0</c:v>
                </c:pt>
                <c:pt idx="3">
                  <c:v>42972.0</c:v>
                </c:pt>
                <c:pt idx="4">
                  <c:v>42993.0</c:v>
                </c:pt>
                <c:pt idx="5">
                  <c:v>43014.0</c:v>
                </c:pt>
                <c:pt idx="6">
                  <c:v>43035.0</c:v>
                </c:pt>
                <c:pt idx="7">
                  <c:v>43056.0</c:v>
                </c:pt>
                <c:pt idx="8">
                  <c:v>43077.0</c:v>
                </c:pt>
                <c:pt idx="9">
                  <c:v>43091.0</c:v>
                </c:pt>
                <c:pt idx="10">
                  <c:v>43112.0</c:v>
                </c:pt>
              </c:numCache>
            </c:numRef>
          </c:xVal>
          <c:yVal>
            <c:numRef>
              <c:f>Honokahua!$J$2:$J$12</c:f>
              <c:numCache>
                <c:formatCode>0.00</c:formatCode>
                <c:ptCount val="11"/>
                <c:pt idx="0">
                  <c:v>1.396666666666667</c:v>
                </c:pt>
                <c:pt idx="1">
                  <c:v>1.536666666666666</c:v>
                </c:pt>
                <c:pt idx="2">
                  <c:v>2.89</c:v>
                </c:pt>
                <c:pt idx="3">
                  <c:v>1.183333333333333</c:v>
                </c:pt>
                <c:pt idx="4">
                  <c:v>0.956666666666667</c:v>
                </c:pt>
                <c:pt idx="5">
                  <c:v>2.243333333333333</c:v>
                </c:pt>
                <c:pt idx="6">
                  <c:v>3.476666666666667</c:v>
                </c:pt>
                <c:pt idx="7">
                  <c:v>1.583333333333333</c:v>
                </c:pt>
                <c:pt idx="8">
                  <c:v>1.553333333333333</c:v>
                </c:pt>
                <c:pt idx="9">
                  <c:v>7.393333333333333</c:v>
                </c:pt>
                <c:pt idx="10">
                  <c:v>3.796666666666667</c:v>
                </c:pt>
              </c:numCache>
            </c:numRef>
          </c:yVal>
          <c:smooth val="1"/>
        </c:ser>
        <c:axId val="351838360"/>
        <c:axId val="351831080"/>
      </c:scatterChart>
      <c:valAx>
        <c:axId val="351838360"/>
        <c:scaling>
          <c:orientation val="minMax"/>
        </c:scaling>
        <c:axPos val="b"/>
        <c:numFmt formatCode="m/d/yy" sourceLinked="1"/>
        <c:tickLblPos val="nextTo"/>
        <c:crossAx val="351831080"/>
        <c:crosses val="autoZero"/>
        <c:crossBetween val="midCat"/>
      </c:valAx>
      <c:valAx>
        <c:axId val="351831080"/>
        <c:scaling>
          <c:orientation val="minMax"/>
          <c:max val="10.0"/>
        </c:scaling>
        <c:axPos val="l"/>
        <c:majorGridlines/>
        <c:title>
          <c:tx>
            <c:rich>
              <a:bodyPr/>
              <a:lstStyle/>
              <a:p>
                <a:pPr>
                  <a:defRPr/>
                </a:pPr>
                <a:r>
                  <a:rPr lang="en-US"/>
                  <a:t>Turbidity (NTU)</a:t>
                </a:r>
              </a:p>
            </c:rich>
          </c:tx>
        </c:title>
        <c:numFmt formatCode="0.00" sourceLinked="1"/>
        <c:tickLblPos val="nextTo"/>
        <c:crossAx val="351838360"/>
        <c:crosses val="autoZero"/>
        <c:crossBetween val="midCat"/>
      </c:valAx>
    </c:plotArea>
    <c:plotVisOnly val="1"/>
  </c:chart>
</c:chartSpace>
</file>

<file path=xl/charts/chart7.xml><?xml version="1.0" encoding="utf-8"?>
<c:chartSpace xmlns:c="http://schemas.openxmlformats.org/drawingml/2006/chart" xmlns:a="http://schemas.openxmlformats.org/drawingml/2006/main" xmlns:r="http://schemas.openxmlformats.org/officeDocument/2006/relationships">
  <c:lang val="en-US"/>
  <c:style val="2"/>
  <c:chart>
    <c:title/>
    <c:plotArea>
      <c:layout/>
      <c:scatterChart>
        <c:scatterStyle val="smoothMarker"/>
        <c:ser>
          <c:idx val="0"/>
          <c:order val="0"/>
          <c:tx>
            <c:strRef>
              <c:f>Honokahua!$F$1</c:f>
              <c:strCache>
                <c:ptCount val="1"/>
                <c:pt idx="0">
                  <c:v>Salinity (ppt)</c:v>
                </c:pt>
              </c:strCache>
            </c:strRef>
          </c:tx>
          <c:xVal>
            <c:numRef>
              <c:f>Honokahua!$C$2:$C$12</c:f>
              <c:numCache>
                <c:formatCode>m/d/yy</c:formatCode>
                <c:ptCount val="11"/>
                <c:pt idx="0">
                  <c:v>42909.0</c:v>
                </c:pt>
                <c:pt idx="1">
                  <c:v>42930.0</c:v>
                </c:pt>
                <c:pt idx="2">
                  <c:v>42951.0</c:v>
                </c:pt>
                <c:pt idx="3">
                  <c:v>42972.0</c:v>
                </c:pt>
                <c:pt idx="4">
                  <c:v>42993.0</c:v>
                </c:pt>
                <c:pt idx="5">
                  <c:v>43014.0</c:v>
                </c:pt>
                <c:pt idx="6">
                  <c:v>43035.0</c:v>
                </c:pt>
                <c:pt idx="7">
                  <c:v>43056.0</c:v>
                </c:pt>
                <c:pt idx="8">
                  <c:v>43077.0</c:v>
                </c:pt>
                <c:pt idx="9">
                  <c:v>43091.0</c:v>
                </c:pt>
                <c:pt idx="10">
                  <c:v>43112.0</c:v>
                </c:pt>
              </c:numCache>
            </c:numRef>
          </c:xVal>
          <c:yVal>
            <c:numRef>
              <c:f>Honokahua!$F$2:$F$12</c:f>
              <c:numCache>
                <c:formatCode>0.0</c:formatCode>
                <c:ptCount val="11"/>
                <c:pt idx="0">
                  <c:v>33.8</c:v>
                </c:pt>
                <c:pt idx="1">
                  <c:v>34.3</c:v>
                </c:pt>
                <c:pt idx="2">
                  <c:v>34.3</c:v>
                </c:pt>
                <c:pt idx="3">
                  <c:v>34.9</c:v>
                </c:pt>
                <c:pt idx="4">
                  <c:v>34.7</c:v>
                </c:pt>
                <c:pt idx="5">
                  <c:v>34.1</c:v>
                </c:pt>
                <c:pt idx="6">
                  <c:v>34.8</c:v>
                </c:pt>
                <c:pt idx="7">
                  <c:v>34.4</c:v>
                </c:pt>
                <c:pt idx="8">
                  <c:v>35.1</c:v>
                </c:pt>
                <c:pt idx="9">
                  <c:v>33.9</c:v>
                </c:pt>
                <c:pt idx="10">
                  <c:v>34.3</c:v>
                </c:pt>
              </c:numCache>
            </c:numRef>
          </c:yVal>
          <c:smooth val="1"/>
        </c:ser>
        <c:axId val="351882104"/>
        <c:axId val="351885272"/>
      </c:scatterChart>
      <c:valAx>
        <c:axId val="351882104"/>
        <c:scaling>
          <c:orientation val="minMax"/>
        </c:scaling>
        <c:axPos val="b"/>
        <c:numFmt formatCode="m/d/yy" sourceLinked="1"/>
        <c:tickLblPos val="nextTo"/>
        <c:crossAx val="351885272"/>
        <c:crosses val="autoZero"/>
        <c:crossBetween val="midCat"/>
      </c:valAx>
      <c:valAx>
        <c:axId val="351885272"/>
        <c:scaling>
          <c:orientation val="minMax"/>
          <c:max val="40.0"/>
          <c:min val="0.0"/>
        </c:scaling>
        <c:axPos val="l"/>
        <c:majorGridlines/>
        <c:numFmt formatCode="0.0" sourceLinked="1"/>
        <c:tickLblPos val="nextTo"/>
        <c:crossAx val="351882104"/>
        <c:crosses val="autoZero"/>
        <c:crossBetween val="midCat"/>
      </c:valAx>
    </c:plotArea>
    <c:plotVisOnly val="1"/>
  </c:chart>
</c:chartSpace>
</file>

<file path=xl/charts/chart8.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Oneloa Bay pH (RON)</a:t>
            </a:r>
          </a:p>
        </c:rich>
      </c:tx>
    </c:title>
    <c:plotArea>
      <c:layout/>
      <c:scatterChart>
        <c:scatterStyle val="smoothMarker"/>
        <c:ser>
          <c:idx val="0"/>
          <c:order val="0"/>
          <c:tx>
            <c:strRef>
              <c:f>Oneloa!$I$1</c:f>
              <c:strCache>
                <c:ptCount val="1"/>
                <c:pt idx="0">
                  <c:v>pH</c:v>
                </c:pt>
              </c:strCache>
            </c:strRef>
          </c:tx>
          <c:xVal>
            <c:numRef>
              <c:f>Oneloa!$C$2:$C$12</c:f>
              <c:numCache>
                <c:formatCode>m/d/yy</c:formatCode>
                <c:ptCount val="11"/>
                <c:pt idx="0">
                  <c:v>42909.0</c:v>
                </c:pt>
                <c:pt idx="1">
                  <c:v>42930.0</c:v>
                </c:pt>
                <c:pt idx="2">
                  <c:v>42951.0</c:v>
                </c:pt>
                <c:pt idx="3">
                  <c:v>42972.0</c:v>
                </c:pt>
                <c:pt idx="4">
                  <c:v>42993.0</c:v>
                </c:pt>
                <c:pt idx="5">
                  <c:v>43014.0</c:v>
                </c:pt>
                <c:pt idx="6">
                  <c:v>43035.0</c:v>
                </c:pt>
                <c:pt idx="7">
                  <c:v>43056.0</c:v>
                </c:pt>
                <c:pt idx="8">
                  <c:v>43077.0</c:v>
                </c:pt>
                <c:pt idx="9">
                  <c:v>43091.0</c:v>
                </c:pt>
                <c:pt idx="10">
                  <c:v>43112.0</c:v>
                </c:pt>
              </c:numCache>
            </c:numRef>
          </c:xVal>
          <c:yVal>
            <c:numRef>
              <c:f>Oneloa!$I$2:$I$12</c:f>
              <c:numCache>
                <c:formatCode>0.00</c:formatCode>
                <c:ptCount val="11"/>
                <c:pt idx="0">
                  <c:v>8.2</c:v>
                </c:pt>
                <c:pt idx="1">
                  <c:v>8.16</c:v>
                </c:pt>
                <c:pt idx="2">
                  <c:v>8.16</c:v>
                </c:pt>
                <c:pt idx="3">
                  <c:v>8.17</c:v>
                </c:pt>
                <c:pt idx="4">
                  <c:v>8.17</c:v>
                </c:pt>
                <c:pt idx="5">
                  <c:v>8.19</c:v>
                </c:pt>
                <c:pt idx="6">
                  <c:v>8.18</c:v>
                </c:pt>
                <c:pt idx="7">
                  <c:v>8.19</c:v>
                </c:pt>
                <c:pt idx="8">
                  <c:v>8.18</c:v>
                </c:pt>
                <c:pt idx="9">
                  <c:v>8.19</c:v>
                </c:pt>
                <c:pt idx="10">
                  <c:v>8.17</c:v>
                </c:pt>
              </c:numCache>
            </c:numRef>
          </c:yVal>
          <c:smooth val="1"/>
        </c:ser>
        <c:axId val="473892696"/>
        <c:axId val="473916264"/>
      </c:scatterChart>
      <c:valAx>
        <c:axId val="473892696"/>
        <c:scaling>
          <c:orientation val="minMax"/>
        </c:scaling>
        <c:axPos val="b"/>
        <c:numFmt formatCode="m/d/yy" sourceLinked="1"/>
        <c:tickLblPos val="nextTo"/>
        <c:crossAx val="473916264"/>
        <c:crosses val="autoZero"/>
        <c:crossBetween val="midCat"/>
      </c:valAx>
      <c:valAx>
        <c:axId val="473916264"/>
        <c:scaling>
          <c:orientation val="minMax"/>
          <c:max val="8.3"/>
          <c:min val="7.7"/>
        </c:scaling>
        <c:axPos val="l"/>
        <c:majorGridlines/>
        <c:title>
          <c:tx>
            <c:rich>
              <a:bodyPr/>
              <a:lstStyle/>
              <a:p>
                <a:pPr>
                  <a:defRPr/>
                </a:pPr>
                <a:r>
                  <a:rPr lang="en-US"/>
                  <a:t>pH</a:t>
                </a:r>
              </a:p>
            </c:rich>
          </c:tx>
        </c:title>
        <c:numFmt formatCode="0.00" sourceLinked="1"/>
        <c:tickLblPos val="nextTo"/>
        <c:crossAx val="473892696"/>
        <c:crosses val="autoZero"/>
        <c:crossBetween val="midCat"/>
      </c:valAx>
    </c:plotArea>
    <c:plotVisOnly val="1"/>
  </c:chart>
</c:chartSpace>
</file>

<file path=xl/charts/chart9.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Oneloa Bay Turbidity (RON)</a:t>
            </a:r>
          </a:p>
        </c:rich>
      </c:tx>
    </c:title>
    <c:plotArea>
      <c:layout/>
      <c:scatterChart>
        <c:scatterStyle val="smoothMarker"/>
        <c:ser>
          <c:idx val="0"/>
          <c:order val="0"/>
          <c:tx>
            <c:strRef>
              <c:f>Oneloa!$J$1</c:f>
              <c:strCache>
                <c:ptCount val="1"/>
                <c:pt idx="0">
                  <c:v>Turbidity (NTU)</c:v>
                </c:pt>
              </c:strCache>
            </c:strRef>
          </c:tx>
          <c:xVal>
            <c:numRef>
              <c:f>Oneloa!$C$2:$C$12</c:f>
              <c:numCache>
                <c:formatCode>m/d/yy</c:formatCode>
                <c:ptCount val="11"/>
                <c:pt idx="0">
                  <c:v>42909.0</c:v>
                </c:pt>
                <c:pt idx="1">
                  <c:v>42930.0</c:v>
                </c:pt>
                <c:pt idx="2">
                  <c:v>42951.0</c:v>
                </c:pt>
                <c:pt idx="3">
                  <c:v>42972.0</c:v>
                </c:pt>
                <c:pt idx="4">
                  <c:v>42993.0</c:v>
                </c:pt>
                <c:pt idx="5">
                  <c:v>43014.0</c:v>
                </c:pt>
                <c:pt idx="6">
                  <c:v>43035.0</c:v>
                </c:pt>
                <c:pt idx="7">
                  <c:v>43056.0</c:v>
                </c:pt>
                <c:pt idx="8">
                  <c:v>43077.0</c:v>
                </c:pt>
                <c:pt idx="9">
                  <c:v>43091.0</c:v>
                </c:pt>
                <c:pt idx="10">
                  <c:v>43112.0</c:v>
                </c:pt>
              </c:numCache>
            </c:numRef>
          </c:xVal>
          <c:yVal>
            <c:numRef>
              <c:f>Oneloa!$J$2:$J$12</c:f>
              <c:numCache>
                <c:formatCode>0.00</c:formatCode>
                <c:ptCount val="11"/>
                <c:pt idx="0">
                  <c:v>0.433333333333333</c:v>
                </c:pt>
                <c:pt idx="1">
                  <c:v>0.893333333333333</c:v>
                </c:pt>
                <c:pt idx="2">
                  <c:v>0.66</c:v>
                </c:pt>
                <c:pt idx="3">
                  <c:v>1.263333333333333</c:v>
                </c:pt>
                <c:pt idx="4">
                  <c:v>0.503333333333333</c:v>
                </c:pt>
                <c:pt idx="5">
                  <c:v>0.636666666666667</c:v>
                </c:pt>
                <c:pt idx="6">
                  <c:v>1.276666666666667</c:v>
                </c:pt>
                <c:pt idx="7">
                  <c:v>0.663333333333333</c:v>
                </c:pt>
                <c:pt idx="8">
                  <c:v>0.64</c:v>
                </c:pt>
                <c:pt idx="9">
                  <c:v>4.306666666666666</c:v>
                </c:pt>
                <c:pt idx="10">
                  <c:v>1.07</c:v>
                </c:pt>
              </c:numCache>
            </c:numRef>
          </c:yVal>
          <c:smooth val="1"/>
        </c:ser>
        <c:axId val="488640808"/>
        <c:axId val="473918824"/>
      </c:scatterChart>
      <c:valAx>
        <c:axId val="488640808"/>
        <c:scaling>
          <c:orientation val="minMax"/>
        </c:scaling>
        <c:axPos val="b"/>
        <c:numFmt formatCode="m/d/yy" sourceLinked="1"/>
        <c:tickLblPos val="nextTo"/>
        <c:crossAx val="473918824"/>
        <c:crosses val="autoZero"/>
        <c:crossBetween val="midCat"/>
      </c:valAx>
      <c:valAx>
        <c:axId val="473918824"/>
        <c:scaling>
          <c:orientation val="minMax"/>
          <c:max val="10.0"/>
        </c:scaling>
        <c:axPos val="l"/>
        <c:majorGridlines/>
        <c:title>
          <c:tx>
            <c:rich>
              <a:bodyPr/>
              <a:lstStyle/>
              <a:p>
                <a:pPr>
                  <a:defRPr/>
                </a:pPr>
                <a:r>
                  <a:rPr lang="en-US"/>
                  <a:t>Turbidity (NTU)</a:t>
                </a:r>
              </a:p>
            </c:rich>
          </c:tx>
        </c:title>
        <c:numFmt formatCode="0.00" sourceLinked="1"/>
        <c:tickLblPos val="nextTo"/>
        <c:crossAx val="488640808"/>
        <c:crosses val="autoZero"/>
        <c:crossBetween val="midCat"/>
      </c:valAx>
    </c:plotArea>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chart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chart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chart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chart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sheetPr/>
  <sheetViews>
    <sheetView zoomScale="112" workbookViewId="0" zoomToFit="1"/>
  </sheetViews>
  <pageMargins left="0.75" right="0.75" top="1" bottom="1" header="0.5" footer="0.5"/>
  <drawing r:id="rId1"/>
</chartsheet>
</file>

<file path=xl/chartsheets/sheet10.xml><?xml version="1.0" encoding="utf-8"?>
<chartsheet xmlns="http://schemas.openxmlformats.org/spreadsheetml/2006/main" xmlns:r="http://schemas.openxmlformats.org/officeDocument/2006/relationships">
  <sheetPr/>
  <sheetViews>
    <sheetView zoomScale="108" workbookViewId="0" zoomToFit="1"/>
  </sheetViews>
  <pageMargins left="0.75" right="0.75" top="1" bottom="1" header="0.5" footer="0.5"/>
  <drawing r:id="rId1"/>
</chartsheet>
</file>

<file path=xl/chartsheets/sheet11.xml><?xml version="1.0" encoding="utf-8"?>
<chartsheet xmlns="http://schemas.openxmlformats.org/spreadsheetml/2006/main" xmlns:r="http://schemas.openxmlformats.org/officeDocument/2006/relationships">
  <sheetPr/>
  <sheetViews>
    <sheetView zoomScale="108" workbookViewId="0" zoomToFit="1"/>
  </sheetViews>
  <pageMargins left="0.75" right="0.75" top="1" bottom="1" header="0.5" footer="0.5"/>
  <drawing r:id="rId1"/>
</chartsheet>
</file>

<file path=xl/chartsheets/sheet12.xml><?xml version="1.0" encoding="utf-8"?>
<chartsheet xmlns="http://schemas.openxmlformats.org/spreadsheetml/2006/main" xmlns:r="http://schemas.openxmlformats.org/officeDocument/2006/relationships">
  <sheetPr/>
  <sheetViews>
    <sheetView zoomScale="108" workbookViewId="0" zoomToFit="1"/>
  </sheetViews>
  <pageMargins left="0.75" right="0.75" top="1" bottom="1" header="0.5" footer="0.5"/>
  <drawing r:id="rId1"/>
</chartsheet>
</file>

<file path=xl/chartsheets/sheet13.xml><?xml version="1.0" encoding="utf-8"?>
<chartsheet xmlns="http://schemas.openxmlformats.org/spreadsheetml/2006/main" xmlns:r="http://schemas.openxmlformats.org/officeDocument/2006/relationships">
  <sheetPr/>
  <sheetViews>
    <sheetView zoomScale="108" workbookViewId="0" zoomToFit="1"/>
  </sheetViews>
  <pageMargins left="0.75" right="0.75" top="1" bottom="1" header="0.5" footer="0.5"/>
  <drawing r:id="rId1"/>
</chartsheet>
</file>

<file path=xl/chartsheets/sheet14.xml><?xml version="1.0" encoding="utf-8"?>
<chartsheet xmlns="http://schemas.openxmlformats.org/spreadsheetml/2006/main" xmlns:r="http://schemas.openxmlformats.org/officeDocument/2006/relationships">
  <sheetPr/>
  <sheetViews>
    <sheetView zoomScale="108" workbookViewId="0" zoomToFit="1"/>
  </sheetViews>
  <pageMargins left="0.75" right="0.75" top="1" bottom="1" header="0.5" footer="0.5"/>
  <drawing r:id="rId1"/>
</chartsheet>
</file>

<file path=xl/chartsheets/sheet15.xml><?xml version="1.0" encoding="utf-8"?>
<chartsheet xmlns="http://schemas.openxmlformats.org/spreadsheetml/2006/main" xmlns:r="http://schemas.openxmlformats.org/officeDocument/2006/relationships">
  <sheetPr/>
  <sheetViews>
    <sheetView zoomScale="108" workbookViewId="0" zoomToFit="1"/>
  </sheetViews>
  <pageMargins left="0.75" right="0.75" top="1" bottom="1" header="0.5" footer="0.5"/>
  <drawing r:id="rId1"/>
</chartsheet>
</file>

<file path=xl/chartsheets/sheet16.xml><?xml version="1.0" encoding="utf-8"?>
<chartsheet xmlns="http://schemas.openxmlformats.org/spreadsheetml/2006/main" xmlns:r="http://schemas.openxmlformats.org/officeDocument/2006/relationships">
  <sheetPr/>
  <sheetViews>
    <sheetView zoomScale="108" workbookViewId="0" zoomToFit="1"/>
  </sheetViews>
  <pageMargins left="0.75" right="0.75" top="1" bottom="1" header="0.5" footer="0.5"/>
  <drawing r:id="rId1"/>
</chartsheet>
</file>

<file path=xl/chartsheets/sheet17.xml><?xml version="1.0" encoding="utf-8"?>
<chartsheet xmlns="http://schemas.openxmlformats.org/spreadsheetml/2006/main" xmlns:r="http://schemas.openxmlformats.org/officeDocument/2006/relationships">
  <sheetPr/>
  <sheetViews>
    <sheetView zoomScale="108" workbookViewId="0" zoomToFit="1"/>
  </sheetViews>
  <pageMargins left="0.75" right="0.75" top="1" bottom="1" header="0.5" footer="0.5"/>
  <drawing r:id="rId1"/>
</chartsheet>
</file>

<file path=xl/chartsheets/sheet18.xml><?xml version="1.0" encoding="utf-8"?>
<chartsheet xmlns="http://schemas.openxmlformats.org/spreadsheetml/2006/main" xmlns:r="http://schemas.openxmlformats.org/officeDocument/2006/relationships">
  <sheetPr/>
  <sheetViews>
    <sheetView zoomScale="108" workbookViewId="0" zoomToFit="1"/>
  </sheetViews>
  <pageMargins left="0.75" right="0.75" top="1" bottom="1" header="0.5" footer="0.5"/>
  <drawing r:id="rId1"/>
</chartsheet>
</file>

<file path=xl/chartsheets/sheet19.xml><?xml version="1.0" encoding="utf-8"?>
<chartsheet xmlns="http://schemas.openxmlformats.org/spreadsheetml/2006/main" xmlns:r="http://schemas.openxmlformats.org/officeDocument/2006/relationships">
  <sheetPr/>
  <sheetViews>
    <sheetView zoomScale="111" workbookViewId="0" zoomToFit="1"/>
  </sheetViews>
  <pageMargins left="0.75" right="0.75" top="1" bottom="1" header="0.5" footer="0.5"/>
  <drawing r:id="rId1"/>
</chartsheet>
</file>

<file path=xl/chartsheets/sheet2.xml><?xml version="1.0" encoding="utf-8"?>
<chartsheet xmlns="http://schemas.openxmlformats.org/spreadsheetml/2006/main" xmlns:r="http://schemas.openxmlformats.org/officeDocument/2006/relationships">
  <sheetPr/>
  <sheetViews>
    <sheetView zoomScale="112" workbookViewId="0" zoomToFit="1"/>
  </sheetViews>
  <pageMargins left="0.75" right="0.75" top="1" bottom="1" header="0.5" footer="0.5"/>
  <drawing r:id="rId1"/>
</chartsheet>
</file>

<file path=xl/chartsheets/sheet20.xml><?xml version="1.0" encoding="utf-8"?>
<chartsheet xmlns="http://schemas.openxmlformats.org/spreadsheetml/2006/main" xmlns:r="http://schemas.openxmlformats.org/officeDocument/2006/relationships">
  <sheetPr/>
  <sheetViews>
    <sheetView zoomScale="111" workbookViewId="0" zoomToFit="1"/>
  </sheetViews>
  <pageMargins left="0.75" right="0.75" top="1" bottom="1" header="0.5" footer="0.5"/>
  <drawing r:id="rId1"/>
</chartsheet>
</file>

<file path=xl/chartsheets/sheet3.xml><?xml version="1.0" encoding="utf-8"?>
<chartsheet xmlns="http://schemas.openxmlformats.org/spreadsheetml/2006/main" xmlns:r="http://schemas.openxmlformats.org/officeDocument/2006/relationships">
  <sheetPr/>
  <sheetViews>
    <sheetView zoomScale="112" workbookViewId="0" zoomToFit="1"/>
  </sheetViews>
  <pageMargins left="0.75" right="0.75" top="1" bottom="1" header="0.5" footer="0.5"/>
  <drawing r:id="rId1"/>
</chartsheet>
</file>

<file path=xl/chartsheets/sheet4.xml><?xml version="1.0" encoding="utf-8"?>
<chartsheet xmlns="http://schemas.openxmlformats.org/spreadsheetml/2006/main" xmlns:r="http://schemas.openxmlformats.org/officeDocument/2006/relationships">
  <sheetPr/>
  <sheetViews>
    <sheetView zoomScale="108" workbookViewId="0" zoomToFit="1"/>
  </sheetViews>
  <pageMargins left="0.75" right="0.75" top="1" bottom="1" header="0.5" footer="0.5"/>
  <drawing r:id="rId1"/>
</chartsheet>
</file>

<file path=xl/chartsheets/sheet5.xml><?xml version="1.0" encoding="utf-8"?>
<chartsheet xmlns="http://schemas.openxmlformats.org/spreadsheetml/2006/main" xmlns:r="http://schemas.openxmlformats.org/officeDocument/2006/relationships">
  <sheetPr/>
  <sheetViews>
    <sheetView zoomScale="108" workbookViewId="0" zoomToFit="1"/>
  </sheetViews>
  <pageMargins left="0.75" right="0.75" top="1" bottom="1" header="0.5" footer="0.5"/>
  <drawing r:id="rId1"/>
</chartsheet>
</file>

<file path=xl/chartsheets/sheet6.xml><?xml version="1.0" encoding="utf-8"?>
<chartsheet xmlns="http://schemas.openxmlformats.org/spreadsheetml/2006/main" xmlns:r="http://schemas.openxmlformats.org/officeDocument/2006/relationships">
  <sheetPr/>
  <sheetViews>
    <sheetView zoomScale="108" workbookViewId="0" zoomToFit="1"/>
  </sheetViews>
  <pageMargins left="0.75" right="0.75" top="1" bottom="1" header="0.5" footer="0.5"/>
  <drawing r:id="rId1"/>
</chartsheet>
</file>

<file path=xl/chartsheets/sheet7.xml><?xml version="1.0" encoding="utf-8"?>
<chartsheet xmlns="http://schemas.openxmlformats.org/spreadsheetml/2006/main" xmlns:r="http://schemas.openxmlformats.org/officeDocument/2006/relationships">
  <sheetPr/>
  <sheetViews>
    <sheetView zoomScale="108" workbookViewId="0" zoomToFit="1"/>
  </sheetViews>
  <pageMargins left="0.75" right="0.75" top="1" bottom="1" header="0.5" footer="0.5"/>
  <drawing r:id="rId1"/>
</chartsheet>
</file>

<file path=xl/chartsheets/sheet8.xml><?xml version="1.0" encoding="utf-8"?>
<chartsheet xmlns="http://schemas.openxmlformats.org/spreadsheetml/2006/main" xmlns:r="http://schemas.openxmlformats.org/officeDocument/2006/relationships">
  <sheetPr/>
  <sheetViews>
    <sheetView zoomScale="108" workbookViewId="0" zoomToFit="1"/>
  </sheetViews>
  <pageMargins left="0.75" right="0.75" top="1" bottom="1" header="0.5" footer="0.5"/>
  <drawing r:id="rId1"/>
</chartsheet>
</file>

<file path=xl/chartsheets/sheet9.xml><?xml version="1.0" encoding="utf-8"?>
<chartsheet xmlns="http://schemas.openxmlformats.org/spreadsheetml/2006/main" xmlns:r="http://schemas.openxmlformats.org/officeDocument/2006/relationships">
  <sheetPr/>
  <sheetViews>
    <sheetView zoomScale="108" workbookViewId="0" zoomToFit="1"/>
  </sheetViews>
  <pageMargins left="0.75" right="0.75" top="1" bottom="1" header="0.5" footer="0.5"/>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583839" cy="583973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8584259" cy="58325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8584259" cy="58325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absoluteAnchor>
    <xdr:pos x="0" y="0"/>
    <xdr:ext cx="8584259" cy="58325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absoluteAnchor>
    <xdr:pos x="0" y="0"/>
    <xdr:ext cx="8584259" cy="58325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xdr:wsDr xmlns:xdr="http://schemas.openxmlformats.org/drawingml/2006/spreadsheetDrawing" xmlns:a="http://schemas.openxmlformats.org/drawingml/2006/main">
  <xdr:absoluteAnchor>
    <xdr:pos x="0" y="0"/>
    <xdr:ext cx="8584259" cy="58325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xdr:wsDr xmlns:xdr="http://schemas.openxmlformats.org/drawingml/2006/spreadsheetDrawing" xmlns:a="http://schemas.openxmlformats.org/drawingml/2006/main">
  <xdr:absoluteAnchor>
    <xdr:pos x="0" y="0"/>
    <xdr:ext cx="8584259" cy="58325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absoluteAnchor>
    <xdr:pos x="0" y="0"/>
    <xdr:ext cx="8584259" cy="58325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xdr:wsDr xmlns:xdr="http://schemas.openxmlformats.org/drawingml/2006/spreadsheetDrawing" xmlns:a="http://schemas.openxmlformats.org/drawingml/2006/main">
  <xdr:absoluteAnchor>
    <xdr:pos x="0" y="0"/>
    <xdr:ext cx="8584259" cy="58325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absoluteAnchor>
    <xdr:pos x="0" y="0"/>
    <xdr:ext cx="8584259" cy="58325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absoluteAnchor>
    <xdr:pos x="0" y="0"/>
    <xdr:ext cx="8581081" cy="583513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583839" cy="583973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0.xml><?xml version="1.0" encoding="utf-8"?>
<xdr:wsDr xmlns:xdr="http://schemas.openxmlformats.org/drawingml/2006/spreadsheetDrawing" xmlns:a="http://schemas.openxmlformats.org/drawingml/2006/main">
  <xdr:absoluteAnchor>
    <xdr:pos x="0" y="0"/>
    <xdr:ext cx="8581081" cy="583513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583839" cy="583973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584259" cy="58325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584259" cy="58325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584259" cy="58325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584259" cy="58325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584259" cy="58325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584259" cy="58325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31"/>
  <sheetViews>
    <sheetView tabSelected="1" workbookViewId="0">
      <pane xSplit="3" ySplit="1" topLeftCell="G2" activePane="bottomRight" state="frozen"/>
      <selection pane="topRight" activeCell="D1" sqref="D1"/>
      <selection pane="bottomLeft" activeCell="A2" sqref="A2"/>
      <selection pane="bottomRight" activeCell="A6" sqref="A6:XFD6"/>
    </sheetView>
  </sheetViews>
  <sheetFormatPr baseColWidth="10" defaultRowHeight="16"/>
  <cols>
    <col min="1" max="1" width="16.42578125" style="1" customWidth="1"/>
    <col min="2" max="2" width="10.7109375" style="3"/>
    <col min="3" max="4" width="10.7109375" style="1"/>
    <col min="5" max="5" width="13.140625" style="15" customWidth="1"/>
    <col min="6" max="6" width="10.7109375" style="50"/>
    <col min="7" max="7" width="10.7109375" style="38"/>
    <col min="8" max="8" width="10.7109375" style="15"/>
    <col min="9" max="12" width="10.7109375" style="38"/>
    <col min="13" max="13" width="12.140625" style="38" customWidth="1"/>
    <col min="14" max="14" width="12" style="38" customWidth="1"/>
    <col min="15" max="16" width="10.7109375" style="38"/>
    <col min="17" max="17" width="12" style="1" customWidth="1"/>
    <col min="18" max="18" width="12" style="3" customWidth="1"/>
    <col min="19" max="19" width="59.5703125" style="16" customWidth="1"/>
    <col min="20" max="16384" width="10.7109375" style="1"/>
  </cols>
  <sheetData>
    <row r="1" spans="1:19" s="2" customFormat="1" ht="32">
      <c r="A1" s="2" t="s">
        <v>0</v>
      </c>
      <c r="B1" s="2" t="s">
        <v>9</v>
      </c>
      <c r="C1" s="2" t="s">
        <v>1</v>
      </c>
      <c r="D1" s="2" t="s">
        <v>2</v>
      </c>
      <c r="E1" s="14" t="s">
        <v>3</v>
      </c>
      <c r="F1" s="49" t="s">
        <v>4</v>
      </c>
      <c r="G1" s="37" t="s">
        <v>5</v>
      </c>
      <c r="H1" s="14" t="s">
        <v>6</v>
      </c>
      <c r="I1" s="37" t="s">
        <v>7</v>
      </c>
      <c r="J1" s="37" t="s">
        <v>8</v>
      </c>
      <c r="K1" s="37" t="s">
        <v>23</v>
      </c>
      <c r="L1" s="37" t="s">
        <v>26</v>
      </c>
      <c r="M1" s="37" t="s">
        <v>27</v>
      </c>
      <c r="N1" s="37" t="s">
        <v>28</v>
      </c>
      <c r="O1" s="37" t="s">
        <v>24</v>
      </c>
      <c r="P1" s="37" t="s">
        <v>25</v>
      </c>
      <c r="Q1" s="2" t="s">
        <v>33</v>
      </c>
      <c r="R1" s="2" t="s">
        <v>34</v>
      </c>
      <c r="S1" s="2" t="s">
        <v>22</v>
      </c>
    </row>
    <row r="2" spans="1:19" ht="32">
      <c r="A2" s="1" t="s">
        <v>10</v>
      </c>
      <c r="B2" s="3" t="s">
        <v>11</v>
      </c>
      <c r="C2" s="4">
        <v>42909</v>
      </c>
      <c r="D2" s="5">
        <v>0.30902777777777779</v>
      </c>
      <c r="E2" s="15">
        <v>25.5</v>
      </c>
      <c r="F2" s="50">
        <v>33.299999999999997</v>
      </c>
      <c r="G2" s="38">
        <v>5.8</v>
      </c>
      <c r="H2" s="15">
        <v>85.6</v>
      </c>
      <c r="I2" s="38">
        <v>8.08</v>
      </c>
      <c r="J2" s="38">
        <f>AVERAGE(1.1,0.81,0.89)</f>
        <v>0.93333333333333346</v>
      </c>
      <c r="K2" s="38">
        <v>86.705588063075098</v>
      </c>
      <c r="L2" s="38">
        <v>12.031377300086419</v>
      </c>
      <c r="M2" s="38">
        <v>7.8070762756901058</v>
      </c>
      <c r="N2" s="38">
        <v>502.79667525736164</v>
      </c>
      <c r="O2" s="38">
        <v>4.8177826744549916</v>
      </c>
      <c r="P2" s="38">
        <v>5.3791357803725273</v>
      </c>
      <c r="Q2" s="1">
        <v>1</v>
      </c>
      <c r="R2" s="3" t="s">
        <v>36</v>
      </c>
      <c r="S2" s="16" t="s">
        <v>35</v>
      </c>
    </row>
    <row r="3" spans="1:19" ht="32">
      <c r="A3" s="1" t="s">
        <v>10</v>
      </c>
      <c r="B3" s="3" t="s">
        <v>11</v>
      </c>
      <c r="C3" s="4">
        <v>42930</v>
      </c>
      <c r="D3" s="5">
        <v>0.33333333333333331</v>
      </c>
      <c r="E3" s="15">
        <v>26.4</v>
      </c>
      <c r="F3" s="50">
        <v>33.799999999999997</v>
      </c>
      <c r="G3" s="38">
        <v>6.4</v>
      </c>
      <c r="H3" s="15">
        <v>96.2</v>
      </c>
      <c r="I3" s="38">
        <v>8.1300000000000008</v>
      </c>
      <c r="J3" s="38">
        <f>AVERAGE(0.52,0.78,0.6)</f>
        <v>0.6333333333333333</v>
      </c>
      <c r="K3" s="38">
        <v>94.263393505744247</v>
      </c>
      <c r="L3" s="38">
        <v>10.239418387197627</v>
      </c>
      <c r="M3" s="38">
        <v>4.6976721225546267</v>
      </c>
      <c r="N3" s="38">
        <v>176.08774375148099</v>
      </c>
      <c r="O3" s="38">
        <v>7.2273932916056767</v>
      </c>
      <c r="P3" s="38">
        <v>3.3620255800310481</v>
      </c>
      <c r="Q3" s="1">
        <v>1</v>
      </c>
      <c r="R3" s="3" t="s">
        <v>38</v>
      </c>
      <c r="S3" s="16" t="s">
        <v>35</v>
      </c>
    </row>
    <row r="4" spans="1:19" ht="32">
      <c r="A4" s="1" t="s">
        <v>10</v>
      </c>
      <c r="B4" s="3" t="s">
        <v>11</v>
      </c>
      <c r="C4" s="4">
        <v>42951</v>
      </c>
      <c r="D4" s="5">
        <v>0.33680555555555558</v>
      </c>
      <c r="E4" s="15">
        <v>26.7</v>
      </c>
      <c r="F4" s="50">
        <v>33.5</v>
      </c>
      <c r="G4" s="38">
        <v>5.68</v>
      </c>
      <c r="H4" s="15">
        <v>85.2</v>
      </c>
      <c r="I4" s="38">
        <v>8.09</v>
      </c>
      <c r="J4" s="38">
        <f>AVERAGE(0.95,1.32,1.46,0.81,1.71)</f>
        <v>1.25</v>
      </c>
      <c r="K4" s="38">
        <v>85.098700697594467</v>
      </c>
      <c r="L4" s="38">
        <v>11.467676956752216</v>
      </c>
      <c r="M4" s="38">
        <v>6.817708609290877</v>
      </c>
      <c r="N4" s="38">
        <v>394.99982018282583</v>
      </c>
      <c r="O4" s="38">
        <v>3.6297774873468307</v>
      </c>
      <c r="P4" s="38">
        <v>6.928007384284939</v>
      </c>
      <c r="Q4" s="1">
        <v>2</v>
      </c>
      <c r="R4" s="3" t="s">
        <v>41</v>
      </c>
      <c r="S4" s="16" t="s">
        <v>35</v>
      </c>
    </row>
    <row r="5" spans="1:19" ht="32">
      <c r="A5" s="1" t="s">
        <v>10</v>
      </c>
      <c r="B5" s="3" t="s">
        <v>11</v>
      </c>
      <c r="C5" s="4">
        <v>42972</v>
      </c>
      <c r="D5" s="5">
        <v>0.32847222222222222</v>
      </c>
      <c r="E5" s="15">
        <v>25.6</v>
      </c>
      <c r="F5" s="50">
        <v>34.6</v>
      </c>
      <c r="G5" s="38">
        <v>6.31</v>
      </c>
      <c r="H5" s="15">
        <v>93.9</v>
      </c>
      <c r="I5" s="38">
        <v>8.1199999999999992</v>
      </c>
      <c r="J5" s="38">
        <f>AVERAGE(1.13,1.14,1.6)</f>
        <v>1.2899999999999998</v>
      </c>
      <c r="K5" s="38">
        <v>74.981748106265442</v>
      </c>
      <c r="L5" s="38">
        <v>10.744615653118043</v>
      </c>
      <c r="M5" s="38">
        <v>6.4258492889536312</v>
      </c>
      <c r="N5" s="38">
        <v>217.96181654793409</v>
      </c>
      <c r="O5" s="47">
        <v>0.65646152437400063</v>
      </c>
      <c r="P5" s="38">
        <v>3.4335703453203488</v>
      </c>
      <c r="Q5" s="1">
        <v>1</v>
      </c>
      <c r="R5" s="3" t="s">
        <v>42</v>
      </c>
      <c r="S5" s="16" t="s">
        <v>35</v>
      </c>
    </row>
    <row r="6" spans="1:19" ht="32">
      <c r="A6" s="1" t="s">
        <v>10</v>
      </c>
      <c r="B6" s="3" t="s">
        <v>11</v>
      </c>
      <c r="C6" s="4">
        <v>42993</v>
      </c>
      <c r="D6" s="5">
        <v>0.33333333333333331</v>
      </c>
      <c r="E6" s="15">
        <v>26.9</v>
      </c>
      <c r="F6" s="50">
        <v>34.1</v>
      </c>
      <c r="G6" s="38">
        <v>5.5</v>
      </c>
      <c r="H6" s="15">
        <v>83.4</v>
      </c>
      <c r="I6" s="38">
        <v>8.07</v>
      </c>
      <c r="J6" s="38">
        <f>AVERAGE(6.31,6.87,6.19)</f>
        <v>6.456666666666667</v>
      </c>
      <c r="K6" s="38">
        <v>62.915891891072626</v>
      </c>
      <c r="L6" s="38">
        <v>16.485177781812727</v>
      </c>
      <c r="M6" s="38">
        <v>7.3848011382951331</v>
      </c>
      <c r="N6" s="38">
        <v>401.4929555029554</v>
      </c>
      <c r="O6" s="38">
        <v>3.0386280506680206</v>
      </c>
      <c r="P6" s="38">
        <v>5.7732511307596068</v>
      </c>
      <c r="Q6" s="1">
        <v>1</v>
      </c>
      <c r="R6" s="3" t="s">
        <v>43</v>
      </c>
      <c r="S6" s="16" t="s">
        <v>35</v>
      </c>
    </row>
    <row r="7" spans="1:19" ht="32">
      <c r="A7" s="1" t="s">
        <v>10</v>
      </c>
      <c r="B7" s="3" t="s">
        <v>11</v>
      </c>
      <c r="C7" s="4">
        <v>43014</v>
      </c>
      <c r="D7" s="5">
        <v>0.33055555555555555</v>
      </c>
      <c r="E7" s="15">
        <v>25.3</v>
      </c>
      <c r="F7" s="50">
        <v>33.700000000000003</v>
      </c>
      <c r="G7" s="38">
        <v>6.32</v>
      </c>
      <c r="H7" s="15">
        <v>93.2</v>
      </c>
      <c r="I7" s="38">
        <v>8.1</v>
      </c>
      <c r="J7" s="38">
        <f>AVERAGE(37.2,37.9,40.5)</f>
        <v>38.533333333333331</v>
      </c>
      <c r="K7" s="38">
        <v>62.749346488690023</v>
      </c>
      <c r="L7" s="38">
        <v>13.401563237425329</v>
      </c>
      <c r="M7" s="38">
        <v>10.819393917250023</v>
      </c>
      <c r="N7" s="38">
        <v>506.6250610180316</v>
      </c>
      <c r="O7" s="38">
        <v>4.9171032128162482</v>
      </c>
      <c r="P7" s="38">
        <v>5.4732139169373601</v>
      </c>
      <c r="Q7" s="1">
        <v>1</v>
      </c>
      <c r="R7" s="3" t="s">
        <v>44</v>
      </c>
      <c r="S7" s="16" t="s">
        <v>35</v>
      </c>
    </row>
    <row r="8" spans="1:19" ht="32">
      <c r="A8" s="1" t="s">
        <v>10</v>
      </c>
      <c r="B8" s="3" t="s">
        <v>11</v>
      </c>
      <c r="C8" s="4">
        <v>43035</v>
      </c>
      <c r="D8" s="5">
        <v>0.33680555555555558</v>
      </c>
      <c r="E8" s="15">
        <v>25.4</v>
      </c>
      <c r="F8" s="50">
        <v>33</v>
      </c>
      <c r="G8" s="38">
        <v>6.58</v>
      </c>
      <c r="H8" s="15">
        <v>96.9</v>
      </c>
      <c r="I8" s="38">
        <v>8.11</v>
      </c>
      <c r="J8" s="38">
        <f>AVERAGE(156,164,158)</f>
        <v>159.33333333333334</v>
      </c>
      <c r="K8" s="38">
        <v>77.704173125346372</v>
      </c>
      <c r="L8" s="38">
        <v>11.146517923758529</v>
      </c>
      <c r="M8" s="38">
        <v>9.4262978341469434</v>
      </c>
      <c r="N8" s="38">
        <v>566.28559416292717</v>
      </c>
      <c r="O8" s="38">
        <v>11.711534360500744</v>
      </c>
      <c r="P8" s="38">
        <v>5.9384457958000052</v>
      </c>
      <c r="Q8" s="1">
        <v>3</v>
      </c>
      <c r="R8" s="3" t="s">
        <v>46</v>
      </c>
      <c r="S8" s="16" t="s">
        <v>45</v>
      </c>
    </row>
    <row r="9" spans="1:19" ht="32">
      <c r="A9" s="1" t="s">
        <v>10</v>
      </c>
      <c r="B9" s="3" t="s">
        <v>11</v>
      </c>
      <c r="C9" s="4">
        <v>43056</v>
      </c>
      <c r="D9" s="5">
        <v>0.3263888888888889</v>
      </c>
      <c r="E9" s="15">
        <v>24.3</v>
      </c>
      <c r="F9" s="50">
        <v>30.6</v>
      </c>
      <c r="G9" s="38">
        <v>6.39</v>
      </c>
      <c r="H9" s="15">
        <v>90.9</v>
      </c>
      <c r="I9" s="38">
        <v>8.15</v>
      </c>
      <c r="J9" s="38">
        <f>AVERAGE(20.9,21.1,21.5)</f>
        <v>21.166666666666668</v>
      </c>
      <c r="K9" s="38">
        <v>78.841443497571035</v>
      </c>
      <c r="L9" s="38">
        <v>13.737762253914239</v>
      </c>
      <c r="M9" s="38">
        <v>7.0832710417299136</v>
      </c>
      <c r="N9" s="38">
        <v>394.16204580774456</v>
      </c>
      <c r="O9" s="38">
        <v>4.5670478253121871</v>
      </c>
      <c r="P9" s="38">
        <v>15.577403984130283</v>
      </c>
      <c r="Q9" s="1">
        <v>1</v>
      </c>
      <c r="R9" s="3" t="s">
        <v>47</v>
      </c>
      <c r="S9" s="16" t="s">
        <v>45</v>
      </c>
    </row>
    <row r="10" spans="1:19" ht="32">
      <c r="A10" s="1" t="s">
        <v>10</v>
      </c>
      <c r="B10" s="3" t="s">
        <v>11</v>
      </c>
      <c r="C10" s="4">
        <v>43077</v>
      </c>
      <c r="D10" s="5">
        <v>0.3263888888888889</v>
      </c>
      <c r="E10" s="15">
        <v>23.2</v>
      </c>
      <c r="F10" s="50">
        <v>34.5</v>
      </c>
      <c r="G10" s="38">
        <v>6.78</v>
      </c>
      <c r="H10" s="15">
        <v>96.2</v>
      </c>
      <c r="I10" s="38">
        <v>8.14</v>
      </c>
      <c r="J10" s="38">
        <f>AVERAGE(23.9,28.5,25.2)</f>
        <v>25.866666666666664</v>
      </c>
      <c r="Q10" s="1">
        <v>3</v>
      </c>
      <c r="R10" s="3" t="s">
        <v>48</v>
      </c>
      <c r="S10" s="16" t="s">
        <v>45</v>
      </c>
    </row>
    <row r="11" spans="1:19" ht="32">
      <c r="A11" s="1" t="s">
        <v>10</v>
      </c>
      <c r="B11" s="3" t="s">
        <v>11</v>
      </c>
      <c r="C11" s="4">
        <v>43091</v>
      </c>
      <c r="D11" s="5">
        <v>0.33263888888888887</v>
      </c>
      <c r="E11" s="15">
        <v>22.6</v>
      </c>
      <c r="F11" s="50">
        <v>28.5</v>
      </c>
      <c r="G11" s="38">
        <v>7.04</v>
      </c>
      <c r="H11" s="15">
        <v>96.1</v>
      </c>
      <c r="I11" s="38">
        <v>8.17</v>
      </c>
      <c r="J11" s="38">
        <f>AVERAGE(21.2,21.3,20)</f>
        <v>20.833333333333332</v>
      </c>
      <c r="Q11" s="1">
        <v>1</v>
      </c>
      <c r="R11" s="3" t="s">
        <v>49</v>
      </c>
      <c r="S11" s="16" t="s">
        <v>45</v>
      </c>
    </row>
    <row r="12" spans="1:19" ht="32">
      <c r="A12" s="1" t="s">
        <v>10</v>
      </c>
      <c r="B12" s="3" t="s">
        <v>11</v>
      </c>
      <c r="C12" s="4">
        <v>43112</v>
      </c>
      <c r="D12" s="5">
        <v>0.3298611111111111</v>
      </c>
      <c r="E12" s="15">
        <v>22.8</v>
      </c>
      <c r="F12" s="50">
        <v>33.1</v>
      </c>
      <c r="G12" s="38">
        <v>6.82</v>
      </c>
      <c r="H12" s="15">
        <v>95.4</v>
      </c>
      <c r="I12" s="38">
        <v>8.07</v>
      </c>
      <c r="J12" s="38">
        <f>AVERAGE(59.6,65.3,68.8)</f>
        <v>64.566666666666663</v>
      </c>
      <c r="Q12" s="1">
        <v>3</v>
      </c>
      <c r="R12" s="3" t="s">
        <v>50</v>
      </c>
      <c r="S12" s="16" t="s">
        <v>45</v>
      </c>
    </row>
    <row r="13" spans="1:19">
      <c r="C13" s="4"/>
      <c r="D13" s="5"/>
    </row>
    <row r="14" spans="1:19">
      <c r="C14" s="4"/>
      <c r="D14" s="5"/>
    </row>
    <row r="15" spans="1:19">
      <c r="C15" s="4"/>
      <c r="D15" s="5"/>
    </row>
    <row r="16" spans="1:19">
      <c r="C16" s="4"/>
      <c r="D16" s="5"/>
    </row>
    <row r="17" spans="3:19">
      <c r="C17" s="4"/>
      <c r="D17" s="5"/>
    </row>
    <row r="18" spans="3:19">
      <c r="C18" s="4"/>
      <c r="D18" s="5"/>
    </row>
    <row r="19" spans="3:19">
      <c r="C19" s="4"/>
      <c r="D19" s="5"/>
      <c r="G19" s="39"/>
    </row>
    <row r="27" spans="3:19">
      <c r="J27" s="25">
        <f t="shared" ref="J27:P27" si="0">GEOMEAN(J2:J24)</f>
        <v>8.9022180408856375</v>
      </c>
      <c r="K27" s="39">
        <f t="shared" si="0"/>
        <v>77.197749628713083</v>
      </c>
      <c r="L27" s="39">
        <f t="shared" si="0"/>
        <v>12.269310577658315</v>
      </c>
      <c r="M27" s="28">
        <f t="shared" si="0"/>
        <v>7.3558371583588462</v>
      </c>
      <c r="N27" s="39">
        <f t="shared" si="0"/>
        <v>369.31480663479869</v>
      </c>
      <c r="O27" s="28">
        <f t="shared" si="0"/>
        <v>4.0058464637204922</v>
      </c>
      <c r="P27" s="25">
        <f t="shared" si="0"/>
        <v>5.7867846451017613</v>
      </c>
      <c r="S27" s="16" t="s">
        <v>29</v>
      </c>
    </row>
    <row r="28" spans="3:19">
      <c r="D28" s="41">
        <f>AVERAGE(D2:D24)</f>
        <v>0.32941919191919194</v>
      </c>
      <c r="E28" s="38">
        <f>AVERAGE(E2:E24)</f>
        <v>24.972727272727273</v>
      </c>
      <c r="F28" s="50">
        <f t="shared" ref="F28:H28" si="1">AVERAGE(F2:F24)</f>
        <v>32.972727272727276</v>
      </c>
      <c r="G28" s="38">
        <f t="shared" si="1"/>
        <v>6.3290909090909091</v>
      </c>
      <c r="H28" s="38">
        <f t="shared" si="1"/>
        <v>92.090909090909093</v>
      </c>
      <c r="I28" s="38">
        <f>AVERAGE(I2:I24)</f>
        <v>8.1118181818181831</v>
      </c>
      <c r="J28" s="38">
        <f>AVERAGE(J2:J24)</f>
        <v>30.987575757575758</v>
      </c>
      <c r="K28" s="38">
        <f>AVERAGE(K2:K24)</f>
        <v>77.907535671919931</v>
      </c>
      <c r="L28" s="38">
        <f t="shared" ref="L28:N28" si="2">AVERAGE(L2:L24)</f>
        <v>12.40676368675814</v>
      </c>
      <c r="M28" s="38">
        <f t="shared" si="2"/>
        <v>7.5577587784889078</v>
      </c>
      <c r="N28" s="38">
        <f t="shared" si="2"/>
        <v>395.05146402890773</v>
      </c>
      <c r="O28" s="38">
        <f t="shared" ref="O28:P28" si="3">AVERAGE(O2:O24)</f>
        <v>5.070716053384837</v>
      </c>
      <c r="P28" s="38">
        <f t="shared" si="3"/>
        <v>6.4831317397045156</v>
      </c>
      <c r="S28" s="16" t="s">
        <v>30</v>
      </c>
    </row>
    <row r="29" spans="3:19">
      <c r="E29" s="38">
        <f>STDEV(E2:E24)</f>
        <v>1.537589613057335</v>
      </c>
      <c r="F29" s="50">
        <f t="shared" ref="F29:H29" si="4">STDEV(F2:F24)</f>
        <v>1.830350190040581</v>
      </c>
      <c r="G29" s="38">
        <f t="shared" si="4"/>
        <v>0.49096750494212188</v>
      </c>
      <c r="H29" s="38">
        <f t="shared" si="4"/>
        <v>5.0496444519302992</v>
      </c>
      <c r="I29" s="38">
        <f>STDEV(I2:I24)</f>
        <v>3.3412028318329998E-2</v>
      </c>
      <c r="J29" s="38">
        <f>STDEV(J2:J24)</f>
        <v>46.984659555384177</v>
      </c>
      <c r="K29" s="38">
        <f>STDEV(K2:K24)</f>
        <v>11.088130857440994</v>
      </c>
      <c r="L29" s="38">
        <f t="shared" ref="L29:N29" si="5">STDEV(L2:L24)</f>
        <v>2.0516817075863196</v>
      </c>
      <c r="M29" s="38">
        <f t="shared" si="5"/>
        <v>1.8691443106348615</v>
      </c>
      <c r="N29" s="38">
        <f t="shared" si="5"/>
        <v>137.69892934403001</v>
      </c>
      <c r="O29" s="38">
        <f t="shared" ref="O29:P29" si="6">STDEV(O2:O24)</f>
        <v>3.2685581580894985</v>
      </c>
      <c r="P29" s="38">
        <f t="shared" si="6"/>
        <v>3.8726916570916501</v>
      </c>
      <c r="S29" s="16" t="s">
        <v>31</v>
      </c>
    </row>
    <row r="31" spans="3:19">
      <c r="J31" s="38">
        <f>J27/0.2</f>
        <v>44.511090204428186</v>
      </c>
      <c r="K31" s="38">
        <f>K27/110</f>
        <v>0.7017977238973917</v>
      </c>
      <c r="L31" s="38">
        <f>L27/16</f>
        <v>0.76683191110364468</v>
      </c>
      <c r="M31" s="38">
        <f>M27/6</f>
        <v>1.2259728597264743</v>
      </c>
      <c r="N31" s="38">
        <f>N27</f>
        <v>369.31480663479869</v>
      </c>
      <c r="O31" s="38">
        <f>O27/3.5</f>
        <v>1.1445275610629977</v>
      </c>
      <c r="P31" s="38">
        <f>P27/2</f>
        <v>2.8933923225508806</v>
      </c>
      <c r="S31" s="16" t="s">
        <v>32</v>
      </c>
    </row>
  </sheetData>
  <sheetCalcPr fullCalcOnLoad="1"/>
  <phoneticPr fontId="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35"/>
  <sheetViews>
    <sheetView workbookViewId="0">
      <pane xSplit="3" ySplit="1" topLeftCell="J2" activePane="bottomRight" state="frozen"/>
      <selection pane="topRight" activeCell="D1" sqref="D1"/>
      <selection pane="bottomLeft" activeCell="A2" sqref="A2"/>
      <selection pane="bottomRight" activeCell="C2" sqref="C2:P2"/>
    </sheetView>
  </sheetViews>
  <sheetFormatPr baseColWidth="10" defaultRowHeight="16"/>
  <cols>
    <col min="1" max="1" width="16.42578125" style="1" customWidth="1"/>
    <col min="2" max="2" width="10.7109375" style="3"/>
    <col min="3" max="4" width="10.7109375" style="1"/>
    <col min="5" max="5" width="13.140625" style="6" customWidth="1"/>
    <col min="6" max="6" width="10.7109375" style="32"/>
    <col min="7" max="7" width="10.7109375" style="8"/>
    <col min="8" max="8" width="10.7109375" style="6"/>
    <col min="9" max="9" width="10.7109375" style="38"/>
    <col min="10" max="11" width="10.7109375" style="35"/>
    <col min="12" max="12" width="10.7109375" style="38"/>
    <col min="13" max="13" width="12.140625" style="38" customWidth="1"/>
    <col min="14" max="14" width="12" style="38" customWidth="1"/>
    <col min="15" max="16" width="10.7109375" style="35"/>
    <col min="17" max="17" width="12" style="1" customWidth="1"/>
    <col min="18" max="18" width="12" style="3" customWidth="1"/>
    <col min="19" max="19" width="59.5703125" style="16" customWidth="1"/>
    <col min="20" max="16384" width="10.7109375" style="1"/>
  </cols>
  <sheetData>
    <row r="1" spans="1:19" s="2" customFormat="1" ht="32">
      <c r="A1" s="2" t="s">
        <v>0</v>
      </c>
      <c r="B1" s="2" t="s">
        <v>9</v>
      </c>
      <c r="C1" s="2" t="s">
        <v>1</v>
      </c>
      <c r="D1" s="2" t="s">
        <v>2</v>
      </c>
      <c r="E1" s="9" t="s">
        <v>3</v>
      </c>
      <c r="F1" s="31" t="s">
        <v>4</v>
      </c>
      <c r="G1" s="7" t="s">
        <v>5</v>
      </c>
      <c r="H1" s="9" t="s">
        <v>6</v>
      </c>
      <c r="I1" s="37" t="s">
        <v>7</v>
      </c>
      <c r="J1" s="36" t="s">
        <v>8</v>
      </c>
      <c r="K1" s="36" t="s">
        <v>23</v>
      </c>
      <c r="L1" s="37" t="s">
        <v>26</v>
      </c>
      <c r="M1" s="37" t="s">
        <v>27</v>
      </c>
      <c r="N1" s="37" t="s">
        <v>28</v>
      </c>
      <c r="O1" s="36" t="s">
        <v>24</v>
      </c>
      <c r="P1" s="36" t="s">
        <v>25</v>
      </c>
      <c r="Q1" s="2" t="s">
        <v>33</v>
      </c>
      <c r="R1" s="2" t="s">
        <v>34</v>
      </c>
      <c r="S1" s="2" t="s">
        <v>22</v>
      </c>
    </row>
    <row r="2" spans="1:19" ht="32">
      <c r="A2" s="1" t="s">
        <v>12</v>
      </c>
      <c r="B2" s="3" t="s">
        <v>13</v>
      </c>
      <c r="C2" s="4">
        <v>42909</v>
      </c>
      <c r="D2" s="5">
        <v>0.33680555555555558</v>
      </c>
      <c r="E2" s="6">
        <v>26</v>
      </c>
      <c r="F2" s="32">
        <v>32.299999999999997</v>
      </c>
      <c r="G2" s="8">
        <v>6.56</v>
      </c>
      <c r="H2" s="6">
        <v>97.2</v>
      </c>
      <c r="I2" s="38">
        <v>8.18</v>
      </c>
      <c r="J2" s="35">
        <f>AVERAGE(2.04,1.94,2.57)</f>
        <v>2.1833333333333331</v>
      </c>
      <c r="K2" s="38">
        <v>123.88466649561396</v>
      </c>
      <c r="L2" s="38">
        <v>10.98309722519536</v>
      </c>
      <c r="M2" s="38">
        <v>8.937019215828478</v>
      </c>
      <c r="N2" s="38">
        <v>1032.6376796143704</v>
      </c>
      <c r="O2" s="38">
        <v>59.002922968603329</v>
      </c>
      <c r="P2" s="38">
        <v>1.4464511188042841</v>
      </c>
      <c r="Q2" s="1">
        <v>1</v>
      </c>
      <c r="R2" s="3" t="s">
        <v>36</v>
      </c>
      <c r="S2" s="16" t="s">
        <v>35</v>
      </c>
    </row>
    <row r="3" spans="1:19">
      <c r="C3" s="4"/>
      <c r="D3" s="5"/>
    </row>
    <row r="4" spans="1:19">
      <c r="C4" s="4"/>
      <c r="D4" s="5"/>
    </row>
    <row r="5" spans="1:19">
      <c r="C5" s="4"/>
      <c r="D5" s="5"/>
    </row>
    <row r="6" spans="1:19">
      <c r="C6" s="4"/>
      <c r="D6" s="5"/>
    </row>
    <row r="7" spans="1:19">
      <c r="C7" s="4"/>
      <c r="D7" s="5"/>
    </row>
    <row r="8" spans="1:19">
      <c r="C8" s="4"/>
      <c r="D8" s="5"/>
    </row>
    <row r="9" spans="1:19">
      <c r="C9" s="4"/>
      <c r="D9" s="5"/>
    </row>
    <row r="10" spans="1:19">
      <c r="C10" s="4"/>
      <c r="D10" s="5"/>
    </row>
    <row r="11" spans="1:19">
      <c r="C11" s="4"/>
      <c r="D11" s="5"/>
    </row>
    <row r="12" spans="1:19">
      <c r="C12" s="4"/>
      <c r="D12" s="5"/>
    </row>
    <row r="13" spans="1:19">
      <c r="C13" s="4"/>
      <c r="D13" s="5"/>
      <c r="E13" s="15"/>
      <c r="F13" s="38"/>
      <c r="G13" s="38"/>
      <c r="H13" s="15"/>
      <c r="J13" s="38"/>
      <c r="K13" s="38"/>
      <c r="O13" s="38"/>
      <c r="P13" s="38"/>
    </row>
    <row r="14" spans="1:19">
      <c r="C14" s="4"/>
      <c r="D14" s="5"/>
      <c r="E14" s="15"/>
      <c r="F14" s="38"/>
      <c r="G14" s="38"/>
      <c r="H14" s="15"/>
      <c r="J14" s="38"/>
      <c r="K14" s="38"/>
      <c r="O14" s="38"/>
      <c r="P14" s="38"/>
    </row>
    <row r="15" spans="1:19">
      <c r="C15" s="4"/>
      <c r="D15" s="5"/>
      <c r="E15" s="15"/>
      <c r="F15" s="38"/>
      <c r="G15" s="38"/>
      <c r="H15" s="15"/>
      <c r="J15" s="38"/>
      <c r="K15" s="38"/>
      <c r="O15" s="38"/>
      <c r="P15" s="38"/>
    </row>
    <row r="16" spans="1:19">
      <c r="C16" s="4"/>
      <c r="D16" s="5"/>
      <c r="E16" s="15"/>
      <c r="F16" s="38"/>
      <c r="G16" s="38"/>
      <c r="H16" s="15"/>
      <c r="J16" s="38"/>
      <c r="K16" s="38"/>
      <c r="O16" s="38"/>
      <c r="P16" s="38"/>
    </row>
    <row r="17" spans="3:19">
      <c r="C17" s="4"/>
      <c r="D17" s="5"/>
      <c r="G17" s="39"/>
      <c r="K17" s="39"/>
      <c r="O17" s="39"/>
    </row>
    <row r="18" spans="3:19">
      <c r="C18" s="4"/>
      <c r="D18" s="5"/>
      <c r="E18" s="15"/>
      <c r="F18" s="38"/>
      <c r="G18" s="38"/>
      <c r="H18" s="15"/>
      <c r="J18" s="38"/>
      <c r="K18" s="38"/>
      <c r="O18" s="38"/>
      <c r="P18" s="38"/>
    </row>
    <row r="19" spans="3:19">
      <c r="C19" s="4"/>
      <c r="D19" s="5"/>
      <c r="E19" s="15"/>
      <c r="F19" s="38"/>
      <c r="G19" s="38"/>
      <c r="H19" s="15"/>
      <c r="J19" s="38"/>
      <c r="K19" s="38"/>
      <c r="O19" s="38"/>
      <c r="P19" s="38"/>
    </row>
    <row r="20" spans="3:19">
      <c r="C20" s="4"/>
      <c r="D20" s="5"/>
      <c r="E20" s="15"/>
      <c r="F20" s="38"/>
      <c r="G20" s="38"/>
      <c r="H20" s="15"/>
      <c r="J20" s="38"/>
      <c r="K20" s="38"/>
      <c r="O20" s="38"/>
      <c r="P20" s="38"/>
    </row>
    <row r="21" spans="3:19">
      <c r="C21" s="4"/>
      <c r="D21" s="5"/>
      <c r="E21" s="15"/>
      <c r="F21" s="38"/>
      <c r="G21" s="38"/>
      <c r="H21" s="15"/>
      <c r="J21" s="38"/>
      <c r="K21" s="38"/>
      <c r="O21" s="38"/>
      <c r="P21" s="38"/>
    </row>
    <row r="22" spans="3:19">
      <c r="C22" s="4"/>
      <c r="D22" s="5"/>
      <c r="E22" s="15"/>
      <c r="F22" s="38"/>
      <c r="G22" s="38"/>
      <c r="H22" s="15"/>
      <c r="J22" s="38"/>
      <c r="K22" s="38"/>
      <c r="O22" s="38"/>
      <c r="P22" s="38"/>
    </row>
    <row r="23" spans="3:19">
      <c r="C23" s="4"/>
      <c r="D23" s="5"/>
      <c r="E23" s="15"/>
      <c r="F23" s="38"/>
      <c r="G23" s="38"/>
      <c r="H23" s="15"/>
      <c r="J23" s="38"/>
      <c r="K23" s="38"/>
      <c r="O23" s="38"/>
      <c r="P23" s="38"/>
    </row>
    <row r="24" spans="3:19">
      <c r="E24" s="15"/>
      <c r="F24" s="38"/>
      <c r="G24" s="38"/>
      <c r="H24" s="15"/>
      <c r="J24" s="38"/>
      <c r="K24" s="38"/>
      <c r="M24" s="39"/>
      <c r="O24" s="38"/>
      <c r="P24" s="38"/>
    </row>
    <row r="25" spans="3:19">
      <c r="E25" s="15"/>
      <c r="F25" s="38"/>
      <c r="G25" s="38"/>
      <c r="H25" s="15"/>
      <c r="J25" s="38"/>
      <c r="K25" s="38"/>
      <c r="M25" s="39"/>
      <c r="O25" s="38"/>
      <c r="P25" s="38"/>
    </row>
    <row r="31" spans="3:19">
      <c r="J31" s="25">
        <f t="shared" ref="J31:P31" si="0">GEOMEAN(J2:J28)</f>
        <v>2.1833333333333331</v>
      </c>
      <c r="K31" s="25">
        <f t="shared" si="0"/>
        <v>123.88466649561393</v>
      </c>
      <c r="L31" s="39">
        <f t="shared" ref="L31:M31" si="1">GEOMEAN(L2:L28)</f>
        <v>10.983097225195358</v>
      </c>
      <c r="M31" s="28">
        <f t="shared" si="1"/>
        <v>8.9370192158284798</v>
      </c>
      <c r="N31" s="39">
        <f t="shared" ref="N31" si="2">GEOMEAN(N2:N6,N7:N10,N11:N28)</f>
        <v>1032.6376796143704</v>
      </c>
      <c r="O31" s="25">
        <f t="shared" si="0"/>
        <v>59.002922968603329</v>
      </c>
      <c r="P31" s="39">
        <f t="shared" si="0"/>
        <v>1.4464511188042841</v>
      </c>
      <c r="S31" s="16" t="s">
        <v>29</v>
      </c>
    </row>
    <row r="32" spans="3:19">
      <c r="E32" s="38">
        <f>AVERAGE(E2:E28)</f>
        <v>26</v>
      </c>
      <c r="I32" s="38">
        <f>AVERAGE(I2:I28)</f>
        <v>8.18</v>
      </c>
      <c r="J32" s="35">
        <f>AVERAGE(J2:J28)</f>
        <v>2.1833333333333331</v>
      </c>
      <c r="K32" s="35">
        <f>AVERAGE(K2:K28)</f>
        <v>123.88466649561396</v>
      </c>
      <c r="L32" s="38">
        <f t="shared" ref="L32:N32" si="3">AVERAGE(L2:L28)</f>
        <v>10.98309722519536</v>
      </c>
      <c r="M32" s="38">
        <f t="shared" si="3"/>
        <v>8.937019215828478</v>
      </c>
      <c r="N32" s="38">
        <f t="shared" si="3"/>
        <v>1032.6376796143704</v>
      </c>
      <c r="O32" s="35">
        <f t="shared" ref="O32:P32" si="4">AVERAGE(O2:O28)</f>
        <v>59.002922968603329</v>
      </c>
      <c r="P32" s="35">
        <f t="shared" si="4"/>
        <v>1.4464511188042841</v>
      </c>
      <c r="S32" s="16" t="s">
        <v>30</v>
      </c>
    </row>
    <row r="33" spans="9:19">
      <c r="I33" s="38" t="e">
        <f>STDEV(I2:I28)</f>
        <v>#DIV/0!</v>
      </c>
      <c r="J33" s="35" t="e">
        <f>STDEV(J2:J28)</f>
        <v>#DIV/0!</v>
      </c>
      <c r="K33" s="35" t="e">
        <f>STDEV(K2:K28)</f>
        <v>#DIV/0!</v>
      </c>
      <c r="L33" s="38" t="e">
        <f t="shared" ref="L33:N33" si="5">STDEV(L2:L28)</f>
        <v>#DIV/0!</v>
      </c>
      <c r="M33" s="38" t="e">
        <f t="shared" si="5"/>
        <v>#DIV/0!</v>
      </c>
      <c r="N33" s="38" t="e">
        <f t="shared" si="5"/>
        <v>#DIV/0!</v>
      </c>
      <c r="O33" s="35" t="e">
        <f t="shared" ref="O33:P33" si="6">STDEV(O2:O28)</f>
        <v>#DIV/0!</v>
      </c>
      <c r="P33" s="35" t="e">
        <f t="shared" si="6"/>
        <v>#DIV/0!</v>
      </c>
      <c r="S33" s="16" t="s">
        <v>31</v>
      </c>
    </row>
    <row r="35" spans="9:19">
      <c r="J35" s="35">
        <f>J31/0.2</f>
        <v>10.916666666666664</v>
      </c>
      <c r="K35" s="35">
        <f>K31/110</f>
        <v>1.1262242408692176</v>
      </c>
      <c r="L35" s="38">
        <f>L31/16</f>
        <v>0.68644357657470989</v>
      </c>
      <c r="M35" s="38">
        <f>M31/6</f>
        <v>1.4895032026380799</v>
      </c>
      <c r="N35" s="38">
        <f>N31</f>
        <v>1032.6376796143704</v>
      </c>
      <c r="O35" s="35">
        <f>O31/3.5</f>
        <v>16.857977991029522</v>
      </c>
      <c r="P35" s="35">
        <f>P31/2</f>
        <v>0.72322555940214206</v>
      </c>
      <c r="S35" s="16" t="s">
        <v>32</v>
      </c>
    </row>
  </sheetData>
  <phoneticPr fontId="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35"/>
  <sheetViews>
    <sheetView workbookViewId="0">
      <pane xSplit="3" ySplit="1" topLeftCell="K2" activePane="bottomRight" state="frozen"/>
      <selection pane="topRight" activeCell="D1" sqref="D1"/>
      <selection pane="bottomLeft" activeCell="A2" sqref="A2"/>
      <selection pane="bottomRight" activeCell="A5" sqref="A5:XFD5"/>
    </sheetView>
  </sheetViews>
  <sheetFormatPr baseColWidth="10" defaultRowHeight="16"/>
  <cols>
    <col min="1" max="1" width="17.42578125" style="1" customWidth="1"/>
    <col min="2" max="2" width="10.7109375" style="3"/>
    <col min="3" max="4" width="10.7109375" style="1"/>
    <col min="5" max="5" width="13.140625" style="6" customWidth="1"/>
    <col min="6" max="6" width="10.7109375" style="6"/>
    <col min="7" max="7" width="10.7109375" style="8"/>
    <col min="8" max="8" width="10.7109375" style="6"/>
    <col min="9" max="9" width="10.7109375" style="30"/>
    <col min="10" max="11" width="10.7109375" style="19"/>
    <col min="12" max="12" width="10.7109375" style="38"/>
    <col min="13" max="13" width="12.140625" style="38" customWidth="1"/>
    <col min="14" max="14" width="10.7109375" style="38"/>
    <col min="15" max="16" width="10.7109375" style="19"/>
    <col min="17" max="17" width="11.5703125" style="1" customWidth="1"/>
    <col min="18" max="18" width="11.85546875" style="3" customWidth="1"/>
    <col min="19" max="19" width="46.5703125" style="16" customWidth="1"/>
    <col min="20" max="16384" width="10.7109375" style="1"/>
  </cols>
  <sheetData>
    <row r="1" spans="1:19" s="2" customFormat="1" ht="32">
      <c r="A1" s="2" t="s">
        <v>0</v>
      </c>
      <c r="B1" s="2" t="s">
        <v>9</v>
      </c>
      <c r="C1" s="2" t="s">
        <v>1</v>
      </c>
      <c r="D1" s="2" t="s">
        <v>2</v>
      </c>
      <c r="E1" s="14" t="s">
        <v>3</v>
      </c>
      <c r="F1" s="14" t="s">
        <v>4</v>
      </c>
      <c r="G1" s="12" t="s">
        <v>5</v>
      </c>
      <c r="H1" s="14" t="s">
        <v>6</v>
      </c>
      <c r="I1" s="29" t="s">
        <v>7</v>
      </c>
      <c r="J1" s="20" t="s">
        <v>8</v>
      </c>
      <c r="K1" s="20" t="s">
        <v>23</v>
      </c>
      <c r="L1" s="37" t="s">
        <v>26</v>
      </c>
      <c r="M1" s="37" t="s">
        <v>27</v>
      </c>
      <c r="N1" s="37" t="s">
        <v>28</v>
      </c>
      <c r="O1" s="20" t="s">
        <v>24</v>
      </c>
      <c r="P1" s="20" t="s">
        <v>25</v>
      </c>
      <c r="Q1" s="2" t="s">
        <v>33</v>
      </c>
      <c r="R1" s="2" t="s">
        <v>34</v>
      </c>
      <c r="S1" s="2" t="s">
        <v>22</v>
      </c>
    </row>
    <row r="2" spans="1:19" ht="32">
      <c r="A2" s="1" t="s">
        <v>14</v>
      </c>
      <c r="B2" s="3" t="s">
        <v>15</v>
      </c>
      <c r="C2" s="4">
        <v>42909</v>
      </c>
      <c r="D2" s="5">
        <v>0.3611111111111111</v>
      </c>
      <c r="E2" s="6">
        <v>26.4</v>
      </c>
      <c r="F2" s="6">
        <v>33.799999999999997</v>
      </c>
      <c r="G2" s="8">
        <v>6.44</v>
      </c>
      <c r="H2" s="6">
        <v>96.8</v>
      </c>
      <c r="I2" s="30">
        <v>8.1300000000000008</v>
      </c>
      <c r="J2" s="19">
        <f>AVERAGE(1.47,1.36,1.36)</f>
        <v>1.3966666666666667</v>
      </c>
      <c r="K2" s="38">
        <v>79.365873387055302</v>
      </c>
      <c r="L2" s="38">
        <v>11.053372984405934</v>
      </c>
      <c r="M2" s="38">
        <v>6.5003672919681144</v>
      </c>
      <c r="N2" s="38">
        <v>367.11933776697003</v>
      </c>
      <c r="O2" s="38">
        <v>11.342548242411599</v>
      </c>
      <c r="P2" s="38">
        <v>3.4960092259932334</v>
      </c>
      <c r="Q2" s="1">
        <v>1</v>
      </c>
      <c r="R2" s="3" t="s">
        <v>36</v>
      </c>
      <c r="S2" s="16" t="s">
        <v>35</v>
      </c>
    </row>
    <row r="3" spans="1:19" ht="32">
      <c r="A3" s="1" t="s">
        <v>14</v>
      </c>
      <c r="B3" s="3" t="s">
        <v>15</v>
      </c>
      <c r="C3" s="4">
        <v>42930</v>
      </c>
      <c r="D3" s="5">
        <v>0.36180555555555555</v>
      </c>
      <c r="E3" s="6">
        <v>26.5</v>
      </c>
      <c r="F3" s="6">
        <v>34.299999999999997</v>
      </c>
      <c r="G3" s="8">
        <v>6.74</v>
      </c>
      <c r="H3" s="6">
        <v>101.3</v>
      </c>
      <c r="I3" s="30">
        <v>8.15</v>
      </c>
      <c r="J3" s="19">
        <f>AVERAGE(1.81,1.41,1.39)</f>
        <v>1.5366666666666664</v>
      </c>
      <c r="K3" s="38">
        <v>70.672110466308467</v>
      </c>
      <c r="L3" s="38">
        <v>9.9109645387284555</v>
      </c>
      <c r="M3" s="38">
        <v>5.4973460503180611</v>
      </c>
      <c r="N3" s="38">
        <v>311.63351853723844</v>
      </c>
      <c r="O3" s="38">
        <v>11.985714931098888</v>
      </c>
      <c r="P3" s="38">
        <v>3.1478060446282283</v>
      </c>
      <c r="Q3" s="1">
        <v>1</v>
      </c>
      <c r="R3" s="3" t="s">
        <v>38</v>
      </c>
      <c r="S3" s="16" t="s">
        <v>35</v>
      </c>
    </row>
    <row r="4" spans="1:19" ht="32">
      <c r="A4" s="1" t="s">
        <v>14</v>
      </c>
      <c r="B4" s="3" t="s">
        <v>15</v>
      </c>
      <c r="C4" s="4">
        <v>42951</v>
      </c>
      <c r="D4" s="5">
        <v>0.36736111111111108</v>
      </c>
      <c r="E4" s="6">
        <v>27.3</v>
      </c>
      <c r="F4" s="17">
        <v>34.299999999999997</v>
      </c>
      <c r="G4" s="8">
        <v>6.7</v>
      </c>
      <c r="H4" s="6">
        <v>102</v>
      </c>
      <c r="I4" s="30">
        <v>8.17</v>
      </c>
      <c r="J4" s="19">
        <f>AVERAGE(2.8,3.01,2.86)</f>
        <v>2.89</v>
      </c>
      <c r="K4" s="38">
        <v>78.318379736915389</v>
      </c>
      <c r="L4" s="38">
        <v>11.072252806327278</v>
      </c>
      <c r="M4" s="38">
        <v>6.4716138811098052</v>
      </c>
      <c r="N4" s="38">
        <v>202.35316306945364</v>
      </c>
      <c r="O4" s="38">
        <v>9.5414292254928075</v>
      </c>
      <c r="P4" s="38">
        <v>1.8632683383208803</v>
      </c>
      <c r="Q4" s="1">
        <v>2</v>
      </c>
      <c r="R4" s="3" t="s">
        <v>41</v>
      </c>
      <c r="S4" s="16" t="s">
        <v>35</v>
      </c>
    </row>
    <row r="5" spans="1:19" ht="32">
      <c r="A5" s="1" t="s">
        <v>14</v>
      </c>
      <c r="B5" s="3" t="s">
        <v>15</v>
      </c>
      <c r="C5" s="4">
        <v>42972</v>
      </c>
      <c r="D5" s="5">
        <v>0.35694444444444445</v>
      </c>
      <c r="E5" s="6">
        <v>26.3</v>
      </c>
      <c r="F5" s="6">
        <v>34.9</v>
      </c>
      <c r="G5" s="8">
        <v>6.6</v>
      </c>
      <c r="H5" s="6">
        <v>99.5</v>
      </c>
      <c r="I5" s="30">
        <v>8.1199999999999992</v>
      </c>
      <c r="J5" s="19">
        <f>AVERAGE(1.11,1.24,1.2)</f>
        <v>1.1833333333333333</v>
      </c>
      <c r="K5" s="38">
        <v>79.388956730706823</v>
      </c>
      <c r="L5" s="38">
        <v>13.168000803579456</v>
      </c>
      <c r="M5" s="38">
        <v>5.9181483447210672</v>
      </c>
      <c r="N5" s="38">
        <v>226.64007523010144</v>
      </c>
      <c r="O5" s="38">
        <v>9.2091174413958434</v>
      </c>
      <c r="P5" s="38">
        <v>2.1391685198130856</v>
      </c>
      <c r="Q5" s="1">
        <v>1</v>
      </c>
      <c r="R5" s="3" t="s">
        <v>42</v>
      </c>
      <c r="S5" s="16" t="s">
        <v>35</v>
      </c>
    </row>
    <row r="6" spans="1:19" ht="32">
      <c r="A6" s="1" t="s">
        <v>14</v>
      </c>
      <c r="B6" s="3" t="s">
        <v>15</v>
      </c>
      <c r="C6" s="4">
        <v>42993</v>
      </c>
      <c r="D6" s="5">
        <v>0.36458333333333331</v>
      </c>
      <c r="E6" s="6">
        <v>27.5</v>
      </c>
      <c r="F6" s="6">
        <v>34.700000000000003</v>
      </c>
      <c r="G6" s="8">
        <v>6.61</v>
      </c>
      <c r="H6" s="6">
        <v>101.4</v>
      </c>
      <c r="I6" s="30">
        <v>8.16</v>
      </c>
      <c r="J6" s="19">
        <f>AVERAGE(0.84,1.17,0.86)</f>
        <v>0.95666666666666655</v>
      </c>
      <c r="K6" s="38">
        <v>50.739972456866205</v>
      </c>
      <c r="L6" s="38">
        <v>16.088833254526758</v>
      </c>
      <c r="M6" s="38">
        <v>6.2358677036655505</v>
      </c>
      <c r="N6" s="38">
        <v>210.76184929957572</v>
      </c>
      <c r="O6" s="38">
        <v>6.6264754027315167</v>
      </c>
      <c r="P6" s="38">
        <v>2.3922881261894333</v>
      </c>
      <c r="Q6" s="1">
        <v>1</v>
      </c>
      <c r="R6" s="3" t="s">
        <v>43</v>
      </c>
      <c r="S6" s="16" t="s">
        <v>35</v>
      </c>
    </row>
    <row r="7" spans="1:19" ht="32">
      <c r="A7" s="1" t="s">
        <v>14</v>
      </c>
      <c r="B7" s="3" t="s">
        <v>15</v>
      </c>
      <c r="C7" s="4">
        <v>43014</v>
      </c>
      <c r="D7" s="5">
        <v>0.3611111111111111</v>
      </c>
      <c r="E7" s="6">
        <v>26.4</v>
      </c>
      <c r="F7" s="6">
        <v>34.1</v>
      </c>
      <c r="G7" s="8">
        <v>6.64</v>
      </c>
      <c r="H7" s="6">
        <v>99.9</v>
      </c>
      <c r="I7" s="30">
        <v>8.16</v>
      </c>
      <c r="J7" s="19">
        <f>AVERAGE(2.65,1.82,2.26)</f>
        <v>2.2433333333333332</v>
      </c>
      <c r="K7" s="38">
        <v>61.831760620288925</v>
      </c>
      <c r="L7" s="38">
        <v>13.188488089677286</v>
      </c>
      <c r="M7" s="38">
        <v>7.4754164694873815</v>
      </c>
      <c r="N7" s="38">
        <v>334.05690027903188</v>
      </c>
      <c r="O7" s="38">
        <v>8.2364544340365917</v>
      </c>
      <c r="P7" s="38">
        <v>4.5957952893253804</v>
      </c>
      <c r="Q7" s="1">
        <v>1</v>
      </c>
      <c r="R7" s="3" t="s">
        <v>44</v>
      </c>
      <c r="S7" s="16" t="s">
        <v>35</v>
      </c>
    </row>
    <row r="8" spans="1:19" ht="32">
      <c r="A8" s="1" t="s">
        <v>14</v>
      </c>
      <c r="B8" s="3" t="s">
        <v>15</v>
      </c>
      <c r="C8" s="4">
        <v>43035</v>
      </c>
      <c r="D8" s="5">
        <v>0.36458333333333331</v>
      </c>
      <c r="E8" s="6">
        <v>26.4</v>
      </c>
      <c r="F8" s="6">
        <v>34.799999999999997</v>
      </c>
      <c r="G8" s="8">
        <v>6.83</v>
      </c>
      <c r="H8" s="6">
        <v>103.3</v>
      </c>
      <c r="I8" s="30">
        <v>8.17</v>
      </c>
      <c r="J8" s="19">
        <f>AVERAGE(3.72,3.28,3.43)</f>
        <v>3.4766666666666666</v>
      </c>
      <c r="K8" s="38">
        <v>59.559064495904749</v>
      </c>
      <c r="L8" s="38">
        <v>10.016035889873073</v>
      </c>
      <c r="M8" s="38">
        <v>5.3905572675912117</v>
      </c>
      <c r="N8" s="38">
        <v>139.43053598040277</v>
      </c>
      <c r="O8" s="38">
        <v>11.278682132539611</v>
      </c>
      <c r="P8" s="38">
        <v>5.2062490817769262</v>
      </c>
      <c r="Q8" s="1">
        <v>3</v>
      </c>
      <c r="R8" s="3" t="s">
        <v>46</v>
      </c>
      <c r="S8" s="16" t="s">
        <v>45</v>
      </c>
    </row>
    <row r="9" spans="1:19" ht="32">
      <c r="A9" s="1" t="s">
        <v>14</v>
      </c>
      <c r="B9" s="3" t="s">
        <v>15</v>
      </c>
      <c r="C9" s="4">
        <v>43056</v>
      </c>
      <c r="D9" s="5">
        <v>0.3611111111111111</v>
      </c>
      <c r="E9" s="6">
        <v>25.7</v>
      </c>
      <c r="F9" s="6">
        <v>34.4</v>
      </c>
      <c r="G9" s="8">
        <v>6.71</v>
      </c>
      <c r="H9" s="6">
        <v>99.7</v>
      </c>
      <c r="I9" s="30">
        <v>8.15</v>
      </c>
      <c r="J9" s="19">
        <f>AVERAGE(1.35,1.73,1.67)</f>
        <v>1.5833333333333333</v>
      </c>
      <c r="K9" s="38">
        <v>66.51300851632017</v>
      </c>
      <c r="L9" s="38">
        <v>13.879996559178204</v>
      </c>
      <c r="M9" s="38">
        <v>5.585480939031477</v>
      </c>
      <c r="N9" s="38">
        <v>329.25285247803339</v>
      </c>
      <c r="O9" s="38">
        <v>7.751693281976066</v>
      </c>
      <c r="P9" s="38">
        <v>3.8819002604051263</v>
      </c>
      <c r="Q9" s="1">
        <v>1</v>
      </c>
      <c r="R9" s="3" t="s">
        <v>47</v>
      </c>
      <c r="S9" s="16" t="s">
        <v>45</v>
      </c>
    </row>
    <row r="10" spans="1:19" ht="32">
      <c r="A10" s="1" t="s">
        <v>14</v>
      </c>
      <c r="B10" s="3" t="s">
        <v>15</v>
      </c>
      <c r="C10" s="4">
        <v>43077</v>
      </c>
      <c r="D10" s="5">
        <v>0.3611111111111111</v>
      </c>
      <c r="E10" s="6">
        <v>24.7</v>
      </c>
      <c r="F10" s="6">
        <v>35.1</v>
      </c>
      <c r="G10" s="8">
        <v>6.95</v>
      </c>
      <c r="H10" s="6">
        <v>101.6</v>
      </c>
      <c r="I10" s="30">
        <v>8.18</v>
      </c>
      <c r="J10" s="19">
        <f>AVERAGE(1.41,1.71,1.54)</f>
        <v>1.5533333333333335</v>
      </c>
      <c r="Q10" s="1">
        <v>3</v>
      </c>
      <c r="R10" s="3" t="s">
        <v>48</v>
      </c>
      <c r="S10" s="16" t="s">
        <v>45</v>
      </c>
    </row>
    <row r="11" spans="1:19" ht="32">
      <c r="A11" s="1" t="s">
        <v>14</v>
      </c>
      <c r="B11" s="3" t="s">
        <v>15</v>
      </c>
      <c r="C11" s="4">
        <v>43091</v>
      </c>
      <c r="D11" s="5">
        <v>0.36249999999999999</v>
      </c>
      <c r="E11" s="6">
        <v>23.4</v>
      </c>
      <c r="F11" s="6">
        <v>33.9</v>
      </c>
      <c r="G11" s="8">
        <v>6.98</v>
      </c>
      <c r="H11" s="6">
        <v>99.5</v>
      </c>
      <c r="I11" s="30">
        <v>8.17</v>
      </c>
      <c r="J11" s="19">
        <f>AVERAGE(7.26,7.37,7.55)</f>
        <v>7.3933333333333335</v>
      </c>
      <c r="Q11" s="1">
        <v>1</v>
      </c>
      <c r="R11" s="3" t="s">
        <v>49</v>
      </c>
      <c r="S11" s="16" t="s">
        <v>45</v>
      </c>
    </row>
    <row r="12" spans="1:19" ht="32">
      <c r="A12" s="1" t="s">
        <v>14</v>
      </c>
      <c r="B12" s="3" t="s">
        <v>15</v>
      </c>
      <c r="C12" s="4">
        <v>43112</v>
      </c>
      <c r="D12" s="5">
        <v>0.36458333333333331</v>
      </c>
      <c r="E12" s="6">
        <v>24</v>
      </c>
      <c r="F12" s="6">
        <v>34.299999999999997</v>
      </c>
      <c r="G12" s="8">
        <v>7.04</v>
      </c>
      <c r="H12" s="6">
        <v>101.3</v>
      </c>
      <c r="I12" s="30">
        <v>8.16</v>
      </c>
      <c r="J12" s="19">
        <f>AVERAGE(3.27,4.44,3.68)</f>
        <v>3.7966666666666669</v>
      </c>
      <c r="Q12" s="1">
        <v>3</v>
      </c>
      <c r="R12" s="3" t="s">
        <v>50</v>
      </c>
      <c r="S12" s="16" t="s">
        <v>45</v>
      </c>
    </row>
    <row r="13" spans="1:19">
      <c r="C13" s="4"/>
      <c r="D13" s="5"/>
      <c r="E13" s="15"/>
      <c r="F13" s="15"/>
      <c r="G13" s="38"/>
      <c r="H13" s="15"/>
      <c r="I13" s="38"/>
      <c r="J13" s="38"/>
      <c r="K13" s="38"/>
      <c r="O13" s="38"/>
      <c r="P13" s="38"/>
    </row>
    <row r="14" spans="1:19">
      <c r="C14" s="4"/>
      <c r="D14" s="5"/>
      <c r="E14" s="15"/>
      <c r="F14" s="15"/>
      <c r="G14" s="38"/>
      <c r="H14" s="15"/>
      <c r="I14" s="38"/>
      <c r="J14" s="38"/>
      <c r="K14" s="38"/>
      <c r="O14" s="38"/>
      <c r="P14" s="38"/>
    </row>
    <row r="15" spans="1:19">
      <c r="C15" s="4"/>
      <c r="D15" s="5"/>
      <c r="E15" s="15"/>
      <c r="F15" s="15"/>
      <c r="G15" s="38"/>
      <c r="H15" s="15"/>
      <c r="I15" s="38"/>
      <c r="J15" s="38"/>
      <c r="K15" s="38"/>
    </row>
    <row r="16" spans="1:19">
      <c r="C16" s="4"/>
      <c r="D16" s="5"/>
      <c r="E16" s="15"/>
      <c r="F16" s="15"/>
      <c r="G16" s="38"/>
      <c r="H16" s="15"/>
      <c r="I16" s="38"/>
      <c r="J16" s="38"/>
      <c r="K16" s="38"/>
      <c r="O16" s="38"/>
      <c r="P16" s="38"/>
    </row>
    <row r="17" spans="3:19">
      <c r="C17" s="4"/>
      <c r="D17" s="5"/>
    </row>
    <row r="18" spans="3:19">
      <c r="C18" s="4"/>
      <c r="D18" s="5"/>
    </row>
    <row r="19" spans="3:19">
      <c r="C19" s="4"/>
      <c r="D19" s="5"/>
      <c r="E19" s="15"/>
      <c r="F19" s="15"/>
      <c r="G19" s="38"/>
      <c r="H19" s="15"/>
      <c r="I19" s="38"/>
      <c r="J19" s="38"/>
      <c r="K19" s="38"/>
      <c r="O19" s="38"/>
      <c r="P19" s="38"/>
    </row>
    <row r="20" spans="3:19">
      <c r="C20" s="4"/>
      <c r="D20" s="5"/>
      <c r="E20" s="15"/>
      <c r="F20" s="15"/>
      <c r="G20" s="38"/>
      <c r="H20" s="15"/>
      <c r="I20" s="38"/>
      <c r="J20" s="38"/>
      <c r="K20" s="38"/>
      <c r="O20" s="38"/>
      <c r="P20" s="38"/>
    </row>
    <row r="21" spans="3:19">
      <c r="C21" s="4"/>
      <c r="D21" s="5"/>
      <c r="E21" s="15"/>
      <c r="F21" s="15"/>
      <c r="G21" s="38"/>
      <c r="H21" s="15"/>
      <c r="I21" s="38"/>
      <c r="J21" s="38"/>
      <c r="K21" s="38"/>
      <c r="O21" s="38"/>
      <c r="P21" s="38"/>
    </row>
    <row r="22" spans="3:19">
      <c r="C22" s="4"/>
      <c r="D22" s="5"/>
      <c r="E22" s="15"/>
      <c r="F22" s="15"/>
      <c r="G22" s="38"/>
      <c r="H22" s="15"/>
      <c r="I22" s="38"/>
      <c r="J22" s="38"/>
      <c r="K22" s="38"/>
      <c r="O22" s="38"/>
      <c r="P22" s="38"/>
    </row>
    <row r="23" spans="3:19">
      <c r="C23" s="4"/>
      <c r="D23" s="5"/>
      <c r="E23" s="15"/>
      <c r="F23" s="15"/>
      <c r="G23" s="38"/>
      <c r="H23" s="15"/>
      <c r="I23" s="38"/>
      <c r="J23" s="38"/>
      <c r="K23" s="38"/>
      <c r="O23" s="38"/>
      <c r="P23" s="38"/>
    </row>
    <row r="25" spans="3:19">
      <c r="E25" s="15"/>
      <c r="F25" s="15"/>
      <c r="G25" s="38"/>
      <c r="H25" s="15"/>
      <c r="I25" s="38"/>
      <c r="J25" s="38"/>
      <c r="K25" s="38"/>
      <c r="O25" s="38"/>
      <c r="P25" s="38"/>
    </row>
    <row r="26" spans="3:19">
      <c r="E26" s="15"/>
      <c r="F26" s="15"/>
      <c r="G26" s="38"/>
      <c r="H26" s="15"/>
      <c r="I26" s="38"/>
      <c r="J26" s="38"/>
      <c r="K26" s="38"/>
      <c r="O26" s="38"/>
      <c r="P26" s="38"/>
    </row>
    <row r="31" spans="3:19">
      <c r="J31" s="39">
        <f>GEOMEAN(J2:J28)</f>
        <v>2.1146283964620611</v>
      </c>
      <c r="K31" s="39">
        <f>GEOMEAN(K2:K28)</f>
        <v>67.548427563884403</v>
      </c>
      <c r="L31" s="39">
        <f t="shared" ref="L31:N31" si="0">GEOMEAN(L2:L28)</f>
        <v>12.137980129527902</v>
      </c>
      <c r="M31" s="28">
        <f t="shared" si="0"/>
        <v>6.1015404209534498</v>
      </c>
      <c r="N31" s="38">
        <f t="shared" si="0"/>
        <v>253.32307565446129</v>
      </c>
      <c r="O31" s="25">
        <f t="shared" ref="O31:P31" si="1">GEOMEAN(O2:O28)</f>
        <v>9.3214930791353314</v>
      </c>
      <c r="P31" s="28">
        <f t="shared" si="1"/>
        <v>3.1521403886714578</v>
      </c>
      <c r="S31" s="16" t="s">
        <v>29</v>
      </c>
    </row>
    <row r="32" spans="3:19">
      <c r="D32" s="42">
        <f>AVERAGE(D2:D28)</f>
        <v>0.3624368686868687</v>
      </c>
      <c r="E32" s="38">
        <f>AVERAGE(E2:E28)</f>
        <v>25.872727272727271</v>
      </c>
      <c r="F32" s="38">
        <f t="shared" ref="F32:H32" si="2">AVERAGE(F2:F28)</f>
        <v>34.418181818181814</v>
      </c>
      <c r="G32" s="38">
        <f t="shared" si="2"/>
        <v>6.7490909090909099</v>
      </c>
      <c r="H32" s="38">
        <f t="shared" si="2"/>
        <v>100.57272727272726</v>
      </c>
      <c r="I32" s="27">
        <f>AVERAGE(I2:I28)</f>
        <v>8.156363636363638</v>
      </c>
      <c r="J32" s="19">
        <f>AVERAGE(J2:J28)</f>
        <v>2.5463636363636364</v>
      </c>
      <c r="K32" s="19">
        <f>AVERAGE(K2:K28)</f>
        <v>68.298640801295761</v>
      </c>
      <c r="L32" s="38">
        <f t="shared" ref="L32:N32" si="3">AVERAGE(L2:L28)</f>
        <v>12.297243115787058</v>
      </c>
      <c r="M32" s="38">
        <f t="shared" si="3"/>
        <v>6.1343497434865837</v>
      </c>
      <c r="N32" s="38">
        <f t="shared" si="3"/>
        <v>265.15602908010089</v>
      </c>
      <c r="O32" s="19">
        <f t="shared" ref="O32:P32" si="4">AVERAGE(O2:O28)</f>
        <v>9.4965143864603636</v>
      </c>
      <c r="P32" s="19">
        <f t="shared" si="4"/>
        <v>3.3403106108065366</v>
      </c>
      <c r="S32" s="16" t="s">
        <v>30</v>
      </c>
    </row>
    <row r="33" spans="5:19">
      <c r="E33" s="38">
        <f>STDEV(E2:E28)</f>
        <v>1.3085036561592156</v>
      </c>
      <c r="F33" s="38">
        <f t="shared" ref="F33:H33" si="5">STDEV(F2:F28)</f>
        <v>0.41429019254210125</v>
      </c>
      <c r="G33" s="38">
        <f t="shared" si="5"/>
        <v>0.18381809189814025</v>
      </c>
      <c r="H33" s="38">
        <f t="shared" si="5"/>
        <v>1.7326805297525141</v>
      </c>
      <c r="I33" s="27">
        <f>STDEV(I2:I28)</f>
        <v>1.8040358794372498E-2</v>
      </c>
      <c r="J33" s="19">
        <f>STDEV(J2:J28)</f>
        <v>1.8647135344756216</v>
      </c>
      <c r="K33" s="19">
        <f>STDEV(K2:K28)</f>
        <v>10.56411257222314</v>
      </c>
      <c r="L33" s="38">
        <f t="shared" ref="L33:N33" si="6">STDEV(L2:L28)</f>
        <v>2.1507422909309337</v>
      </c>
      <c r="M33" s="38">
        <f t="shared" si="6"/>
        <v>0.69317929713021476</v>
      </c>
      <c r="N33" s="38">
        <f t="shared" si="6"/>
        <v>80.716179344287781</v>
      </c>
      <c r="O33" s="19">
        <f t="shared" ref="O33:P33" si="7">STDEV(O2:O28)</f>
        <v>1.9173632232532858</v>
      </c>
      <c r="P33" s="19">
        <f t="shared" si="7"/>
        <v>1.1913815749295351</v>
      </c>
      <c r="S33" s="16" t="s">
        <v>31</v>
      </c>
    </row>
    <row r="35" spans="5:19">
      <c r="J35" s="19">
        <f>J31/0.2</f>
        <v>10.573141982310306</v>
      </c>
      <c r="K35" s="19">
        <f>K31/110</f>
        <v>0.61407661421713089</v>
      </c>
      <c r="L35" s="38">
        <f>L31/16</f>
        <v>0.75862375809549387</v>
      </c>
      <c r="M35" s="38">
        <f>M31/6</f>
        <v>1.0169234034922416</v>
      </c>
      <c r="N35" s="38">
        <f>N31</f>
        <v>253.32307565446129</v>
      </c>
      <c r="O35" s="19">
        <f>O31/3.5</f>
        <v>2.6632837368958091</v>
      </c>
      <c r="P35" s="19">
        <f>P31/2</f>
        <v>1.5760701943357289</v>
      </c>
      <c r="S35" s="16" t="s">
        <v>32</v>
      </c>
    </row>
  </sheetData>
  <phoneticPr fontId="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35"/>
  <sheetViews>
    <sheetView workbookViewId="0">
      <pane xSplit="3" ySplit="1" topLeftCell="K3" activePane="bottomRight" state="frozen"/>
      <selection pane="topRight" activeCell="D1" sqref="D1"/>
      <selection pane="bottomLeft" activeCell="A2" sqref="A2"/>
      <selection pane="bottomRight" activeCell="A5" sqref="A5:XFD5"/>
    </sheetView>
  </sheetViews>
  <sheetFormatPr baseColWidth="10" defaultRowHeight="16"/>
  <cols>
    <col min="1" max="1" width="15.42578125" style="1" customWidth="1"/>
    <col min="2" max="2" width="10.7109375" style="3"/>
    <col min="3" max="4" width="10.7109375" style="1"/>
    <col min="5" max="5" width="13.140625" style="11" customWidth="1"/>
    <col min="6" max="6" width="10.7109375" style="11"/>
    <col min="7" max="7" width="10.7109375" style="10"/>
    <col min="8" max="8" width="10.7109375" style="11"/>
    <col min="9" max="9" width="10.7109375" style="10"/>
    <col min="10" max="11" width="10.7109375" style="22"/>
    <col min="12" max="12" width="10.7109375" style="38"/>
    <col min="13" max="13" width="12.140625" style="38" customWidth="1"/>
    <col min="14" max="14" width="10.7109375" style="38"/>
    <col min="15" max="16" width="10.7109375" style="22"/>
    <col min="17" max="17" width="12" style="1" customWidth="1"/>
    <col min="18" max="18" width="12.7109375" style="3" customWidth="1"/>
    <col min="19" max="19" width="51.42578125" style="16" customWidth="1"/>
    <col min="20" max="16384" width="10.7109375" style="1"/>
  </cols>
  <sheetData>
    <row r="1" spans="1:19" s="2" customFormat="1" ht="32">
      <c r="A1" s="2" t="s">
        <v>0</v>
      </c>
      <c r="B1" s="2" t="s">
        <v>9</v>
      </c>
      <c r="C1" s="2" t="s">
        <v>1</v>
      </c>
      <c r="D1" s="2" t="s">
        <v>2</v>
      </c>
      <c r="E1" s="14" t="s">
        <v>3</v>
      </c>
      <c r="F1" s="14" t="s">
        <v>4</v>
      </c>
      <c r="G1" s="12" t="s">
        <v>5</v>
      </c>
      <c r="H1" s="14" t="s">
        <v>6</v>
      </c>
      <c r="I1" s="12" t="s">
        <v>7</v>
      </c>
      <c r="J1" s="21" t="s">
        <v>8</v>
      </c>
      <c r="K1" s="21" t="s">
        <v>23</v>
      </c>
      <c r="L1" s="37" t="s">
        <v>26</v>
      </c>
      <c r="M1" s="37" t="s">
        <v>27</v>
      </c>
      <c r="N1" s="37" t="s">
        <v>28</v>
      </c>
      <c r="O1" s="21" t="s">
        <v>24</v>
      </c>
      <c r="P1" s="21" t="s">
        <v>25</v>
      </c>
      <c r="Q1" s="2" t="s">
        <v>33</v>
      </c>
      <c r="R1" s="2" t="s">
        <v>34</v>
      </c>
      <c r="S1" s="2" t="s">
        <v>22</v>
      </c>
    </row>
    <row r="2" spans="1:19" ht="32">
      <c r="A2" s="1" t="s">
        <v>16</v>
      </c>
      <c r="B2" s="3" t="s">
        <v>17</v>
      </c>
      <c r="C2" s="4">
        <v>42909</v>
      </c>
      <c r="D2" s="5">
        <v>0.38472222222222219</v>
      </c>
      <c r="E2" s="11">
        <v>26.7</v>
      </c>
      <c r="F2" s="11">
        <v>34.200000000000003</v>
      </c>
      <c r="G2" s="10">
        <v>6.72</v>
      </c>
      <c r="H2" s="11">
        <v>102</v>
      </c>
      <c r="I2" s="10">
        <v>8.1999999999999993</v>
      </c>
      <c r="J2" s="22">
        <f>AVERAGE(0.6,0.32,0.38)</f>
        <v>0.43333333333333329</v>
      </c>
      <c r="K2" s="38">
        <v>73.23943396844632</v>
      </c>
      <c r="L2" s="38">
        <v>13.261203086271459</v>
      </c>
      <c r="M2" s="38">
        <v>4.7055120801959713</v>
      </c>
      <c r="N2" s="38">
        <v>84.025640814361978</v>
      </c>
      <c r="O2" s="38">
        <v>4.3076358610618541</v>
      </c>
      <c r="P2" s="38">
        <v>1.8950559641947753</v>
      </c>
      <c r="Q2" s="1">
        <v>1</v>
      </c>
      <c r="R2" s="3" t="s">
        <v>36</v>
      </c>
      <c r="S2" s="16" t="s">
        <v>35</v>
      </c>
    </row>
    <row r="3" spans="1:19" ht="32">
      <c r="A3" s="1" t="s">
        <v>16</v>
      </c>
      <c r="B3" s="3" t="s">
        <v>17</v>
      </c>
      <c r="C3" s="4">
        <v>42930</v>
      </c>
      <c r="D3" s="5">
        <v>0.38194444444444442</v>
      </c>
      <c r="E3" s="11">
        <v>26.4</v>
      </c>
      <c r="F3" s="11">
        <v>34.6</v>
      </c>
      <c r="G3" s="10">
        <v>6.73</v>
      </c>
      <c r="H3" s="11">
        <v>101.5</v>
      </c>
      <c r="I3" s="10">
        <v>8.16</v>
      </c>
      <c r="J3" s="22">
        <f>AVERAGE(0.84,0.93,0.91)</f>
        <v>0.89333333333333342</v>
      </c>
      <c r="K3" s="38">
        <v>66.785593754150284</v>
      </c>
      <c r="L3" s="38">
        <v>12.741923899343686</v>
      </c>
      <c r="M3" s="38">
        <v>4.3088272401541934</v>
      </c>
      <c r="N3" s="38">
        <v>88.076110583519707</v>
      </c>
      <c r="O3" s="38">
        <v>8.9537284084599484</v>
      </c>
      <c r="P3" s="38">
        <v>1.2364363915379486</v>
      </c>
      <c r="Q3" s="1">
        <v>1</v>
      </c>
      <c r="R3" s="3" t="s">
        <v>38</v>
      </c>
      <c r="S3" s="16" t="s">
        <v>35</v>
      </c>
    </row>
    <row r="4" spans="1:19" ht="32">
      <c r="A4" s="1" t="s">
        <v>16</v>
      </c>
      <c r="B4" s="3" t="s">
        <v>17</v>
      </c>
      <c r="C4" s="4">
        <v>42951</v>
      </c>
      <c r="D4" s="5">
        <v>0.39027777777777778</v>
      </c>
      <c r="E4" s="11">
        <v>27.2</v>
      </c>
      <c r="F4" s="11">
        <v>34.4</v>
      </c>
      <c r="G4" s="10">
        <v>6.75</v>
      </c>
      <c r="H4" s="11">
        <v>102.7</v>
      </c>
      <c r="I4" s="10">
        <v>8.16</v>
      </c>
      <c r="J4" s="22">
        <f>AVERAGE(0.67,0.7,0.61)</f>
        <v>0.66</v>
      </c>
      <c r="K4" s="38">
        <v>73.506730914819457</v>
      </c>
      <c r="L4" s="38">
        <v>10.253159923304189</v>
      </c>
      <c r="M4" s="38">
        <v>4.9628124834609206</v>
      </c>
      <c r="N4" s="38">
        <v>104.47278546161347</v>
      </c>
      <c r="O4" s="38">
        <v>7.8857003363079379</v>
      </c>
      <c r="P4" s="38">
        <v>1.8489358613602462</v>
      </c>
      <c r="Q4" s="1">
        <v>2</v>
      </c>
      <c r="R4" s="3" t="s">
        <v>41</v>
      </c>
      <c r="S4" s="16" t="s">
        <v>35</v>
      </c>
    </row>
    <row r="5" spans="1:19" ht="32">
      <c r="A5" s="1" t="s">
        <v>16</v>
      </c>
      <c r="B5" s="3" t="s">
        <v>17</v>
      </c>
      <c r="C5" s="4">
        <v>42972</v>
      </c>
      <c r="D5" s="5">
        <v>0.38541666666666669</v>
      </c>
      <c r="E5" s="11">
        <v>26.5</v>
      </c>
      <c r="F5" s="11">
        <v>35.200000000000003</v>
      </c>
      <c r="G5" s="10">
        <v>6.72</v>
      </c>
      <c r="H5" s="11">
        <v>102.1</v>
      </c>
      <c r="I5" s="10">
        <v>8.17</v>
      </c>
      <c r="J5" s="22">
        <f>AVERAGE(1.2,1.33,1.26)</f>
        <v>1.2633333333333334</v>
      </c>
      <c r="K5" s="38">
        <v>74.41672135954218</v>
      </c>
      <c r="L5" s="38">
        <v>11.490272622490785</v>
      </c>
      <c r="M5" s="38">
        <v>5.2588521889711757</v>
      </c>
      <c r="N5" s="38">
        <v>70.622233785789177</v>
      </c>
      <c r="O5" s="38">
        <v>7.6606611281299948</v>
      </c>
      <c r="P5" s="38">
        <v>1.5183931114556235</v>
      </c>
      <c r="Q5" s="1">
        <v>1</v>
      </c>
      <c r="R5" s="3" t="s">
        <v>42</v>
      </c>
      <c r="S5" s="16" t="s">
        <v>35</v>
      </c>
    </row>
    <row r="6" spans="1:19" ht="32">
      <c r="A6" s="1" t="s">
        <v>16</v>
      </c>
      <c r="B6" s="3" t="s">
        <v>17</v>
      </c>
      <c r="C6" s="4">
        <v>42993</v>
      </c>
      <c r="D6" s="5">
        <v>0.3888888888888889</v>
      </c>
      <c r="E6" s="11">
        <v>27.6</v>
      </c>
      <c r="F6" s="11">
        <v>34.799999999999997</v>
      </c>
      <c r="G6" s="10">
        <v>6.69</v>
      </c>
      <c r="H6" s="11">
        <v>103</v>
      </c>
      <c r="I6" s="10">
        <v>8.17</v>
      </c>
      <c r="J6" s="22">
        <f>AVERAGE(0.49,0.52,0.5)</f>
        <v>0.5033333333333333</v>
      </c>
      <c r="K6" s="38">
        <v>60.835299274988159</v>
      </c>
      <c r="L6" s="38">
        <v>17.607223556242023</v>
      </c>
      <c r="M6" s="38">
        <v>5.6467069533865573</v>
      </c>
      <c r="N6" s="38">
        <v>138.85298775706639</v>
      </c>
      <c r="O6" s="38">
        <v>4.2862230532063741</v>
      </c>
      <c r="P6" s="38">
        <v>5.7325646953577474</v>
      </c>
      <c r="Q6" s="1">
        <v>1</v>
      </c>
      <c r="R6" s="3" t="s">
        <v>43</v>
      </c>
      <c r="S6" s="16" t="s">
        <v>35</v>
      </c>
    </row>
    <row r="7" spans="1:19" ht="32">
      <c r="A7" s="1" t="s">
        <v>16</v>
      </c>
      <c r="B7" s="3" t="s">
        <v>17</v>
      </c>
      <c r="C7" s="4">
        <v>43014</v>
      </c>
      <c r="D7" s="5">
        <v>0.38541666666666669</v>
      </c>
      <c r="E7" s="11">
        <v>27</v>
      </c>
      <c r="F7" s="11">
        <v>34.6</v>
      </c>
      <c r="G7" s="10">
        <v>6.6</v>
      </c>
      <c r="H7" s="11">
        <v>100.9</v>
      </c>
      <c r="I7" s="10">
        <v>8.19</v>
      </c>
      <c r="J7" s="22">
        <f>AVERAGE(0.65,0.65,0.61)</f>
        <v>0.63666666666666671</v>
      </c>
      <c r="K7" s="38">
        <v>82.52301811635347</v>
      </c>
      <c r="L7" s="38">
        <v>32.536895256020507</v>
      </c>
      <c r="M7" s="38">
        <v>7.6093943067239875</v>
      </c>
      <c r="N7" s="38">
        <v>83.749811441247161</v>
      </c>
      <c r="O7" s="38">
        <v>2.7185081852403048</v>
      </c>
      <c r="P7" s="39">
        <v>3.0618344775240618</v>
      </c>
      <c r="Q7" s="1">
        <v>1</v>
      </c>
      <c r="R7" s="3" t="s">
        <v>44</v>
      </c>
      <c r="S7" s="16" t="s">
        <v>35</v>
      </c>
    </row>
    <row r="8" spans="1:19" ht="32">
      <c r="A8" s="1" t="s">
        <v>16</v>
      </c>
      <c r="B8" s="3" t="s">
        <v>17</v>
      </c>
      <c r="C8" s="4">
        <v>43035</v>
      </c>
      <c r="D8" s="5">
        <v>0.3888888888888889</v>
      </c>
      <c r="E8" s="11">
        <v>27</v>
      </c>
      <c r="F8" s="11">
        <v>35</v>
      </c>
      <c r="G8" s="10">
        <v>6.79</v>
      </c>
      <c r="H8" s="11">
        <v>104.1</v>
      </c>
      <c r="I8" s="10">
        <v>8.18</v>
      </c>
      <c r="J8" s="22">
        <f>AVERAGE(1.22,1.28,1.33)</f>
        <v>1.2766666666666666</v>
      </c>
      <c r="K8" s="39">
        <v>56.927841442807555</v>
      </c>
      <c r="L8" s="38">
        <v>10.661180087221316</v>
      </c>
      <c r="M8" s="38">
        <v>4.1355403840891229</v>
      </c>
      <c r="N8" s="38">
        <v>65.735459384461535</v>
      </c>
      <c r="O8" s="38">
        <v>5.0017117219644582</v>
      </c>
      <c r="P8" s="39">
        <v>5.3862546872434072</v>
      </c>
      <c r="Q8" s="1">
        <v>3</v>
      </c>
      <c r="R8" s="3" t="s">
        <v>46</v>
      </c>
      <c r="S8" s="16" t="s">
        <v>45</v>
      </c>
    </row>
    <row r="9" spans="1:19" ht="32">
      <c r="A9" s="1" t="s">
        <v>16</v>
      </c>
      <c r="B9" s="3" t="s">
        <v>17</v>
      </c>
      <c r="C9" s="4">
        <v>43056</v>
      </c>
      <c r="D9" s="5">
        <v>0.38541666666666669</v>
      </c>
      <c r="E9" s="11">
        <v>26</v>
      </c>
      <c r="F9" s="11">
        <v>35</v>
      </c>
      <c r="G9" s="10">
        <v>6.66</v>
      </c>
      <c r="H9" s="11">
        <v>100.2</v>
      </c>
      <c r="I9" s="10">
        <v>8.19</v>
      </c>
      <c r="J9" s="22">
        <f>AVERAGE(0.65,0.65,0.69)</f>
        <v>0.66333333333333333</v>
      </c>
      <c r="K9" s="38">
        <v>64.872930569517223</v>
      </c>
      <c r="L9" s="38">
        <v>14.695108539344776</v>
      </c>
      <c r="M9" s="38">
        <v>4.1078404789702407</v>
      </c>
      <c r="N9" s="38">
        <v>71.938502634292135</v>
      </c>
      <c r="O9" s="38">
        <v>2.5523243732265977</v>
      </c>
      <c r="P9" s="39">
        <v>3.4222395505625625</v>
      </c>
      <c r="Q9" s="1">
        <v>1</v>
      </c>
      <c r="R9" s="3" t="s">
        <v>47</v>
      </c>
      <c r="S9" s="16" t="s">
        <v>45</v>
      </c>
    </row>
    <row r="10" spans="1:19" ht="32">
      <c r="A10" s="1" t="s">
        <v>16</v>
      </c>
      <c r="B10" s="3" t="s">
        <v>17</v>
      </c>
      <c r="C10" s="4">
        <v>43077</v>
      </c>
      <c r="D10" s="5">
        <v>0.38541666666666669</v>
      </c>
      <c r="E10" s="11">
        <v>25.1</v>
      </c>
      <c r="F10" s="11">
        <v>35.1</v>
      </c>
      <c r="G10" s="10">
        <v>6.91</v>
      </c>
      <c r="H10" s="11">
        <v>101.8</v>
      </c>
      <c r="I10" s="10">
        <v>8.18</v>
      </c>
      <c r="J10" s="22">
        <f>AVERAGE(0.59,0.69,0.64)</f>
        <v>0.64</v>
      </c>
      <c r="P10" s="39"/>
      <c r="Q10" s="1">
        <v>3</v>
      </c>
      <c r="R10" s="3" t="s">
        <v>48</v>
      </c>
      <c r="S10" s="16" t="s">
        <v>45</v>
      </c>
    </row>
    <row r="11" spans="1:19" ht="32">
      <c r="A11" s="1" t="s">
        <v>16</v>
      </c>
      <c r="B11" s="3" t="s">
        <v>17</v>
      </c>
      <c r="C11" s="4">
        <v>43091</v>
      </c>
      <c r="D11" s="5">
        <v>0.38680555555555557</v>
      </c>
      <c r="E11" s="11">
        <v>24</v>
      </c>
      <c r="F11" s="11">
        <v>35.1</v>
      </c>
      <c r="G11" s="10">
        <v>6.93</v>
      </c>
      <c r="H11" s="11">
        <v>100.7</v>
      </c>
      <c r="I11" s="10">
        <v>8.19</v>
      </c>
      <c r="J11" s="22">
        <f>AVERAGE(4.55,4.11,4.26)</f>
        <v>4.3066666666666666</v>
      </c>
      <c r="P11" s="39"/>
      <c r="Q11" s="1">
        <v>1</v>
      </c>
      <c r="R11" s="3" t="s">
        <v>49</v>
      </c>
      <c r="S11" s="16" t="s">
        <v>45</v>
      </c>
    </row>
    <row r="12" spans="1:19" ht="32">
      <c r="A12" s="1" t="s">
        <v>16</v>
      </c>
      <c r="B12" s="3" t="s">
        <v>17</v>
      </c>
      <c r="C12" s="4">
        <v>43112</v>
      </c>
      <c r="D12" s="5">
        <v>0.38541666666666669</v>
      </c>
      <c r="E12" s="15">
        <v>24.5</v>
      </c>
      <c r="F12" s="15">
        <v>34.700000000000003</v>
      </c>
      <c r="G12" s="38">
        <v>7.02</v>
      </c>
      <c r="H12" s="15">
        <v>102.4</v>
      </c>
      <c r="I12" s="38">
        <v>8.17</v>
      </c>
      <c r="J12" s="38">
        <f>AVERAGE(1.04,1,1.17)</f>
        <v>1.07</v>
      </c>
      <c r="K12" s="38"/>
      <c r="O12" s="38"/>
      <c r="P12" s="39"/>
      <c r="Q12" s="1">
        <v>3</v>
      </c>
      <c r="R12" s="3" t="s">
        <v>50</v>
      </c>
      <c r="S12" s="16" t="s">
        <v>45</v>
      </c>
    </row>
    <row r="13" spans="1:19">
      <c r="C13" s="4"/>
      <c r="D13" s="5"/>
      <c r="E13" s="15"/>
      <c r="F13" s="15"/>
      <c r="G13" s="38"/>
      <c r="H13" s="15"/>
      <c r="I13" s="38"/>
      <c r="J13" s="38"/>
      <c r="K13" s="38"/>
      <c r="O13" s="38"/>
      <c r="P13" s="39"/>
    </row>
    <row r="14" spans="1:19">
      <c r="C14" s="4"/>
      <c r="D14" s="5"/>
      <c r="E14" s="15"/>
      <c r="F14" s="15"/>
      <c r="G14" s="38"/>
      <c r="H14" s="15"/>
      <c r="I14" s="38"/>
      <c r="J14" s="38"/>
      <c r="K14" s="38"/>
      <c r="O14" s="38"/>
      <c r="P14" s="39"/>
    </row>
    <row r="15" spans="1:19">
      <c r="C15" s="4"/>
      <c r="D15" s="5"/>
    </row>
    <row r="16" spans="1:19">
      <c r="C16" s="4"/>
      <c r="D16" s="5"/>
      <c r="E16" s="15"/>
      <c r="F16" s="15"/>
      <c r="G16" s="38"/>
      <c r="H16" s="15"/>
      <c r="I16" s="38"/>
      <c r="J16" s="38"/>
      <c r="K16" s="38"/>
      <c r="O16" s="38"/>
      <c r="P16" s="38"/>
    </row>
    <row r="17" spans="3:19">
      <c r="C17" s="4"/>
      <c r="D17" s="5"/>
      <c r="E17" s="15"/>
      <c r="F17" s="15"/>
      <c r="G17" s="38"/>
      <c r="H17" s="15"/>
      <c r="I17" s="38"/>
      <c r="J17" s="38"/>
      <c r="K17" s="38"/>
      <c r="O17" s="38"/>
      <c r="P17" s="38"/>
    </row>
    <row r="18" spans="3:19">
      <c r="C18" s="4"/>
      <c r="D18" s="5"/>
      <c r="E18" s="15"/>
      <c r="F18" s="15"/>
      <c r="G18" s="38"/>
      <c r="H18" s="15"/>
      <c r="I18" s="38"/>
      <c r="J18" s="38"/>
      <c r="K18" s="38"/>
      <c r="O18" s="38"/>
      <c r="P18" s="38"/>
    </row>
    <row r="19" spans="3:19">
      <c r="C19" s="4"/>
      <c r="D19" s="5"/>
      <c r="E19" s="15"/>
      <c r="F19" s="15"/>
      <c r="G19" s="38"/>
      <c r="H19" s="15"/>
      <c r="I19" s="38"/>
      <c r="J19" s="38"/>
      <c r="K19" s="38"/>
      <c r="O19" s="38"/>
      <c r="P19" s="38"/>
    </row>
    <row r="20" spans="3:19">
      <c r="C20" s="4"/>
      <c r="D20" s="5"/>
      <c r="E20" s="15"/>
      <c r="F20" s="15"/>
      <c r="G20" s="38"/>
      <c r="H20" s="15"/>
      <c r="I20" s="38"/>
      <c r="J20" s="38"/>
      <c r="K20" s="38"/>
      <c r="O20" s="38"/>
      <c r="P20" s="38"/>
    </row>
    <row r="21" spans="3:19">
      <c r="C21" s="4"/>
      <c r="D21" s="5"/>
      <c r="E21" s="15"/>
      <c r="F21" s="15"/>
      <c r="G21" s="38"/>
      <c r="H21" s="15"/>
      <c r="I21" s="38"/>
      <c r="J21" s="38"/>
      <c r="K21" s="38"/>
      <c r="O21" s="38"/>
      <c r="P21" s="38"/>
    </row>
    <row r="22" spans="3:19">
      <c r="C22" s="4"/>
      <c r="D22" s="5"/>
      <c r="E22" s="15"/>
      <c r="F22" s="15"/>
      <c r="G22" s="38"/>
      <c r="H22" s="15"/>
      <c r="I22" s="38"/>
      <c r="J22" s="38"/>
      <c r="K22" s="38"/>
      <c r="O22" s="38"/>
      <c r="P22" s="38"/>
    </row>
    <row r="23" spans="3:19">
      <c r="C23" s="4"/>
      <c r="D23" s="5"/>
      <c r="E23" s="15"/>
      <c r="F23" s="15"/>
      <c r="G23" s="38"/>
      <c r="H23" s="15"/>
      <c r="I23" s="38"/>
      <c r="J23" s="38"/>
      <c r="K23" s="38"/>
      <c r="O23" s="38"/>
      <c r="P23" s="38"/>
    </row>
    <row r="25" spans="3:19">
      <c r="E25" s="15"/>
      <c r="F25" s="15"/>
      <c r="G25" s="38"/>
      <c r="H25" s="15"/>
      <c r="I25" s="38"/>
      <c r="J25" s="38"/>
      <c r="K25" s="38"/>
      <c r="O25" s="38"/>
      <c r="P25" s="38"/>
    </row>
    <row r="31" spans="3:19">
      <c r="J31" s="25">
        <f t="shared" ref="J31:P31" si="0">GEOMEAN(J2:J28)</f>
        <v>0.8842229635575416</v>
      </c>
      <c r="K31" s="39">
        <f t="shared" si="0"/>
        <v>68.697834856059089</v>
      </c>
      <c r="L31" s="39">
        <f t="shared" ref="L31:N31" si="1">GEOMEAN(L2:L28)</f>
        <v>14.338587893252827</v>
      </c>
      <c r="M31" s="39">
        <f t="shared" si="1"/>
        <v>4.9929762179465795</v>
      </c>
      <c r="N31" s="38">
        <f t="shared" si="1"/>
        <v>86.037809256343422</v>
      </c>
      <c r="O31" s="28">
        <f t="shared" si="0"/>
        <v>4.9257931440734462</v>
      </c>
      <c r="P31" s="28">
        <f t="shared" si="0"/>
        <v>2.6061744441435328</v>
      </c>
      <c r="S31" s="16" t="s">
        <v>29</v>
      </c>
    </row>
    <row r="32" spans="3:19">
      <c r="D32" s="43">
        <f>AVERAGE(D2:D28)</f>
        <v>0.38623737373737371</v>
      </c>
      <c r="E32" s="38">
        <f>AVERAGE(E2:E28)</f>
        <v>26.181818181818183</v>
      </c>
      <c r="F32" s="38">
        <f t="shared" ref="F32:H32" si="2">AVERAGE(F2:F28)</f>
        <v>34.790909090909103</v>
      </c>
      <c r="G32" s="38">
        <f t="shared" si="2"/>
        <v>6.7745454545454544</v>
      </c>
      <c r="H32" s="38">
        <f t="shared" si="2"/>
        <v>101.94545454545455</v>
      </c>
      <c r="I32" s="27">
        <f t="shared" ref="I32:P32" si="3">AVERAGE(I2:I28)</f>
        <v>8.1781818181818178</v>
      </c>
      <c r="J32" s="22">
        <f t="shared" si="3"/>
        <v>1.1224242424242425</v>
      </c>
      <c r="K32" s="22">
        <f t="shared" si="3"/>
        <v>69.138446175078087</v>
      </c>
      <c r="L32" s="38">
        <f t="shared" ref="L32:N32" si="4">AVERAGE(L2:L28)</f>
        <v>15.405870871279841</v>
      </c>
      <c r="M32" s="38">
        <f t="shared" si="4"/>
        <v>5.0919357644940204</v>
      </c>
      <c r="N32" s="38">
        <f t="shared" si="4"/>
        <v>88.434191482793935</v>
      </c>
      <c r="O32" s="22">
        <f t="shared" si="3"/>
        <v>5.4208116334496843</v>
      </c>
      <c r="P32" s="22">
        <f t="shared" si="3"/>
        <v>3.0127143424045468</v>
      </c>
      <c r="S32" s="16" t="s">
        <v>30</v>
      </c>
    </row>
    <row r="33" spans="5:19">
      <c r="E33" s="38">
        <f t="shared" ref="E33:H33" si="5">STDEV(E2:E28)</f>
        <v>1.1660344607413626</v>
      </c>
      <c r="F33" s="38">
        <f t="shared" si="5"/>
        <v>0.32079446832597125</v>
      </c>
      <c r="G33" s="38">
        <f t="shared" si="5"/>
        <v>0.12738631295109779</v>
      </c>
      <c r="H33" s="38">
        <f t="shared" si="5"/>
        <v>1.1165694213641835</v>
      </c>
      <c r="I33" s="27">
        <f t="shared" ref="I33:P33" si="6">STDEV(I2:I28)</f>
        <v>1.3280197151255281E-2</v>
      </c>
      <c r="J33" s="22">
        <f t="shared" si="6"/>
        <v>1.0949744704371382</v>
      </c>
      <c r="K33" s="22">
        <f t="shared" si="6"/>
        <v>8.3210457935722424</v>
      </c>
      <c r="L33" s="38">
        <f t="shared" ref="L33:N33" si="7">STDEV(L2:L28)</f>
        <v>7.3184090482216337</v>
      </c>
      <c r="M33" s="38">
        <f t="shared" si="7"/>
        <v>1.1548420038916323</v>
      </c>
      <c r="N33" s="38">
        <f t="shared" si="7"/>
        <v>23.74087643803573</v>
      </c>
      <c r="O33" s="22">
        <f t="shared" si="6"/>
        <v>2.4438512459456256</v>
      </c>
      <c r="P33" s="22">
        <f t="shared" si="6"/>
        <v>1.7399960302972883</v>
      </c>
      <c r="S33" s="16" t="s">
        <v>31</v>
      </c>
    </row>
    <row r="34" spans="5:19">
      <c r="I34" s="27"/>
    </row>
    <row r="35" spans="5:19">
      <c r="J35" s="22">
        <f>J31/0.2</f>
        <v>4.421114817787708</v>
      </c>
      <c r="K35" s="22">
        <f>K31/110</f>
        <v>0.62452577141871901</v>
      </c>
      <c r="L35" s="38">
        <f>L31/16</f>
        <v>0.89616174332830167</v>
      </c>
      <c r="M35" s="38">
        <f>M31/6</f>
        <v>0.83216270299109663</v>
      </c>
      <c r="N35" s="38">
        <f>N31</f>
        <v>86.037809256343422</v>
      </c>
      <c r="O35" s="22">
        <f>O31/3.5</f>
        <v>1.4073694697352703</v>
      </c>
      <c r="P35" s="22">
        <f>P31/2</f>
        <v>1.3030872220717664</v>
      </c>
      <c r="S35" s="16" t="s">
        <v>32</v>
      </c>
    </row>
  </sheetData>
  <sheetCalcPr fullCalcOnLoad="1"/>
  <phoneticPr fontId="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35"/>
  <sheetViews>
    <sheetView workbookViewId="0">
      <pane xSplit="3" ySplit="1" topLeftCell="F2" activePane="bottomRight" state="frozen"/>
      <selection pane="topRight" activeCell="D1" sqref="D1"/>
      <selection pane="bottomLeft" activeCell="A2" sqref="A2"/>
      <selection pane="bottomRight" activeCell="C23" sqref="C23"/>
    </sheetView>
  </sheetViews>
  <sheetFormatPr baseColWidth="10" defaultRowHeight="16"/>
  <cols>
    <col min="1" max="1" width="15.42578125" style="1" customWidth="1"/>
    <col min="2" max="2" width="10.7109375" style="3"/>
    <col min="3" max="4" width="10.7109375" style="1"/>
    <col min="5" max="5" width="13.140625" style="15" customWidth="1"/>
    <col min="6" max="6" width="10.7109375" style="15"/>
    <col min="7" max="7" width="10.7109375" style="13"/>
    <col min="8" max="8" width="10.7109375" style="15"/>
    <col min="9" max="9" width="10.7109375" style="32"/>
    <col min="10" max="11" width="10.7109375" style="24"/>
    <col min="12" max="12" width="10.7109375" style="38"/>
    <col min="13" max="13" width="12.140625" style="38" customWidth="1"/>
    <col min="14" max="14" width="10.7109375" style="38"/>
    <col min="15" max="16" width="10.7109375" style="24"/>
    <col min="17" max="17" width="11.85546875" style="1" customWidth="1"/>
    <col min="18" max="18" width="12.28515625" style="3" customWidth="1"/>
    <col min="19" max="19" width="51.42578125" style="16" customWidth="1"/>
    <col min="20" max="16384" width="10.7109375" style="1"/>
  </cols>
  <sheetData>
    <row r="1" spans="1:19" s="2" customFormat="1" ht="32">
      <c r="A1" s="2" t="s">
        <v>0</v>
      </c>
      <c r="B1" s="2" t="s">
        <v>9</v>
      </c>
      <c r="C1" s="2" t="s">
        <v>1</v>
      </c>
      <c r="D1" s="2" t="s">
        <v>2</v>
      </c>
      <c r="E1" s="14" t="s">
        <v>3</v>
      </c>
      <c r="F1" s="14" t="s">
        <v>4</v>
      </c>
      <c r="G1" s="12" t="s">
        <v>5</v>
      </c>
      <c r="H1" s="14" t="s">
        <v>6</v>
      </c>
      <c r="I1" s="31" t="s">
        <v>7</v>
      </c>
      <c r="J1" s="23" t="s">
        <v>8</v>
      </c>
      <c r="K1" s="23" t="s">
        <v>23</v>
      </c>
      <c r="L1" s="37" t="s">
        <v>26</v>
      </c>
      <c r="M1" s="37" t="s">
        <v>27</v>
      </c>
      <c r="N1" s="37" t="s">
        <v>28</v>
      </c>
      <c r="O1" s="23" t="s">
        <v>24</v>
      </c>
      <c r="P1" s="23" t="s">
        <v>25</v>
      </c>
      <c r="Q1" s="2" t="s">
        <v>33</v>
      </c>
      <c r="R1" s="2" t="s">
        <v>34</v>
      </c>
      <c r="S1" s="2" t="s">
        <v>22</v>
      </c>
    </row>
    <row r="2" spans="1:19" ht="32">
      <c r="A2" s="1" t="s">
        <v>18</v>
      </c>
      <c r="B2" s="3" t="s">
        <v>19</v>
      </c>
      <c r="C2" s="4">
        <v>42909</v>
      </c>
      <c r="D2" s="5">
        <v>0.40972222222222227</v>
      </c>
      <c r="E2" s="15">
        <v>26.3</v>
      </c>
      <c r="F2" s="15">
        <v>31.7</v>
      </c>
      <c r="G2" s="13">
        <v>6.5</v>
      </c>
      <c r="H2" s="15">
        <v>96.4</v>
      </c>
      <c r="I2" s="32">
        <v>8.08</v>
      </c>
      <c r="J2" s="24">
        <f>AVERAGE(1.28,1.2,1.17)</f>
        <v>1.2166666666666666</v>
      </c>
      <c r="K2" s="38">
        <v>282.06092344568037</v>
      </c>
      <c r="L2" s="38">
        <v>27.919555194943626</v>
      </c>
      <c r="M2" s="38">
        <v>25.094795338168158</v>
      </c>
      <c r="N2" s="38">
        <v>2095.311405320364</v>
      </c>
      <c r="O2" s="38">
        <v>208.35783847919058</v>
      </c>
      <c r="P2" s="38">
        <v>5.4374290653667723</v>
      </c>
      <c r="Q2" s="1">
        <v>1</v>
      </c>
      <c r="R2" s="3" t="s">
        <v>36</v>
      </c>
      <c r="S2" s="16" t="s">
        <v>35</v>
      </c>
    </row>
    <row r="3" spans="1:19" ht="32">
      <c r="A3" s="1" t="s">
        <v>18</v>
      </c>
      <c r="B3" s="3" t="s">
        <v>19</v>
      </c>
      <c r="C3" s="4">
        <v>42930</v>
      </c>
      <c r="D3" s="5">
        <v>0.3972222222222222</v>
      </c>
      <c r="E3" s="15">
        <v>27.4</v>
      </c>
      <c r="F3" s="15">
        <v>31.4</v>
      </c>
      <c r="G3" s="13">
        <v>6.51</v>
      </c>
      <c r="H3" s="15">
        <v>97.9</v>
      </c>
      <c r="I3" s="32">
        <v>8.08</v>
      </c>
      <c r="J3" s="24">
        <f>AVERAGE(0.48,0.87,0.44)</f>
        <v>0.59666666666666668</v>
      </c>
      <c r="K3" s="48">
        <v>357.03370013737765</v>
      </c>
      <c r="L3" s="38">
        <v>44.351696649638598</v>
      </c>
      <c r="M3" s="38">
        <v>30.052282069322082</v>
      </c>
      <c r="N3" s="38">
        <v>2740.6076516228923</v>
      </c>
      <c r="O3" s="38">
        <v>326.81385611528947</v>
      </c>
      <c r="P3" s="38">
        <v>5.230219202730062</v>
      </c>
      <c r="Q3" s="1">
        <v>1</v>
      </c>
      <c r="R3" s="3" t="s">
        <v>37</v>
      </c>
      <c r="S3" s="16" t="s">
        <v>35</v>
      </c>
    </row>
    <row r="4" spans="1:19" ht="32">
      <c r="A4" s="1" t="s">
        <v>18</v>
      </c>
      <c r="B4" s="3" t="s">
        <v>19</v>
      </c>
      <c r="C4" s="4">
        <v>42951</v>
      </c>
      <c r="D4" s="5">
        <v>0.40972222222222227</v>
      </c>
      <c r="E4" s="15">
        <v>27.8</v>
      </c>
      <c r="F4" s="15">
        <v>33.4</v>
      </c>
      <c r="G4" s="13">
        <v>6.49</v>
      </c>
      <c r="H4" s="15">
        <v>99.1</v>
      </c>
      <c r="I4" s="32">
        <v>8.09</v>
      </c>
      <c r="J4" s="24">
        <f>AVERAGE(1.19,1.01,0.9)</f>
        <v>1.0333333333333334</v>
      </c>
      <c r="K4" s="38">
        <v>210.65359146946747</v>
      </c>
      <c r="L4" s="38">
        <v>20.099221268885181</v>
      </c>
      <c r="M4" s="38">
        <v>14.606270136869856</v>
      </c>
      <c r="N4" s="38">
        <v>926.01460737345712</v>
      </c>
      <c r="O4" s="38">
        <v>109.83778969099629</v>
      </c>
      <c r="P4" s="38">
        <v>5.0540360216820366</v>
      </c>
      <c r="Q4" s="1">
        <v>2</v>
      </c>
      <c r="R4" s="3" t="s">
        <v>41</v>
      </c>
      <c r="S4" s="16" t="s">
        <v>35</v>
      </c>
    </row>
    <row r="5" spans="1:19" ht="32">
      <c r="A5" s="1" t="s">
        <v>18</v>
      </c>
      <c r="B5" s="3" t="s">
        <v>19</v>
      </c>
      <c r="C5" s="4">
        <v>42972</v>
      </c>
      <c r="D5" s="5">
        <v>0.40138888888888885</v>
      </c>
      <c r="E5" s="15">
        <v>27</v>
      </c>
      <c r="F5" s="15">
        <v>33.6</v>
      </c>
      <c r="G5" s="13">
        <v>6.56</v>
      </c>
      <c r="H5" s="15">
        <v>99.4</v>
      </c>
      <c r="I5" s="32">
        <v>8.09</v>
      </c>
      <c r="J5" s="24">
        <f>AVERAGE(1.31,1.05,1.47)</f>
        <v>1.2766666666666666</v>
      </c>
      <c r="K5" s="38">
        <v>160.84202300833832</v>
      </c>
      <c r="L5" s="38">
        <v>15.21290855291986</v>
      </c>
      <c r="M5" s="38">
        <v>12.618370665086019</v>
      </c>
      <c r="N5" s="38">
        <v>840.54482661452118</v>
      </c>
      <c r="O5" s="38">
        <v>86.830154168886523</v>
      </c>
      <c r="P5" s="38">
        <v>4.9555002425776769</v>
      </c>
      <c r="Q5" s="1">
        <v>1</v>
      </c>
      <c r="R5" s="3" t="s">
        <v>42</v>
      </c>
      <c r="S5" s="16" t="s">
        <v>35</v>
      </c>
    </row>
    <row r="6" spans="1:19" ht="32">
      <c r="A6" s="1" t="s">
        <v>18</v>
      </c>
      <c r="B6" s="3" t="s">
        <v>19</v>
      </c>
      <c r="C6" s="4">
        <v>42993</v>
      </c>
      <c r="D6" s="5">
        <v>0.41319444444444442</v>
      </c>
      <c r="E6" s="15">
        <v>28.5</v>
      </c>
      <c r="F6" s="15">
        <v>34.4</v>
      </c>
      <c r="G6" s="13">
        <v>6.73</v>
      </c>
      <c r="H6" s="15">
        <v>104.9</v>
      </c>
      <c r="I6" s="32">
        <v>8.15</v>
      </c>
      <c r="J6" s="24">
        <f>AVERAGE(1.73,1.27,1.46)</f>
        <v>1.4866666666666666</v>
      </c>
      <c r="K6" s="38">
        <v>87.988247268557529</v>
      </c>
      <c r="L6" s="38">
        <v>18.595293715814083</v>
      </c>
      <c r="M6" s="38">
        <v>11.787413300712508</v>
      </c>
      <c r="N6" s="38">
        <v>510.07115162933894</v>
      </c>
      <c r="O6" s="38">
        <v>43.291199712732634</v>
      </c>
      <c r="P6" s="38">
        <v>6.6755326687890699</v>
      </c>
      <c r="Q6" s="1">
        <v>1</v>
      </c>
      <c r="R6" s="3" t="s">
        <v>43</v>
      </c>
      <c r="S6" s="16" t="s">
        <v>35</v>
      </c>
    </row>
    <row r="7" spans="1:19" ht="32">
      <c r="A7" s="1" t="s">
        <v>18</v>
      </c>
      <c r="B7" s="3" t="s">
        <v>19</v>
      </c>
      <c r="C7" s="4">
        <v>43014</v>
      </c>
      <c r="D7" s="5">
        <v>0.39930555555555558</v>
      </c>
      <c r="E7" s="15">
        <v>26.9</v>
      </c>
      <c r="F7" s="15">
        <v>33.4</v>
      </c>
      <c r="G7" s="13">
        <v>6.81</v>
      </c>
      <c r="H7" s="15">
        <v>103</v>
      </c>
      <c r="I7" s="32">
        <v>8.16</v>
      </c>
      <c r="J7" s="24">
        <f>AVERAGE(3.36,2.7,3.04)</f>
        <v>3.0333333333333337</v>
      </c>
      <c r="K7" s="38">
        <v>130.01872107941969</v>
      </c>
      <c r="L7" s="38">
        <v>17.787360028572568</v>
      </c>
      <c r="M7" s="38">
        <v>15.757434203970655</v>
      </c>
      <c r="N7" s="38">
        <v>934.61459337782424</v>
      </c>
      <c r="O7" s="38">
        <v>85.8800892059879</v>
      </c>
      <c r="P7" s="38">
        <v>5.2871211653923016</v>
      </c>
      <c r="Q7" s="1">
        <v>1</v>
      </c>
      <c r="R7" s="3" t="s">
        <v>44</v>
      </c>
      <c r="S7" s="16" t="s">
        <v>35</v>
      </c>
    </row>
    <row r="8" spans="1:19" ht="32">
      <c r="A8" s="1" t="s">
        <v>18</v>
      </c>
      <c r="B8" s="3" t="s">
        <v>19</v>
      </c>
      <c r="C8" s="4">
        <v>43035</v>
      </c>
      <c r="D8" s="5">
        <v>0.41180555555555554</v>
      </c>
      <c r="E8" s="15">
        <v>26.7</v>
      </c>
      <c r="F8" s="15">
        <v>34.799999999999997</v>
      </c>
      <c r="G8" s="13">
        <v>6.99</v>
      </c>
      <c r="H8" s="15">
        <v>106.6</v>
      </c>
      <c r="I8" s="32">
        <v>8.2100000000000009</v>
      </c>
      <c r="J8" s="24">
        <f>AVERAGE(2.91,2.6,2.37)</f>
        <v>2.6266666666666665</v>
      </c>
      <c r="K8" s="38">
        <v>66.924058353534775</v>
      </c>
      <c r="L8" s="38">
        <v>9.6549918895222202</v>
      </c>
      <c r="M8" s="38">
        <v>7.0625459914725335</v>
      </c>
      <c r="N8" s="38">
        <v>151.85485801855151</v>
      </c>
      <c r="O8" s="38">
        <v>12.129672065131752</v>
      </c>
      <c r="P8" s="38">
        <v>7.4063175930339211</v>
      </c>
      <c r="Q8" s="1">
        <v>3</v>
      </c>
      <c r="R8" s="3" t="s">
        <v>46</v>
      </c>
      <c r="S8" s="16" t="s">
        <v>45</v>
      </c>
    </row>
    <row r="9" spans="1:19" ht="32">
      <c r="A9" s="1" t="s">
        <v>18</v>
      </c>
      <c r="B9" s="3" t="s">
        <v>19</v>
      </c>
      <c r="C9" s="4">
        <v>43056</v>
      </c>
      <c r="D9" s="5">
        <v>0.40972222222222227</v>
      </c>
      <c r="E9" s="15">
        <v>26.3</v>
      </c>
      <c r="F9" s="15">
        <v>34.1</v>
      </c>
      <c r="G9" s="13">
        <v>6.86</v>
      </c>
      <c r="H9" s="15">
        <v>103.1</v>
      </c>
      <c r="I9" s="32">
        <v>8.16</v>
      </c>
      <c r="J9" s="24">
        <f>AVERAGE(2.77,2.66,2.27)</f>
        <v>2.5666666666666664</v>
      </c>
      <c r="K9" s="38">
        <v>121.18021041862386</v>
      </c>
      <c r="L9" s="38">
        <v>16.648094961623073</v>
      </c>
      <c r="M9" s="38">
        <v>12.126054939066174</v>
      </c>
      <c r="N9" s="38">
        <v>758.32482750240501</v>
      </c>
      <c r="O9" s="38">
        <v>66.442353844255891</v>
      </c>
      <c r="P9" s="38">
        <v>4.9802862939646673</v>
      </c>
      <c r="Q9" s="1">
        <v>1</v>
      </c>
      <c r="R9" s="3" t="s">
        <v>47</v>
      </c>
      <c r="S9" s="16" t="s">
        <v>45</v>
      </c>
    </row>
    <row r="10" spans="1:19" ht="32">
      <c r="A10" s="1" t="s">
        <v>18</v>
      </c>
      <c r="B10" s="3" t="s">
        <v>19</v>
      </c>
      <c r="C10" s="4">
        <v>43077</v>
      </c>
      <c r="D10" s="5">
        <v>0.40625</v>
      </c>
      <c r="E10" s="15">
        <v>25.4</v>
      </c>
      <c r="F10" s="15">
        <v>35.1</v>
      </c>
      <c r="G10" s="13">
        <v>7.03</v>
      </c>
      <c r="H10" s="15">
        <v>104</v>
      </c>
      <c r="I10" s="32">
        <v>8.19</v>
      </c>
      <c r="J10" s="24">
        <f>AVERAGE(1.17,1.6,1.45)</f>
        <v>1.4066666666666665</v>
      </c>
      <c r="Q10" s="1">
        <v>3</v>
      </c>
      <c r="R10" s="3" t="s">
        <v>48</v>
      </c>
      <c r="S10" s="16" t="s">
        <v>45</v>
      </c>
    </row>
    <row r="11" spans="1:19" ht="32">
      <c r="A11" s="1" t="s">
        <v>18</v>
      </c>
      <c r="B11" s="3" t="s">
        <v>19</v>
      </c>
      <c r="C11" s="4">
        <v>43091</v>
      </c>
      <c r="D11" s="5">
        <v>0.40972222222222227</v>
      </c>
      <c r="E11" s="15">
        <v>24.5</v>
      </c>
      <c r="F11" s="15">
        <v>34.700000000000003</v>
      </c>
      <c r="G11" s="13">
        <v>6.95</v>
      </c>
      <c r="H11" s="15">
        <v>101.8</v>
      </c>
      <c r="I11" s="32">
        <v>8.18</v>
      </c>
      <c r="J11" s="24">
        <f>AVERAGE(3.12, 3.49,3.53)</f>
        <v>3.3800000000000003</v>
      </c>
      <c r="Q11" s="1">
        <v>1</v>
      </c>
      <c r="R11" s="3" t="s">
        <v>49</v>
      </c>
      <c r="S11" s="16" t="s">
        <v>45</v>
      </c>
    </row>
    <row r="12" spans="1:19" ht="32">
      <c r="A12" s="1" t="s">
        <v>18</v>
      </c>
      <c r="B12" s="3" t="s">
        <v>19</v>
      </c>
      <c r="C12" s="4">
        <v>43112</v>
      </c>
      <c r="D12" s="5">
        <v>0.40277777777777773</v>
      </c>
      <c r="E12" s="15">
        <v>24.8</v>
      </c>
      <c r="F12" s="15">
        <v>33.9</v>
      </c>
      <c r="G12" s="13">
        <v>7.04</v>
      </c>
      <c r="H12" s="15">
        <v>102.6</v>
      </c>
      <c r="I12" s="32">
        <v>8.16</v>
      </c>
      <c r="J12" s="24">
        <f>AVERAGE(2.83,2.41,2.57)</f>
        <v>2.6033333333333335</v>
      </c>
      <c r="Q12" s="1">
        <v>3</v>
      </c>
      <c r="R12" s="3" t="s">
        <v>50</v>
      </c>
      <c r="S12" s="16" t="s">
        <v>45</v>
      </c>
    </row>
    <row r="13" spans="1:19">
      <c r="C13" s="4"/>
      <c r="D13" s="5"/>
      <c r="G13" s="38"/>
      <c r="I13" s="38"/>
      <c r="J13" s="38"/>
      <c r="K13" s="38"/>
      <c r="O13" s="38"/>
      <c r="P13" s="38"/>
    </row>
    <row r="14" spans="1:19">
      <c r="C14" s="4"/>
      <c r="D14" s="5"/>
      <c r="G14" s="38"/>
      <c r="I14" s="38"/>
      <c r="J14" s="38"/>
      <c r="K14" s="38"/>
      <c r="O14" s="38"/>
      <c r="P14" s="38"/>
    </row>
    <row r="15" spans="1:19">
      <c r="C15" s="4"/>
      <c r="D15" s="5"/>
      <c r="G15" s="38"/>
      <c r="I15" s="38"/>
      <c r="J15" s="38"/>
      <c r="K15" s="38"/>
      <c r="O15" s="38"/>
      <c r="P15" s="38"/>
    </row>
    <row r="16" spans="1:19">
      <c r="C16" s="4"/>
      <c r="D16" s="5"/>
    </row>
    <row r="17" spans="3:19">
      <c r="C17" s="4"/>
      <c r="D17" s="5"/>
      <c r="G17" s="38"/>
      <c r="I17" s="38"/>
      <c r="J17" s="38"/>
      <c r="K17" s="38"/>
      <c r="O17" s="38"/>
      <c r="P17" s="38"/>
    </row>
    <row r="18" spans="3:19">
      <c r="C18" s="4"/>
      <c r="D18" s="5"/>
      <c r="G18" s="38"/>
      <c r="I18" s="38"/>
      <c r="J18" s="38"/>
      <c r="K18" s="38"/>
      <c r="O18" s="38"/>
      <c r="P18" s="38"/>
    </row>
    <row r="19" spans="3:19">
      <c r="C19" s="4"/>
      <c r="D19" s="5"/>
      <c r="G19" s="38"/>
      <c r="I19" s="38"/>
      <c r="J19" s="38"/>
      <c r="K19" s="38"/>
      <c r="O19" s="38"/>
      <c r="P19" s="38"/>
    </row>
    <row r="20" spans="3:19">
      <c r="C20" s="4"/>
      <c r="D20" s="5"/>
      <c r="G20" s="38"/>
      <c r="I20" s="38"/>
      <c r="J20" s="38"/>
      <c r="K20" s="38"/>
      <c r="O20" s="38"/>
      <c r="P20" s="38"/>
    </row>
    <row r="21" spans="3:19">
      <c r="C21" s="4"/>
      <c r="D21" s="5"/>
      <c r="G21" s="38"/>
      <c r="I21" s="38"/>
      <c r="J21" s="38"/>
      <c r="K21" s="38"/>
      <c r="O21" s="38"/>
      <c r="P21" s="38"/>
    </row>
    <row r="22" spans="3:19">
      <c r="C22" s="4"/>
      <c r="D22" s="5"/>
      <c r="G22" s="38"/>
      <c r="I22" s="38"/>
      <c r="J22" s="38"/>
      <c r="K22" s="38"/>
      <c r="O22" s="38"/>
      <c r="P22" s="38"/>
    </row>
    <row r="23" spans="3:19">
      <c r="C23" s="4"/>
      <c r="D23" s="5"/>
      <c r="G23" s="38"/>
      <c r="I23" s="38"/>
      <c r="J23" s="38"/>
      <c r="K23" s="38"/>
      <c r="O23" s="38"/>
      <c r="P23" s="38"/>
    </row>
    <row r="25" spans="3:19">
      <c r="G25" s="38"/>
      <c r="I25" s="38"/>
      <c r="J25" s="38"/>
      <c r="K25" s="38"/>
      <c r="O25" s="38"/>
      <c r="P25" s="38"/>
    </row>
    <row r="26" spans="3:19">
      <c r="G26" s="38"/>
      <c r="I26" s="38"/>
      <c r="J26" s="38"/>
      <c r="K26" s="38"/>
      <c r="O26" s="38"/>
      <c r="P26" s="38"/>
    </row>
    <row r="31" spans="3:19">
      <c r="J31" s="25">
        <f>GEOMEAN(J2:J28)</f>
        <v>1.7077857339869402</v>
      </c>
      <c r="K31" s="25">
        <f>GEOMEAN(K2:K28)</f>
        <v>154.0132665367704</v>
      </c>
      <c r="L31" s="28">
        <f t="shared" ref="L31:N31" si="0">GEOMEAN(L2:L28)</f>
        <v>19.407971772239129</v>
      </c>
      <c r="M31" s="28">
        <f t="shared" si="0"/>
        <v>14.72561934211687</v>
      </c>
      <c r="N31" s="38">
        <f t="shared" si="0"/>
        <v>838.93377763631383</v>
      </c>
      <c r="O31" s="25">
        <f t="shared" ref="O31:P31" si="1">GEOMEAN(O2:O28)</f>
        <v>81.496668370555327</v>
      </c>
      <c r="P31" s="25">
        <f t="shared" si="1"/>
        <v>5.5705765279194264</v>
      </c>
      <c r="S31" s="16" t="s">
        <v>29</v>
      </c>
    </row>
    <row r="32" spans="3:19">
      <c r="D32" s="44">
        <f>AVERAGE(D2:D28)</f>
        <v>0.40643939393939393</v>
      </c>
      <c r="E32" s="38">
        <f>AVERAGE(E2:E28)</f>
        <v>26.509090909090911</v>
      </c>
      <c r="F32" s="38">
        <f t="shared" ref="F32:H32" si="2">AVERAGE(F2:F28)</f>
        <v>33.68181818181818</v>
      </c>
      <c r="G32" s="38">
        <f t="shared" si="2"/>
        <v>6.7700000000000014</v>
      </c>
      <c r="H32" s="38">
        <f t="shared" si="2"/>
        <v>101.7090909090909</v>
      </c>
      <c r="I32" s="27">
        <f>AVERAGE(I2:I28)</f>
        <v>8.1409090909090924</v>
      </c>
      <c r="J32" s="24">
        <f>AVERAGE(J2:J28)</f>
        <v>1.9296969696969697</v>
      </c>
      <c r="K32" s="24">
        <f>AVERAGE(K2:K28)</f>
        <v>177.08768439762494</v>
      </c>
      <c r="L32" s="38">
        <f t="shared" ref="L32:N32" si="3">AVERAGE(L2:L28)</f>
        <v>21.283640282739903</v>
      </c>
      <c r="M32" s="38">
        <f t="shared" si="3"/>
        <v>16.1381458305835</v>
      </c>
      <c r="N32" s="38">
        <f t="shared" si="3"/>
        <v>1119.6679901824191</v>
      </c>
      <c r="O32" s="24">
        <f t="shared" ref="O32:P32" si="4">AVERAGE(O2:O28)</f>
        <v>117.4478691603089</v>
      </c>
      <c r="P32" s="24">
        <f t="shared" si="4"/>
        <v>5.6283052816920636</v>
      </c>
      <c r="S32" s="16" t="s">
        <v>30</v>
      </c>
    </row>
    <row r="33" spans="5:19">
      <c r="E33" s="38">
        <f>STDEV(E2:E28)</f>
        <v>1.2300036954858886</v>
      </c>
      <c r="F33" s="38">
        <f t="shared" ref="F33:H33" si="5">STDEV(F2:F28)</f>
        <v>1.197345548969172</v>
      </c>
      <c r="G33" s="38">
        <f t="shared" si="5"/>
        <v>0.22262075374947726</v>
      </c>
      <c r="H33" s="38">
        <f t="shared" si="5"/>
        <v>3.1398899807014868</v>
      </c>
      <c r="I33" s="27">
        <f>STDEV(I2:I28)</f>
        <v>4.7424581274729316E-2</v>
      </c>
      <c r="J33" s="24">
        <f>STDEV(J2:J28)</f>
        <v>0.93015106842975237</v>
      </c>
      <c r="K33" s="24">
        <f>STDEV(K2:K28)</f>
        <v>100.14732596304917</v>
      </c>
      <c r="L33" s="38">
        <f t="shared" ref="L33:N33" si="6">STDEV(L2:L28)</f>
        <v>10.627404938991065</v>
      </c>
      <c r="M33" s="38">
        <f t="shared" si="6"/>
        <v>7.6166867438644301</v>
      </c>
      <c r="N33" s="38">
        <f t="shared" si="6"/>
        <v>859.22066331676888</v>
      </c>
      <c r="O33" s="24">
        <f t="shared" ref="O33:P33" si="7">STDEV(O2:O28)</f>
        <v>102.31835359926843</v>
      </c>
      <c r="P33" s="24">
        <f t="shared" si="7"/>
        <v>0.90803604783006209</v>
      </c>
      <c r="S33" s="16" t="s">
        <v>31</v>
      </c>
    </row>
    <row r="35" spans="5:19">
      <c r="J35" s="24">
        <f>J31/0.2</f>
        <v>8.5389286699347</v>
      </c>
      <c r="K35" s="24">
        <f>K31/110</f>
        <v>1.400120604879731</v>
      </c>
      <c r="L35" s="38">
        <f>L31/16</f>
        <v>1.2129982357649456</v>
      </c>
      <c r="M35" s="38">
        <f>M31/6</f>
        <v>2.4542698903528115</v>
      </c>
      <c r="N35" s="38">
        <f>N31</f>
        <v>838.93377763631383</v>
      </c>
      <c r="O35" s="24">
        <f>O31/3.5</f>
        <v>23.284762391587236</v>
      </c>
      <c r="P35" s="24">
        <f>P31/2</f>
        <v>2.7852882639597132</v>
      </c>
      <c r="S35" s="16" t="s">
        <v>32</v>
      </c>
    </row>
  </sheetData>
  <sheetCalcPr fullCalcOnLoad="1"/>
  <phoneticPr fontId="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35"/>
  <sheetViews>
    <sheetView workbookViewId="0">
      <pane xSplit="3" ySplit="1" topLeftCell="G2" activePane="bottomRight" state="frozen"/>
      <selection pane="topRight" activeCell="D1" sqref="D1"/>
      <selection pane="bottomLeft" activeCell="A2" sqref="A2"/>
      <selection pane="bottomRight" activeCell="P25" sqref="P25"/>
    </sheetView>
  </sheetViews>
  <sheetFormatPr baseColWidth="10" defaultRowHeight="16"/>
  <cols>
    <col min="1" max="1" width="15.42578125" style="1" customWidth="1"/>
    <col min="2" max="2" width="10.7109375" style="3"/>
    <col min="3" max="4" width="10.7109375" style="1"/>
    <col min="5" max="5" width="13.140625" style="15" customWidth="1"/>
    <col min="6" max="6" width="10.7109375" style="15"/>
    <col min="7" max="7" width="10.7109375" style="13"/>
    <col min="8" max="8" width="10.7109375" style="15"/>
    <col min="9" max="9" width="10.7109375" style="34"/>
    <col min="10" max="11" width="10.7109375" style="27"/>
    <col min="12" max="12" width="10.7109375" style="38"/>
    <col min="13" max="13" width="12.140625" style="38" customWidth="1"/>
    <col min="14" max="14" width="10.7109375" style="38"/>
    <col min="15" max="16" width="10.7109375" style="27"/>
    <col min="17" max="17" width="12.28515625" style="1" customWidth="1"/>
    <col min="18" max="18" width="12.5703125" style="3" customWidth="1"/>
    <col min="19" max="19" width="51.42578125" style="16" customWidth="1"/>
    <col min="20" max="16384" width="10.7109375" style="1"/>
  </cols>
  <sheetData>
    <row r="1" spans="1:19" s="2" customFormat="1" ht="32">
      <c r="A1" s="2" t="s">
        <v>0</v>
      </c>
      <c r="B1" s="2" t="s">
        <v>9</v>
      </c>
      <c r="C1" s="2" t="s">
        <v>1</v>
      </c>
      <c r="D1" s="2" t="s">
        <v>2</v>
      </c>
      <c r="E1" s="14" t="s">
        <v>3</v>
      </c>
      <c r="F1" s="14" t="s">
        <v>4</v>
      </c>
      <c r="G1" s="12" t="s">
        <v>5</v>
      </c>
      <c r="H1" s="14" t="s">
        <v>6</v>
      </c>
      <c r="I1" s="33" t="s">
        <v>7</v>
      </c>
      <c r="J1" s="26" t="s">
        <v>8</v>
      </c>
      <c r="K1" s="26" t="s">
        <v>23</v>
      </c>
      <c r="L1" s="37" t="s">
        <v>26</v>
      </c>
      <c r="M1" s="37" t="s">
        <v>27</v>
      </c>
      <c r="N1" s="37" t="s">
        <v>28</v>
      </c>
      <c r="O1" s="26" t="s">
        <v>24</v>
      </c>
      <c r="P1" s="26" t="s">
        <v>25</v>
      </c>
      <c r="Q1" s="2" t="s">
        <v>33</v>
      </c>
      <c r="R1" s="2" t="s">
        <v>34</v>
      </c>
      <c r="S1" s="2" t="s">
        <v>22</v>
      </c>
    </row>
    <row r="2" spans="1:19" ht="32">
      <c r="A2" s="1" t="s">
        <v>20</v>
      </c>
      <c r="B2" s="3" t="s">
        <v>21</v>
      </c>
      <c r="C2" s="4">
        <v>42909</v>
      </c>
      <c r="D2" s="5">
        <v>0.43055555555555558</v>
      </c>
      <c r="E2" s="15">
        <v>26.7</v>
      </c>
      <c r="F2" s="15">
        <v>33.1</v>
      </c>
      <c r="G2" s="13">
        <v>6.59</v>
      </c>
      <c r="H2" s="15">
        <v>99.2</v>
      </c>
      <c r="I2" s="34">
        <v>8.1</v>
      </c>
      <c r="J2" s="27">
        <f>AVERAGE(8.21,8.74,7.83)</f>
        <v>8.26</v>
      </c>
      <c r="K2" s="38">
        <v>159.63424239714405</v>
      </c>
      <c r="L2" s="38">
        <v>16.324054925198965</v>
      </c>
      <c r="M2" s="38">
        <v>12.267019529184521</v>
      </c>
      <c r="N2" s="38">
        <v>948.80025940546398</v>
      </c>
      <c r="O2" s="38">
        <v>92.605648273703977</v>
      </c>
      <c r="P2" s="39">
        <v>3.7308720264048283</v>
      </c>
      <c r="Q2" s="1">
        <v>1</v>
      </c>
      <c r="R2" s="3" t="s">
        <v>36</v>
      </c>
      <c r="S2" s="16" t="s">
        <v>35</v>
      </c>
    </row>
    <row r="3" spans="1:19" ht="32">
      <c r="A3" s="1" t="s">
        <v>20</v>
      </c>
      <c r="B3" s="3" t="s">
        <v>21</v>
      </c>
      <c r="C3" s="4">
        <v>42930</v>
      </c>
      <c r="D3" s="5">
        <v>0.41597222222222219</v>
      </c>
      <c r="E3" s="15">
        <v>27.3</v>
      </c>
      <c r="F3" s="15">
        <v>34.299999999999997</v>
      </c>
      <c r="G3" s="13">
        <v>5.85</v>
      </c>
      <c r="H3" s="15">
        <v>89.4</v>
      </c>
      <c r="I3" s="34">
        <v>8.09</v>
      </c>
      <c r="J3" s="27">
        <f>AVERAGE(1.7,1.72,1.67)</f>
        <v>1.6966666666666665</v>
      </c>
      <c r="K3" s="38">
        <v>99.542473209229485</v>
      </c>
      <c r="L3" s="38">
        <v>13.419685808883244</v>
      </c>
      <c r="M3" s="38">
        <v>6.5443418114103924</v>
      </c>
      <c r="N3" s="38">
        <v>315.71714896378523</v>
      </c>
      <c r="O3" s="38">
        <v>39.022597471101918</v>
      </c>
      <c r="P3" s="39">
        <v>3.1444848115212078</v>
      </c>
      <c r="Q3" s="1">
        <v>1</v>
      </c>
      <c r="R3" s="3" t="s">
        <v>37</v>
      </c>
      <c r="S3" s="16" t="s">
        <v>35</v>
      </c>
    </row>
    <row r="4" spans="1:19" ht="32">
      <c r="A4" s="1" t="s">
        <v>20</v>
      </c>
      <c r="B4" s="3" t="s">
        <v>21</v>
      </c>
      <c r="C4" s="4">
        <v>42951</v>
      </c>
      <c r="D4" s="5">
        <v>0.43402777777777773</v>
      </c>
      <c r="E4" s="15">
        <v>27.7</v>
      </c>
      <c r="F4" s="15">
        <v>34</v>
      </c>
      <c r="G4" s="13">
        <v>6.33</v>
      </c>
      <c r="H4" s="15">
        <v>96.8</v>
      </c>
      <c r="I4" s="34">
        <v>8.1199999999999992</v>
      </c>
      <c r="J4" s="27">
        <f>AVERAGE(5.06,4.03,4.95,4.35)</f>
        <v>4.5975000000000001</v>
      </c>
      <c r="K4" s="38">
        <v>94.66252184213127</v>
      </c>
      <c r="L4" s="38">
        <v>11.264315965105105</v>
      </c>
      <c r="M4" s="38">
        <v>7.4798650520505285</v>
      </c>
      <c r="N4" s="38">
        <v>346.35730252103815</v>
      </c>
      <c r="O4" s="38">
        <v>32.884874550479495</v>
      </c>
      <c r="P4" s="39">
        <v>2.1140866851319764</v>
      </c>
      <c r="Q4" s="1">
        <v>2</v>
      </c>
      <c r="R4" s="3" t="s">
        <v>41</v>
      </c>
      <c r="S4" s="16" t="s">
        <v>35</v>
      </c>
    </row>
    <row r="5" spans="1:19" ht="32">
      <c r="A5" s="1" t="s">
        <v>20</v>
      </c>
      <c r="B5" s="3" t="s">
        <v>21</v>
      </c>
      <c r="C5" s="4">
        <v>42972</v>
      </c>
      <c r="D5" s="5">
        <v>0.4236111111111111</v>
      </c>
      <c r="E5" s="15">
        <v>26.9</v>
      </c>
      <c r="F5" s="15">
        <v>34.9</v>
      </c>
      <c r="G5" s="13">
        <v>6.09</v>
      </c>
      <c r="H5" s="15">
        <v>92.8</v>
      </c>
      <c r="I5" s="34">
        <v>8.09</v>
      </c>
      <c r="J5" s="27">
        <f>AVERAGE(3.38,3.08,3.41)</f>
        <v>3.2900000000000005</v>
      </c>
      <c r="K5" s="38">
        <v>93.282667050133426</v>
      </c>
      <c r="L5" s="38">
        <v>11.964781603000713</v>
      </c>
      <c r="M5" s="38">
        <v>8.1577530733638657</v>
      </c>
      <c r="N5" s="38">
        <v>296.64622178492903</v>
      </c>
      <c r="O5" s="38">
        <v>34.184971530367605</v>
      </c>
      <c r="P5" s="39">
        <v>1.8077299900984234</v>
      </c>
      <c r="Q5" s="1">
        <v>1</v>
      </c>
      <c r="R5" s="3" t="s">
        <v>42</v>
      </c>
      <c r="S5" s="16" t="s">
        <v>35</v>
      </c>
    </row>
    <row r="6" spans="1:19" ht="32">
      <c r="A6" s="1" t="s">
        <v>20</v>
      </c>
      <c r="B6" s="3" t="s">
        <v>21</v>
      </c>
      <c r="C6" s="4">
        <v>42993</v>
      </c>
      <c r="D6" s="5">
        <v>0.43541666666666662</v>
      </c>
      <c r="E6" s="15">
        <v>28.4</v>
      </c>
      <c r="F6" s="15">
        <v>34.5</v>
      </c>
      <c r="G6" s="13">
        <v>6.66</v>
      </c>
      <c r="H6" s="15">
        <v>103.6</v>
      </c>
      <c r="I6" s="34">
        <v>8.14</v>
      </c>
      <c r="J6" s="27">
        <f>AVERAGE(6.39,6.62,7.04)</f>
        <v>6.6833333333333336</v>
      </c>
      <c r="K6" s="38">
        <v>137.72007777675572</v>
      </c>
      <c r="L6" s="38">
        <v>17.529071114241969</v>
      </c>
      <c r="M6" s="38">
        <v>10.39497874839042</v>
      </c>
      <c r="N6" s="38">
        <v>448.88584727612232</v>
      </c>
      <c r="O6" s="38">
        <v>41.16254132563985</v>
      </c>
      <c r="P6" s="39">
        <v>9.7166442717672439</v>
      </c>
      <c r="Q6" s="1">
        <v>1</v>
      </c>
      <c r="R6" s="3" t="s">
        <v>43</v>
      </c>
      <c r="S6" s="16" t="s">
        <v>35</v>
      </c>
    </row>
    <row r="7" spans="1:19" ht="32">
      <c r="A7" s="1" t="s">
        <v>20</v>
      </c>
      <c r="B7" s="3" t="s">
        <v>21</v>
      </c>
      <c r="C7" s="4">
        <v>43014</v>
      </c>
      <c r="D7" s="5">
        <v>0.41319444444444442</v>
      </c>
      <c r="E7" s="15">
        <v>26.4</v>
      </c>
      <c r="F7" s="15">
        <v>33.700000000000003</v>
      </c>
      <c r="G7" s="13">
        <v>6.62</v>
      </c>
      <c r="H7" s="15">
        <v>99.5</v>
      </c>
      <c r="I7" s="34">
        <v>8.11</v>
      </c>
      <c r="J7" s="27">
        <f>AVERAGE(14,13.6,12.8)</f>
        <v>13.466666666666669</v>
      </c>
      <c r="K7" s="38">
        <v>113.8667791045182</v>
      </c>
      <c r="L7" s="38">
        <v>17.094865798391425</v>
      </c>
      <c r="M7" s="38">
        <v>15.463503234522999</v>
      </c>
      <c r="N7" s="38">
        <v>691.3247762655626</v>
      </c>
      <c r="O7" s="38">
        <v>70.326838046047442</v>
      </c>
      <c r="P7" s="39">
        <v>3.6862017467266397</v>
      </c>
      <c r="Q7" s="1">
        <v>1</v>
      </c>
      <c r="R7" s="3" t="s">
        <v>44</v>
      </c>
      <c r="S7" s="16" t="s">
        <v>35</v>
      </c>
    </row>
    <row r="8" spans="1:19" ht="32">
      <c r="A8" s="1" t="s">
        <v>20</v>
      </c>
      <c r="B8" s="3" t="s">
        <v>21</v>
      </c>
      <c r="C8" s="4">
        <v>43035</v>
      </c>
      <c r="D8" s="5">
        <v>0.43263888888888885</v>
      </c>
      <c r="E8" s="15">
        <v>25.9</v>
      </c>
      <c r="F8" s="15">
        <v>34.299999999999997</v>
      </c>
      <c r="G8" s="13">
        <v>6.84</v>
      </c>
      <c r="H8" s="15">
        <v>102.6</v>
      </c>
      <c r="I8" s="34">
        <v>8.1300000000000008</v>
      </c>
      <c r="J8" s="27">
        <f>AVERAGE(26.6,27,26.1)</f>
        <v>26.566666666666666</v>
      </c>
      <c r="K8" s="38">
        <v>117.88349605162502</v>
      </c>
      <c r="L8" s="38">
        <v>19.998790916504966</v>
      </c>
      <c r="M8" s="38">
        <v>15.896880524359776</v>
      </c>
      <c r="N8" s="38">
        <v>561.31769514472774</v>
      </c>
      <c r="O8" s="38">
        <v>99.58544147772038</v>
      </c>
      <c r="P8" s="39">
        <v>6.7271660091241525</v>
      </c>
      <c r="Q8" s="1">
        <v>3</v>
      </c>
      <c r="R8" s="3" t="s">
        <v>46</v>
      </c>
      <c r="S8" s="16" t="s">
        <v>45</v>
      </c>
    </row>
    <row r="9" spans="1:19" ht="32">
      <c r="A9" s="1" t="s">
        <v>20</v>
      </c>
      <c r="B9" s="3" t="s">
        <v>21</v>
      </c>
      <c r="C9" s="4">
        <v>43056</v>
      </c>
      <c r="D9" s="5">
        <v>0.42708333333333331</v>
      </c>
      <c r="E9" s="15">
        <v>25.3</v>
      </c>
      <c r="F9" s="15">
        <v>34</v>
      </c>
      <c r="G9" s="13">
        <v>6.81</v>
      </c>
      <c r="H9" s="15">
        <v>100.5</v>
      </c>
      <c r="I9" s="34">
        <v>8.16</v>
      </c>
      <c r="J9" s="27">
        <f>AVERAGE(17.3,16.7,17.2)</f>
        <v>17.066666666666666</v>
      </c>
      <c r="K9" s="39">
        <v>114.57038684433874</v>
      </c>
      <c r="L9" s="38">
        <v>17.517912443814247</v>
      </c>
      <c r="M9" s="38">
        <v>13.525783447596909</v>
      </c>
      <c r="N9" s="38">
        <v>638.77935052117675</v>
      </c>
      <c r="O9" s="38">
        <v>66.1185132893781</v>
      </c>
      <c r="P9" s="39">
        <v>4.2280303129974186</v>
      </c>
      <c r="Q9" s="1">
        <v>1</v>
      </c>
      <c r="R9" s="3" t="s">
        <v>47</v>
      </c>
      <c r="S9" s="16" t="s">
        <v>45</v>
      </c>
    </row>
    <row r="10" spans="1:19" ht="32">
      <c r="A10" s="1" t="s">
        <v>20</v>
      </c>
      <c r="B10" s="3" t="s">
        <v>21</v>
      </c>
      <c r="C10" s="4">
        <v>43077</v>
      </c>
      <c r="D10" s="5">
        <v>0.4236111111111111</v>
      </c>
      <c r="E10" s="15">
        <v>24.7</v>
      </c>
      <c r="F10" s="15">
        <v>34.6</v>
      </c>
      <c r="G10" s="13">
        <v>6.99</v>
      </c>
      <c r="H10" s="15">
        <v>102</v>
      </c>
      <c r="I10" s="34">
        <v>8.19</v>
      </c>
      <c r="J10" s="27">
        <f>AVERAGE(14.6,15.8,15.6)</f>
        <v>15.333333333333334</v>
      </c>
      <c r="P10" s="39"/>
      <c r="Q10" s="1">
        <v>3</v>
      </c>
      <c r="R10" s="3" t="s">
        <v>48</v>
      </c>
      <c r="S10" s="16" t="s">
        <v>45</v>
      </c>
    </row>
    <row r="11" spans="1:19" ht="32">
      <c r="A11" s="1" t="s">
        <v>20</v>
      </c>
      <c r="B11" s="3" t="s">
        <v>21</v>
      </c>
      <c r="C11" s="4">
        <v>43091</v>
      </c>
      <c r="D11" s="5">
        <v>0.4291666666666667</v>
      </c>
      <c r="E11" s="15">
        <v>23.4</v>
      </c>
      <c r="F11" s="15">
        <v>33.9</v>
      </c>
      <c r="G11" s="13">
        <v>6.93</v>
      </c>
      <c r="H11" s="15">
        <v>99.1</v>
      </c>
      <c r="I11" s="34">
        <v>8.14</v>
      </c>
      <c r="J11" s="27">
        <f>AVERAGE(36.4,35.9,36.2)</f>
        <v>36.166666666666664</v>
      </c>
      <c r="P11" s="39"/>
      <c r="Q11" s="1">
        <v>1</v>
      </c>
      <c r="R11" s="3" t="s">
        <v>49</v>
      </c>
      <c r="S11" s="16" t="s">
        <v>45</v>
      </c>
    </row>
    <row r="12" spans="1:19" ht="32">
      <c r="A12" s="1" t="s">
        <v>20</v>
      </c>
      <c r="B12" s="3" t="s">
        <v>21</v>
      </c>
      <c r="C12" s="4">
        <v>43112</v>
      </c>
      <c r="D12" s="5">
        <v>0.4236111111111111</v>
      </c>
      <c r="E12" s="15">
        <v>24.4</v>
      </c>
      <c r="F12" s="15">
        <v>33.799999999999997</v>
      </c>
      <c r="G12" s="18">
        <v>6.99</v>
      </c>
      <c r="H12" s="15">
        <v>101.1</v>
      </c>
      <c r="I12" s="34">
        <v>8.15</v>
      </c>
      <c r="J12" s="27">
        <f>AVERAGE(16.8,17.7,18.6)</f>
        <v>17.7</v>
      </c>
      <c r="P12" s="39"/>
      <c r="Q12" s="1">
        <v>3</v>
      </c>
      <c r="R12" s="3" t="s">
        <v>50</v>
      </c>
      <c r="S12" s="16" t="s">
        <v>45</v>
      </c>
    </row>
    <row r="13" spans="1:19">
      <c r="C13" s="4"/>
      <c r="D13" s="5"/>
      <c r="G13" s="38"/>
      <c r="I13" s="38"/>
      <c r="J13" s="38"/>
      <c r="K13" s="38"/>
      <c r="O13" s="38"/>
      <c r="P13" s="39"/>
    </row>
    <row r="14" spans="1:19">
      <c r="C14" s="4"/>
      <c r="D14" s="5"/>
      <c r="G14" s="38"/>
      <c r="I14" s="38"/>
      <c r="J14" s="38"/>
      <c r="K14" s="38"/>
      <c r="O14" s="38"/>
      <c r="P14" s="39"/>
    </row>
    <row r="15" spans="1:19">
      <c r="C15" s="4"/>
      <c r="D15" s="5"/>
      <c r="G15" s="38"/>
      <c r="I15" s="38"/>
      <c r="J15" s="38"/>
      <c r="K15" s="38"/>
      <c r="O15" s="38"/>
      <c r="P15" s="39"/>
    </row>
    <row r="16" spans="1:19">
      <c r="C16" s="4"/>
      <c r="D16" s="5"/>
      <c r="P16" s="39"/>
    </row>
    <row r="17" spans="3:19">
      <c r="C17" s="4"/>
      <c r="D17" s="5"/>
      <c r="G17" s="38"/>
      <c r="I17" s="38"/>
      <c r="J17" s="38"/>
      <c r="K17" s="38"/>
      <c r="O17" s="38"/>
      <c r="P17" s="38"/>
    </row>
    <row r="18" spans="3:19">
      <c r="C18" s="4"/>
      <c r="D18" s="5"/>
      <c r="G18" s="38"/>
      <c r="I18" s="38"/>
      <c r="J18" s="38"/>
      <c r="K18" s="38"/>
      <c r="O18" s="38"/>
      <c r="P18" s="38"/>
    </row>
    <row r="19" spans="3:19">
      <c r="C19" s="4"/>
      <c r="D19" s="5"/>
      <c r="G19" s="38"/>
      <c r="I19" s="38"/>
      <c r="J19" s="38"/>
      <c r="K19" s="38"/>
      <c r="O19" s="38"/>
      <c r="P19" s="38"/>
    </row>
    <row r="20" spans="3:19">
      <c r="C20" s="4"/>
      <c r="D20" s="5"/>
      <c r="G20" s="38"/>
      <c r="I20" s="38"/>
      <c r="J20" s="38"/>
      <c r="K20" s="39"/>
      <c r="O20" s="39"/>
      <c r="P20" s="38"/>
    </row>
    <row r="21" spans="3:19">
      <c r="C21" s="4"/>
      <c r="D21" s="5"/>
      <c r="G21" s="38"/>
      <c r="I21" s="38"/>
      <c r="J21" s="38"/>
      <c r="K21" s="38"/>
      <c r="O21" s="38"/>
      <c r="P21" s="38"/>
    </row>
    <row r="22" spans="3:19">
      <c r="C22" s="4"/>
      <c r="D22" s="5"/>
      <c r="G22" s="38"/>
      <c r="I22" s="38"/>
      <c r="J22" s="38"/>
      <c r="K22" s="38"/>
      <c r="O22" s="38"/>
      <c r="P22" s="38"/>
    </row>
    <row r="23" spans="3:19">
      <c r="C23" s="4"/>
      <c r="D23" s="5"/>
    </row>
    <row r="24" spans="3:19">
      <c r="G24" s="38"/>
      <c r="I24" s="38"/>
      <c r="J24" s="38"/>
      <c r="K24" s="38"/>
      <c r="O24" s="38"/>
      <c r="P24" s="38"/>
    </row>
    <row r="31" spans="3:19">
      <c r="J31" s="25">
        <f>GEOMEAN(J2:J28)</f>
        <v>9.852377627645458</v>
      </c>
      <c r="K31" s="28">
        <f>GEOMEAN(K2:K28)</f>
        <v>114.58536398374613</v>
      </c>
      <c r="L31" s="39">
        <f t="shared" ref="L31:N31" si="0">GEOMEAN(L2:L28)</f>
        <v>15.360711612264122</v>
      </c>
      <c r="M31" s="28">
        <f t="shared" si="0"/>
        <v>10.680323271625653</v>
      </c>
      <c r="N31" s="38">
        <f t="shared" si="0"/>
        <v>491.8432569431742</v>
      </c>
      <c r="O31" s="25">
        <f t="shared" ref="O31:P31" si="1">GEOMEAN(O2:O28)</f>
        <v>54.464799385245392</v>
      </c>
      <c r="P31" s="25">
        <f t="shared" si="1"/>
        <v>3.8234923988719878</v>
      </c>
      <c r="S31" s="16" t="s">
        <v>29</v>
      </c>
    </row>
    <row r="32" spans="3:19">
      <c r="D32" s="45">
        <f>AVERAGE(D2:D28)</f>
        <v>0.42626262626262629</v>
      </c>
      <c r="E32" s="38">
        <f>AVERAGE(E2:E28)</f>
        <v>26.099999999999998</v>
      </c>
      <c r="F32" s="38">
        <f t="shared" ref="F32:H32" si="2">AVERAGE(F2:F28)</f>
        <v>34.1</v>
      </c>
      <c r="G32" s="38">
        <f t="shared" si="2"/>
        <v>6.6090909090909093</v>
      </c>
      <c r="H32" s="38">
        <f t="shared" si="2"/>
        <v>98.781818181818196</v>
      </c>
      <c r="I32" s="27">
        <f>AVERAGE(I2:I28)</f>
        <v>8.1290909090909089</v>
      </c>
      <c r="J32" s="27">
        <f>AVERAGE(J2:J28)</f>
        <v>13.711590909090908</v>
      </c>
      <c r="K32" s="27">
        <f>AVERAGE(K2:K28)</f>
        <v>116.39533053448449</v>
      </c>
      <c r="L32" s="38">
        <f t="shared" ref="L32:N32" si="3">AVERAGE(L2:L28)</f>
        <v>15.639184821892581</v>
      </c>
      <c r="M32" s="38">
        <f t="shared" si="3"/>
        <v>11.216265677609925</v>
      </c>
      <c r="N32" s="38">
        <f t="shared" si="3"/>
        <v>530.9785752353506</v>
      </c>
      <c r="O32" s="27">
        <f t="shared" ref="O32:P32" si="4">AVERAGE(O2:O28)</f>
        <v>59.486428245554841</v>
      </c>
      <c r="P32" s="27">
        <f t="shared" si="4"/>
        <v>4.3944019817214865</v>
      </c>
      <c r="S32" s="16" t="s">
        <v>30</v>
      </c>
    </row>
    <row r="33" spans="5:19">
      <c r="E33" s="38">
        <f>STDEV(E2:E28)</f>
        <v>1.5231546211728353</v>
      </c>
      <c r="F33" s="38">
        <f t="shared" ref="F33:H33" si="5">STDEV(F2:F28)</f>
        <v>0.49396356140900621</v>
      </c>
      <c r="G33" s="38">
        <f t="shared" si="5"/>
        <v>0.37596421493153492</v>
      </c>
      <c r="H33" s="38">
        <f t="shared" si="5"/>
        <v>4.3011203614446671</v>
      </c>
      <c r="I33" s="27">
        <f>STDEV(I2:I28)</f>
        <v>3.1130225008605218E-2</v>
      </c>
      <c r="J33" s="27">
        <f>STDEV(J2:J28)</f>
        <v>10.556932506747412</v>
      </c>
      <c r="K33" s="27">
        <f>STDEV(K2:K28)</f>
        <v>22.762174009435906</v>
      </c>
      <c r="L33" s="38">
        <f t="shared" ref="L33:N33" si="6">STDEV(L2:L28)</f>
        <v>3.076695805037502</v>
      </c>
      <c r="M33" s="38">
        <f t="shared" si="6"/>
        <v>3.6292799760447791</v>
      </c>
      <c r="N33" s="38">
        <f t="shared" si="6"/>
        <v>225.16682613221806</v>
      </c>
      <c r="O33" s="27">
        <f t="shared" ref="O33:P33" si="7">STDEV(O2:O28)</f>
        <v>26.642211960022113</v>
      </c>
      <c r="P33" s="27">
        <f t="shared" si="7"/>
        <v>2.6238072905218019</v>
      </c>
      <c r="S33" s="16" t="s">
        <v>31</v>
      </c>
    </row>
    <row r="35" spans="5:19">
      <c r="J35" s="27">
        <f>J31/0.2</f>
        <v>49.261888138227285</v>
      </c>
      <c r="K35" s="27">
        <f>K31/110</f>
        <v>1.0416851271249647</v>
      </c>
      <c r="L35" s="38">
        <f>L31/16</f>
        <v>0.96004447576650764</v>
      </c>
      <c r="M35" s="38">
        <f>M31/6</f>
        <v>1.7800538786042754</v>
      </c>
      <c r="N35" s="38">
        <f>N31</f>
        <v>491.8432569431742</v>
      </c>
      <c r="O35" s="27">
        <f>O31/3.5</f>
        <v>15.561371252927255</v>
      </c>
      <c r="P35" s="27">
        <f>P31/2</f>
        <v>1.9117461994359939</v>
      </c>
      <c r="S35" s="16" t="s">
        <v>32</v>
      </c>
    </row>
  </sheetData>
  <sheetCalcPr fullCalcOnLoad="1"/>
  <phoneticPr fontId="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36"/>
  <sheetViews>
    <sheetView workbookViewId="0">
      <pane xSplit="3" ySplit="1" topLeftCell="K2" activePane="bottomRight" state="frozen"/>
      <selection pane="topRight" activeCell="D1" sqref="D1"/>
      <selection pane="bottomLeft" activeCell="A2" sqref="A2"/>
      <selection pane="bottomRight" activeCell="A5" sqref="A5:XFD5"/>
    </sheetView>
  </sheetViews>
  <sheetFormatPr baseColWidth="10" defaultRowHeight="16"/>
  <cols>
    <col min="1" max="1" width="15.42578125" style="1" customWidth="1"/>
    <col min="2" max="2" width="10.7109375" style="3"/>
    <col min="3" max="4" width="10.7109375" style="1"/>
    <col min="5" max="5" width="13.140625" style="15" customWidth="1"/>
    <col min="6" max="6" width="10.7109375" style="15"/>
    <col min="7" max="7" width="10.7109375" style="38"/>
    <col min="8" max="8" width="10.7109375" style="15"/>
    <col min="9" max="12" width="10.7109375" style="38"/>
    <col min="13" max="13" width="12.140625" style="38" customWidth="1"/>
    <col min="14" max="16" width="10.7109375" style="38"/>
    <col min="17" max="17" width="12.28515625" style="1" customWidth="1"/>
    <col min="18" max="18" width="12.5703125" style="3" customWidth="1"/>
    <col min="19" max="19" width="51.42578125" style="16" customWidth="1"/>
    <col min="20" max="16384" width="10.7109375" style="1"/>
  </cols>
  <sheetData>
    <row r="1" spans="1:19" s="2" customFormat="1" ht="32">
      <c r="A1" s="2" t="s">
        <v>0</v>
      </c>
      <c r="B1" s="2" t="s">
        <v>9</v>
      </c>
      <c r="C1" s="2" t="s">
        <v>1</v>
      </c>
      <c r="D1" s="2" t="s">
        <v>2</v>
      </c>
      <c r="E1" s="14" t="s">
        <v>3</v>
      </c>
      <c r="F1" s="14" t="s">
        <v>4</v>
      </c>
      <c r="G1" s="37" t="s">
        <v>5</v>
      </c>
      <c r="H1" s="14" t="s">
        <v>6</v>
      </c>
      <c r="I1" s="37" t="s">
        <v>7</v>
      </c>
      <c r="J1" s="37" t="s">
        <v>8</v>
      </c>
      <c r="K1" s="37" t="s">
        <v>23</v>
      </c>
      <c r="L1" s="37" t="s">
        <v>26</v>
      </c>
      <c r="M1" s="37" t="s">
        <v>27</v>
      </c>
      <c r="N1" s="37" t="s">
        <v>28</v>
      </c>
      <c r="O1" s="37" t="s">
        <v>24</v>
      </c>
      <c r="P1" s="37" t="s">
        <v>25</v>
      </c>
      <c r="Q1" s="2" t="s">
        <v>33</v>
      </c>
      <c r="R1" s="2" t="s">
        <v>34</v>
      </c>
      <c r="S1" s="2" t="s">
        <v>22</v>
      </c>
    </row>
    <row r="2" spans="1:19" s="2" customFormat="1">
      <c r="A2" s="1" t="s">
        <v>39</v>
      </c>
      <c r="B2" s="3" t="s">
        <v>40</v>
      </c>
      <c r="C2" s="40">
        <v>42909</v>
      </c>
      <c r="E2" s="14"/>
      <c r="F2" s="14"/>
      <c r="G2" s="37"/>
      <c r="H2" s="14"/>
      <c r="I2" s="37"/>
      <c r="J2" s="37"/>
      <c r="K2" s="37"/>
      <c r="L2" s="37"/>
      <c r="M2" s="37"/>
      <c r="N2" s="37"/>
      <c r="O2" s="37"/>
      <c r="P2" s="37"/>
    </row>
    <row r="3" spans="1:19" ht="32">
      <c r="A3" s="1" t="s">
        <v>39</v>
      </c>
      <c r="B3" s="3" t="s">
        <v>40</v>
      </c>
      <c r="C3" s="4">
        <v>42930</v>
      </c>
      <c r="D3" s="5">
        <v>0.43402777777777773</v>
      </c>
      <c r="E3" s="15">
        <v>27.7</v>
      </c>
      <c r="F3" s="15">
        <v>33.9</v>
      </c>
      <c r="G3" s="38">
        <v>5.31</v>
      </c>
      <c r="H3" s="15">
        <v>81.3</v>
      </c>
      <c r="I3" s="38">
        <v>8.0500000000000007</v>
      </c>
      <c r="J3" s="38">
        <f>AVERAGE(1.82,1.89,1.77)</f>
        <v>1.8266666666666669</v>
      </c>
      <c r="K3" s="38">
        <v>101.08062233146798</v>
      </c>
      <c r="L3" s="38">
        <v>15.192293879986703</v>
      </c>
      <c r="M3" s="38">
        <v>6.2970199780814955</v>
      </c>
      <c r="N3" s="38">
        <v>280.70727974205113</v>
      </c>
      <c r="O3" s="38">
        <v>20.230879990914143</v>
      </c>
      <c r="P3" s="39">
        <v>13.055044402870285</v>
      </c>
      <c r="Q3" s="1">
        <v>1</v>
      </c>
      <c r="R3" s="3" t="s">
        <v>37</v>
      </c>
      <c r="S3" s="16" t="s">
        <v>35</v>
      </c>
    </row>
    <row r="4" spans="1:19" ht="32">
      <c r="A4" s="1" t="s">
        <v>39</v>
      </c>
      <c r="B4" s="3" t="s">
        <v>40</v>
      </c>
      <c r="C4" s="4">
        <v>42951</v>
      </c>
      <c r="D4" s="5">
        <v>0.45</v>
      </c>
      <c r="E4" s="15">
        <v>28.2</v>
      </c>
      <c r="F4" s="15">
        <v>34.1</v>
      </c>
      <c r="G4" s="38">
        <v>7.08</v>
      </c>
      <c r="H4" s="15">
        <v>109.3</v>
      </c>
      <c r="I4" s="38">
        <v>8.15</v>
      </c>
      <c r="J4" s="38">
        <f>AVERAGE(8.31,6.94,7.46)</f>
        <v>7.57</v>
      </c>
      <c r="K4" s="38">
        <v>92.116927656893864</v>
      </c>
      <c r="L4" s="38">
        <v>9.7786509427942612</v>
      </c>
      <c r="M4" s="38">
        <v>5.9581923628577202</v>
      </c>
      <c r="N4" s="38">
        <v>235.1656820445086</v>
      </c>
      <c r="O4" s="38">
        <v>11.822137470031967</v>
      </c>
      <c r="P4" s="39">
        <v>3.6512448391599781</v>
      </c>
      <c r="Q4" s="1">
        <v>2</v>
      </c>
      <c r="R4" s="3" t="s">
        <v>41</v>
      </c>
      <c r="S4" s="16" t="s">
        <v>35</v>
      </c>
    </row>
    <row r="5" spans="1:19" ht="32">
      <c r="A5" s="1" t="s">
        <v>39</v>
      </c>
      <c r="B5" s="3" t="s">
        <v>40</v>
      </c>
      <c r="C5" s="4">
        <v>42972</v>
      </c>
      <c r="D5" s="5">
        <v>0.4375</v>
      </c>
      <c r="E5" s="15">
        <v>26.8</v>
      </c>
      <c r="F5" s="15">
        <v>34.5</v>
      </c>
      <c r="G5" s="38">
        <v>6.29</v>
      </c>
      <c r="H5" s="15">
        <v>95.4</v>
      </c>
      <c r="I5" s="38">
        <v>8.07</v>
      </c>
      <c r="J5" s="38">
        <f>AVERAGE(7.75,7.07,6.12)</f>
        <v>6.98</v>
      </c>
      <c r="K5" s="38">
        <v>91.313994911550296</v>
      </c>
      <c r="L5" s="38">
        <v>11.467676956752216</v>
      </c>
      <c r="M5" s="38">
        <v>7.9804152787586888</v>
      </c>
      <c r="N5" s="38">
        <v>459.59445802555445</v>
      </c>
      <c r="O5" s="38">
        <v>22.790758357751731</v>
      </c>
      <c r="P5" s="39">
        <v>4.2164818992949833</v>
      </c>
      <c r="Q5" s="1">
        <v>1</v>
      </c>
      <c r="R5" s="3" t="s">
        <v>42</v>
      </c>
      <c r="S5" s="16" t="s">
        <v>35</v>
      </c>
    </row>
    <row r="6" spans="1:19" ht="32">
      <c r="A6" s="1" t="s">
        <v>39</v>
      </c>
      <c r="B6" s="3" t="s">
        <v>40</v>
      </c>
      <c r="C6" s="4">
        <v>42993</v>
      </c>
      <c r="D6" s="5">
        <v>0.45624999999999999</v>
      </c>
      <c r="E6" s="15">
        <v>28.3</v>
      </c>
      <c r="F6" s="15">
        <v>34.4</v>
      </c>
      <c r="G6" s="38">
        <v>6.97</v>
      </c>
      <c r="H6" s="15">
        <v>108.3</v>
      </c>
      <c r="I6" s="38">
        <v>8.1300000000000008</v>
      </c>
      <c r="J6" s="38">
        <f>AVERAGE(9.53,10.4,10.6)</f>
        <v>10.176666666666668</v>
      </c>
      <c r="K6" s="38">
        <v>59.378074874617695</v>
      </c>
      <c r="L6" s="38">
        <v>17.233208298098923</v>
      </c>
      <c r="M6" s="38">
        <v>7.124506840072109</v>
      </c>
      <c r="N6" s="38">
        <v>460.06275810268602</v>
      </c>
      <c r="O6" s="38">
        <v>6.2853813102859046</v>
      </c>
      <c r="P6" s="39">
        <v>3.9559236828099009</v>
      </c>
      <c r="Q6" s="1">
        <v>1</v>
      </c>
      <c r="R6" s="3" t="s">
        <v>43</v>
      </c>
      <c r="S6" s="16" t="s">
        <v>35</v>
      </c>
    </row>
    <row r="7" spans="1:19" ht="32">
      <c r="A7" s="1" t="s">
        <v>39</v>
      </c>
      <c r="B7" s="3" t="s">
        <v>40</v>
      </c>
      <c r="C7" s="4">
        <v>43014</v>
      </c>
      <c r="D7" s="5">
        <v>0.42708333333333331</v>
      </c>
      <c r="E7" s="15">
        <v>27.9</v>
      </c>
      <c r="F7" s="15">
        <v>34.700000000000003</v>
      </c>
      <c r="G7" s="38">
        <v>7.24</v>
      </c>
      <c r="H7" s="15">
        <v>112.1</v>
      </c>
      <c r="I7" s="38">
        <v>8.33</v>
      </c>
      <c r="J7" s="38">
        <f>AVERAGE(3.94,4.63,4.45)</f>
        <v>4.34</v>
      </c>
      <c r="K7" s="38">
        <v>71.992049176359387</v>
      </c>
      <c r="L7" s="38">
        <v>12.353943760997446</v>
      </c>
      <c r="M7" s="38">
        <v>6.589522198780025</v>
      </c>
      <c r="N7" s="38">
        <v>179.46649565561552</v>
      </c>
      <c r="O7" s="38">
        <v>9.2775069596428246</v>
      </c>
      <c r="P7" s="39">
        <v>3.0392250778036343</v>
      </c>
      <c r="Q7" s="1">
        <v>1</v>
      </c>
      <c r="R7" s="3" t="s">
        <v>44</v>
      </c>
      <c r="S7" s="16" t="s">
        <v>35</v>
      </c>
    </row>
    <row r="8" spans="1:19" ht="32">
      <c r="A8" s="1" t="s">
        <v>39</v>
      </c>
      <c r="B8" s="3" t="s">
        <v>40</v>
      </c>
      <c r="C8" s="4">
        <v>43035</v>
      </c>
      <c r="D8" s="5">
        <v>0.44861111111111113</v>
      </c>
      <c r="E8" s="15">
        <v>27.4</v>
      </c>
      <c r="F8" s="15">
        <v>35</v>
      </c>
      <c r="G8" s="38">
        <v>6.83</v>
      </c>
      <c r="H8" s="15">
        <v>105.1</v>
      </c>
      <c r="I8" s="38">
        <v>8.23</v>
      </c>
      <c r="J8" s="38">
        <f>AVERAGE(11.6,10.8,11.7)</f>
        <v>11.366666666666665</v>
      </c>
      <c r="K8" s="38">
        <v>65.884937933027572</v>
      </c>
      <c r="L8" s="38">
        <v>14.04078868066946</v>
      </c>
      <c r="M8" s="38">
        <v>5.4958255682771169</v>
      </c>
      <c r="N8" s="38">
        <v>90.950062872781089</v>
      </c>
      <c r="O8" s="38">
        <v>9.0408483760833409</v>
      </c>
      <c r="P8" s="39">
        <v>16.173547130778193</v>
      </c>
      <c r="Q8" s="1">
        <v>3</v>
      </c>
      <c r="R8" s="3" t="s">
        <v>46</v>
      </c>
      <c r="S8" s="16" t="s">
        <v>45</v>
      </c>
    </row>
    <row r="9" spans="1:19" ht="32">
      <c r="A9" s="1" t="s">
        <v>39</v>
      </c>
      <c r="B9" s="3" t="s">
        <v>40</v>
      </c>
      <c r="C9" s="4">
        <v>43056</v>
      </c>
      <c r="D9" s="5">
        <v>0.44305555555555554</v>
      </c>
      <c r="E9" s="15">
        <v>26.4</v>
      </c>
      <c r="F9" s="15">
        <v>35</v>
      </c>
      <c r="G9" s="38">
        <v>7.09</v>
      </c>
      <c r="H9" s="15">
        <v>107.2</v>
      </c>
      <c r="I9" s="38">
        <v>8.2799999999999994</v>
      </c>
      <c r="J9" s="38">
        <f>AVERAGE(7.27,6.83,6.9)</f>
        <v>7</v>
      </c>
      <c r="K9" s="38">
        <v>68.245921063885547</v>
      </c>
      <c r="L9" s="38">
        <v>9.1260884332402785</v>
      </c>
      <c r="M9" s="38">
        <v>5.1314423249399335</v>
      </c>
      <c r="N9" s="38">
        <v>109.14813422445037</v>
      </c>
      <c r="O9" s="38">
        <v>2.5561643798061766</v>
      </c>
      <c r="P9" s="39">
        <v>4.2188001782616249</v>
      </c>
      <c r="Q9" s="1">
        <v>1</v>
      </c>
      <c r="R9" s="3" t="s">
        <v>47</v>
      </c>
      <c r="S9" s="16" t="s">
        <v>45</v>
      </c>
    </row>
    <row r="10" spans="1:19" ht="32">
      <c r="A10" s="1" t="s">
        <v>39</v>
      </c>
      <c r="B10" s="3" t="s">
        <v>40</v>
      </c>
      <c r="C10" s="4">
        <v>43077</v>
      </c>
      <c r="D10" s="5">
        <v>0.44097222222222227</v>
      </c>
      <c r="E10" s="15">
        <v>25.5</v>
      </c>
      <c r="F10" s="15">
        <v>34.799999999999997</v>
      </c>
      <c r="G10" s="38">
        <v>6.96</v>
      </c>
      <c r="H10" s="15">
        <v>102.9</v>
      </c>
      <c r="I10" s="38">
        <v>8.2200000000000006</v>
      </c>
      <c r="J10" s="38">
        <f>AVERAGE(21.5,20.6,21.4)</f>
        <v>21.166666666666668</v>
      </c>
      <c r="K10" s="39"/>
      <c r="P10" s="39"/>
      <c r="Q10" s="1">
        <v>3</v>
      </c>
      <c r="R10" s="3" t="s">
        <v>48</v>
      </c>
      <c r="S10" s="16" t="s">
        <v>45</v>
      </c>
    </row>
    <row r="11" spans="1:19" ht="34" customHeight="1">
      <c r="A11" s="1" t="s">
        <v>39</v>
      </c>
      <c r="B11" s="3" t="s">
        <v>40</v>
      </c>
      <c r="C11" s="4">
        <v>43091</v>
      </c>
      <c r="D11" s="5">
        <v>0.4465277777777778</v>
      </c>
      <c r="E11" s="15">
        <v>24.3</v>
      </c>
      <c r="F11" s="15">
        <v>33.700000000000003</v>
      </c>
      <c r="G11" s="38">
        <v>7.18</v>
      </c>
      <c r="H11" s="15">
        <v>103.9</v>
      </c>
      <c r="I11" s="38">
        <v>8.19</v>
      </c>
      <c r="J11" s="38">
        <f>AVERAGE(16.5,17,16.6)</f>
        <v>16.7</v>
      </c>
      <c r="P11" s="39"/>
      <c r="Q11" s="1">
        <v>1</v>
      </c>
      <c r="R11" s="3" t="s">
        <v>49</v>
      </c>
      <c r="S11" s="16" t="s">
        <v>45</v>
      </c>
    </row>
    <row r="12" spans="1:19" ht="32">
      <c r="A12" s="1" t="s">
        <v>39</v>
      </c>
      <c r="B12" s="3" t="s">
        <v>40</v>
      </c>
      <c r="C12" s="4">
        <v>43112</v>
      </c>
      <c r="D12" s="5">
        <v>0.4375</v>
      </c>
      <c r="E12" s="15">
        <v>25.4</v>
      </c>
      <c r="F12" s="15">
        <v>34.5</v>
      </c>
      <c r="G12" s="38">
        <v>7.2</v>
      </c>
      <c r="H12" s="15">
        <v>106.3</v>
      </c>
      <c r="I12" s="38">
        <v>8.23</v>
      </c>
      <c r="J12" s="38">
        <f>AVERAGE(7.79,9.47,8.58)</f>
        <v>8.6133333333333351</v>
      </c>
      <c r="P12" s="39"/>
      <c r="Q12" s="1">
        <v>3</v>
      </c>
      <c r="R12" s="3" t="s">
        <v>50</v>
      </c>
      <c r="S12" s="16" t="s">
        <v>45</v>
      </c>
    </row>
    <row r="13" spans="1:19">
      <c r="C13" s="4"/>
      <c r="D13" s="5"/>
      <c r="P13" s="39"/>
    </row>
    <row r="14" spans="1:19">
      <c r="C14" s="4"/>
      <c r="D14" s="5"/>
      <c r="P14" s="39"/>
    </row>
    <row r="15" spans="1:19">
      <c r="C15" s="4"/>
      <c r="D15" s="5"/>
      <c r="P15" s="39"/>
    </row>
    <row r="16" spans="1:19">
      <c r="C16" s="4"/>
      <c r="D16" s="5"/>
      <c r="P16" s="39"/>
    </row>
    <row r="17" spans="3:19">
      <c r="C17" s="4"/>
      <c r="D17" s="5"/>
      <c r="P17" s="39"/>
    </row>
    <row r="18" spans="3:19">
      <c r="C18" s="4"/>
      <c r="D18" s="5"/>
    </row>
    <row r="19" spans="3:19">
      <c r="C19" s="4"/>
      <c r="D19" s="5"/>
    </row>
    <row r="20" spans="3:19">
      <c r="C20" s="4"/>
      <c r="D20" s="5"/>
    </row>
    <row r="21" spans="3:19">
      <c r="C21" s="4"/>
      <c r="D21" s="5"/>
      <c r="K21" s="39"/>
      <c r="O21" s="39"/>
    </row>
    <row r="22" spans="3:19">
      <c r="C22" s="4"/>
      <c r="D22" s="5"/>
    </row>
    <row r="23" spans="3:19">
      <c r="C23" s="4"/>
      <c r="D23" s="5"/>
    </row>
    <row r="24" spans="3:19">
      <c r="C24" s="4"/>
      <c r="D24" s="5"/>
    </row>
    <row r="32" spans="3:19">
      <c r="J32" s="25">
        <f>GEOMEAN(J3:J29)</f>
        <v>7.9688880284684993</v>
      </c>
      <c r="K32" s="39">
        <f>GEOMEAN(K3:K29)</f>
        <v>77.199925893656285</v>
      </c>
      <c r="L32" s="39">
        <f t="shared" ref="L32:N32" si="0">GEOMEAN(L3:L29)</f>
        <v>12.454260755931676</v>
      </c>
      <c r="M32" s="28">
        <f t="shared" si="0"/>
        <v>6.3057478604585686</v>
      </c>
      <c r="N32" s="38">
        <f t="shared" si="0"/>
        <v>219.90329697699204</v>
      </c>
      <c r="O32" s="25">
        <f t="shared" ref="O32:P32" si="1">GEOMEAN(O3:O29)</f>
        <v>9.5688884372360228</v>
      </c>
      <c r="P32" s="25">
        <f t="shared" si="1"/>
        <v>5.5630203722865934</v>
      </c>
      <c r="S32" s="16" t="s">
        <v>29</v>
      </c>
    </row>
    <row r="33" spans="4:19">
      <c r="D33" s="46">
        <f>AVERAGE(D3:D29)</f>
        <v>0.44215277777777773</v>
      </c>
      <c r="E33" s="38">
        <f>AVERAGE(E3:E29)</f>
        <v>26.790000000000003</v>
      </c>
      <c r="F33" s="38">
        <f t="shared" ref="F33:H33" si="2">AVERAGE(F3:F29)</f>
        <v>34.46</v>
      </c>
      <c r="G33" s="38">
        <f t="shared" si="2"/>
        <v>6.8150000000000004</v>
      </c>
      <c r="H33" s="38">
        <f t="shared" si="2"/>
        <v>103.17999999999999</v>
      </c>
      <c r="I33" s="38">
        <f>AVERAGE(I3:I29)</f>
        <v>8.1880000000000006</v>
      </c>
      <c r="J33" s="38">
        <f>AVERAGE(J3:J29)</f>
        <v>9.5739999999999998</v>
      </c>
      <c r="K33" s="38">
        <f>AVERAGE(K3:K29)</f>
        <v>78.573218278257485</v>
      </c>
      <c r="L33" s="38">
        <f t="shared" ref="L33:N33" si="3">AVERAGE(L3:L29)</f>
        <v>12.741807278934186</v>
      </c>
      <c r="M33" s="38">
        <f t="shared" si="3"/>
        <v>6.3681320788238702</v>
      </c>
      <c r="N33" s="38">
        <f t="shared" si="3"/>
        <v>259.2992672382353</v>
      </c>
      <c r="O33" s="38">
        <f t="shared" ref="O33:P33" si="4">AVERAGE(O3:O29)</f>
        <v>11.714810977788014</v>
      </c>
      <c r="P33" s="38">
        <f t="shared" si="4"/>
        <v>6.9014667444255142</v>
      </c>
      <c r="S33" s="16" t="s">
        <v>30</v>
      </c>
    </row>
    <row r="34" spans="4:19">
      <c r="E34" s="38">
        <f>STDEV(E3:E29)</f>
        <v>1.3601062050033532</v>
      </c>
      <c r="F34" s="38">
        <f t="shared" ref="F34:H34" si="5">STDEV(F3:F29)</f>
        <v>0.44522154285499643</v>
      </c>
      <c r="G34" s="38">
        <f t="shared" si="5"/>
        <v>0.59571152601087829</v>
      </c>
      <c r="H34" s="38">
        <f t="shared" si="5"/>
        <v>8.8986640695231873</v>
      </c>
      <c r="I34" s="38">
        <f>STDEV(I3:I29)</f>
        <v>8.8794394217390396E-2</v>
      </c>
      <c r="J34" s="38">
        <f>STDEV(J3:J29)</f>
        <v>5.7199047734454433</v>
      </c>
      <c r="K34" s="38">
        <f>STDEV(K3:K29)</f>
        <v>15.977867677269986</v>
      </c>
      <c r="L34" s="38">
        <f t="shared" ref="L34:N34" si="6">STDEV(L3:L29)</f>
        <v>2.9295188686002152</v>
      </c>
      <c r="M34" s="38">
        <f t="shared" si="6"/>
        <v>0.9733106029390719</v>
      </c>
      <c r="N34" s="38">
        <f t="shared" si="6"/>
        <v>152.05534322774454</v>
      </c>
      <c r="O34" s="38">
        <f t="shared" ref="O34:P34" si="7">STDEV(O3:O29)</f>
        <v>7.3219032324167328</v>
      </c>
      <c r="P34" s="38">
        <f t="shared" si="7"/>
        <v>5.3603624452391392</v>
      </c>
      <c r="S34" s="16" t="s">
        <v>31</v>
      </c>
    </row>
    <row r="36" spans="4:19">
      <c r="J36" s="38">
        <f>J32/0.2</f>
        <v>39.844440142342492</v>
      </c>
      <c r="K36" s="38">
        <f>K32/110</f>
        <v>0.701817508124148</v>
      </c>
      <c r="L36" s="38">
        <f>L32/16</f>
        <v>0.77839129724572975</v>
      </c>
      <c r="M36" s="38">
        <f>M32/6</f>
        <v>1.0509579767430948</v>
      </c>
      <c r="N36" s="38">
        <f>N32</f>
        <v>219.90329697699204</v>
      </c>
      <c r="O36" s="38">
        <f>O32/3.5</f>
        <v>2.7339681249245777</v>
      </c>
      <c r="P36" s="38">
        <f>P32/2</f>
        <v>2.7815101861432967</v>
      </c>
      <c r="S36" s="16" t="s">
        <v>32</v>
      </c>
    </row>
  </sheetData>
  <sheetCalcPr fullCalcOnLoad="1"/>
  <phoneticPr fontId="1" type="noConversion"/>
  <pageMargins left="0.75" right="0.75" top="1" bottom="1" header="0.5" footer="0.5"/>
  <legacy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Charts</vt:lpstr>
      </vt:variant>
      <vt:variant>
        <vt:i4>20</vt:i4>
      </vt:variant>
    </vt:vector>
  </HeadingPairs>
  <TitlesOfParts>
    <vt:vector size="27" baseType="lpstr">
      <vt:lpstr>Honolua</vt:lpstr>
      <vt:lpstr>Mokule'ia</vt:lpstr>
      <vt:lpstr>Honokahua</vt:lpstr>
      <vt:lpstr>Oneloa</vt:lpstr>
      <vt:lpstr>Kapalua Bay</vt:lpstr>
      <vt:lpstr>Ka'opala Bay</vt:lpstr>
      <vt:lpstr>Kahana Village</vt:lpstr>
      <vt:lpstr>RHL pH</vt:lpstr>
      <vt:lpstr>RHL turbidity</vt:lpstr>
      <vt:lpstr>RHL temp</vt:lpstr>
      <vt:lpstr>RHL Salinity</vt:lpstr>
      <vt:lpstr>RFN pH</vt:lpstr>
      <vt:lpstr>RFN Turbidity</vt:lpstr>
      <vt:lpstr>RFN Salinity</vt:lpstr>
      <vt:lpstr>RON pH</vt:lpstr>
      <vt:lpstr>RON turbidity</vt:lpstr>
      <vt:lpstr>RON Temperature</vt:lpstr>
      <vt:lpstr>RFS pH</vt:lpstr>
      <vt:lpstr>RFS Turbidity</vt:lpstr>
      <vt:lpstr>RFS salinity</vt:lpstr>
      <vt:lpstr>RFS Silicates and N</vt:lpstr>
      <vt:lpstr>RFS temp</vt:lpstr>
      <vt:lpstr>RFS Si NNN correlation</vt:lpstr>
      <vt:lpstr>RKO Turbidity</vt:lpstr>
      <vt:lpstr>RKO Si NNN Correl</vt:lpstr>
      <vt:lpstr>RKO NNN vs silicates</vt:lpstr>
      <vt:lpstr>RKO salinity</vt:lpstr>
    </vt:vector>
  </TitlesOfParts>
  <Company>Home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 Reed</dc:creator>
  <cp:lastModifiedBy>Dana Reed</cp:lastModifiedBy>
  <dcterms:created xsi:type="dcterms:W3CDTF">2016-07-06T01:43:01Z</dcterms:created>
  <dcterms:modified xsi:type="dcterms:W3CDTF">2018-02-12T06:52:48Z</dcterms:modified>
</cp:coreProperties>
</file>