
<file path=[Content_Types].xml><?xml version="1.0" encoding="utf-8"?>
<Types xmlns="http://schemas.openxmlformats.org/package/2006/content-types">
  <Override PartName="/xl/charts/chart7.xml" ContentType="application/vnd.openxmlformats-officedocument.drawingml.chart+xml"/>
  <Override PartName="/xl/drawings/drawing21.xml" ContentType="application/vnd.openxmlformats-officedocument.drawing+xml"/>
  <Override PartName="/xl/chartsheets/sheet3.xml" ContentType="application/vnd.openxmlformats-officedocument.spreadsheetml.chartsheet+xml"/>
  <Override PartName="/xl/drawings/drawing7.xml" ContentType="application/vnd.openxmlformats-officedocument.drawing+xml"/>
  <Default Extension="xml" ContentType="application/xml"/>
  <Override PartName="/xl/chartsheets/sheet15.xml" ContentType="application/vnd.openxmlformats-officedocument.spreadsheetml.chartsheet+xml"/>
  <Override PartName="/xl/drawings/drawing13.xml" ContentType="application/vnd.openxmlformats-officedocument.drawing+xml"/>
  <Override PartName="/xl/charts/chart20.xml" ContentType="application/vnd.openxmlformats-officedocument.drawingml.chart+xml"/>
  <Override PartName="/xl/charts/chart19.xml" ContentType="application/vnd.openxmlformats-officedocument.drawingml.chart+xml"/>
  <Override PartName="/xl/chartsheets/sheet9.xml" ContentType="application/vnd.openxmlformats-officedocument.spreadsheetml.chartsheet+xml"/>
  <Override PartName="/xl/charts/chart12.xml" ContentType="application/vnd.openxmlformats-officedocument.drawingml.chart+xml"/>
  <Override PartName="/xl/charts/chart6.xml" ContentType="application/vnd.openxmlformats-officedocument.drawingml.chart+xml"/>
  <Override PartName="/xl/drawings/drawing20.xml" ContentType="application/vnd.openxmlformats-officedocument.drawing+xml"/>
  <Override PartName="/xl/chartsheets/sheet2.xml" ContentType="application/vnd.openxmlformats-officedocument.spreadsheetml.chartsheet+xml"/>
  <Override PartName="/docProps/core.xml" ContentType="application/vnd.openxmlformats-package.core-properties+xml"/>
  <Override PartName="/xl/comments6.xml" ContentType="application/vnd.openxmlformats-officedocument.spreadsheetml.comments+xml"/>
  <Override PartName="/xl/drawings/drawing19.xml" ContentType="application/vnd.openxmlformats-officedocument.drawing+xml"/>
  <Override PartName="/xl/drawings/drawing6.xml" ContentType="application/vnd.openxmlformats-officedocument.drawing+xml"/>
  <Override PartName="/xl/chartsheets/sheet14.xml" ContentType="application/vnd.openxmlformats-officedocument.spreadsheetml.chartsheet+xml"/>
  <Override PartName="/xl/drawings/drawing12.xml" ContentType="application/vnd.openxmlformats-officedocument.drawing+xml"/>
  <Override PartName="/xl/chartsheets/sheet23.xml" ContentType="application/vnd.openxmlformats-officedocument.spreadsheetml.chartsheet+xml"/>
  <Override PartName="/xl/theme/theme1.xml" ContentType="application/vnd.openxmlformats-officedocument.theme+xml"/>
  <Default Extension="vml" ContentType="application/vnd.openxmlformats-officedocument.vmlDrawing"/>
  <Override PartName="/xl/charts/chart18.xml" ContentType="application/vnd.openxmlformats-officedocument.drawingml.chart+xml"/>
  <Override PartName="/xl/calcChain.xml" ContentType="application/vnd.openxmlformats-officedocument.spreadsheetml.calcChain+xml"/>
  <Override PartName="/xl/charts/chart11.xml" ContentType="application/vnd.openxmlformats-officedocument.drawingml.chart+xml"/>
  <Override PartName="/xl/chartsheets/sheet8.xml" ContentType="application/vnd.openxmlformats-officedocument.spreadsheetml.chartsheet+xml"/>
  <Override PartName="/xl/workbook.xml" ContentType="application/vnd.openxmlformats-officedocument.spreadsheetml.sheet.main+xml"/>
  <Override PartName="/xl/chartsheets/sheet1.xml" ContentType="application/vnd.openxmlformats-officedocument.spreadsheetml.chartsheet+xml"/>
  <Override PartName="/xl/charts/chart5.xml" ContentType="application/vnd.openxmlformats-officedocument.drawingml.chart+xml"/>
  <Override PartName="/xl/comments5.xml" ContentType="application/vnd.openxmlformats-officedocument.spreadsheetml.comments+xml"/>
  <Override PartName="/xl/drawings/drawing18.xml" ContentType="application/vnd.openxmlformats-officedocument.drawing+xml"/>
  <Override PartName="/xl/drawings/drawing5.xml" ContentType="application/vnd.openxmlformats-officedocument.drawing+xml"/>
  <Override PartName="/xl/chartsheets/sheet13.xml" ContentType="application/vnd.openxmlformats-officedocument.spreadsheetml.chartsheet+xml"/>
  <Override PartName="/xl/drawings/drawing11.xml" ContentType="application/vnd.openxmlformats-officedocument.drawing+xml"/>
  <Override PartName="/xl/charts/chart3.xml" ContentType="application/vnd.openxmlformats-officedocument.drawingml.chart+xml"/>
  <Override PartName="/xl/worksheets/sheet6.xml" ContentType="application/vnd.openxmlformats-officedocument.spreadsheetml.worksheet+xml"/>
  <Override PartName="/xl/chartsheets/sheet22.xml" ContentType="application/vnd.openxmlformats-officedocument.spreadsheetml.chartsheet+xml"/>
  <Override PartName="/xl/charts/chart17.xml" ContentType="application/vnd.openxmlformats-officedocument.drawingml.chart+xml"/>
  <Override PartName="/xl/chartsheets/sheet7.xml" ContentType="application/vnd.openxmlformats-officedocument.spreadsheetml.chartsheet+xml"/>
  <Override PartName="/xl/charts/chart10.xml" ContentType="application/vnd.openxmlformats-officedocument.drawingml.chart+xml"/>
  <Override PartName="/xl/charts/chart4.xml" ContentType="application/vnd.openxmlformats-officedocument.drawingml.chart+xml"/>
  <Override PartName="/xl/chartsheets/sheet19.xml" ContentType="application/vnd.openxmlformats-officedocument.spreadsheetml.chartsheet+xml"/>
  <Override PartName="/xl/comments4.xml" ContentType="application/vnd.openxmlformats-officedocument.spreadsheetml.comments+xml"/>
  <Override PartName="/xl/drawings/drawing17.xml" ContentType="application/vnd.openxmlformats-officedocument.drawing+xml"/>
  <Override PartName="/xl/drawings/drawing4.xml" ContentType="application/vnd.openxmlformats-officedocument.drawing+xml"/>
  <Override PartName="/xl/chartsheets/sheet12.xml" ContentType="application/vnd.openxmlformats-officedocument.spreadsheetml.chartsheet+xml"/>
  <Override PartName="/xl/drawings/drawing10.xml" ContentType="application/vnd.openxmlformats-officedocument.drawing+xml"/>
  <Override PartName="/xl/charts/chart2.xml" ContentType="application/vnd.openxmlformats-officedocument.drawingml.chart+xml"/>
  <Override PartName="/xl/styles.xml" ContentType="application/vnd.openxmlformats-officedocument.spreadsheetml.styles+xml"/>
  <Override PartName="/xl/worksheets/sheet5.xml" ContentType="application/vnd.openxmlformats-officedocument.spreadsheetml.worksheet+xml"/>
  <Override PartName="/xl/chartsheets/sheet21.xml" ContentType="application/vnd.openxmlformats-officedocument.spreadsheetml.chartsheet+xml"/>
  <Override PartName="/xl/charts/chart16.xml" ContentType="application/vnd.openxmlformats-officedocument.drawingml.chart+xml"/>
  <Override PartName="/xl/chartsheets/sheet6.xml" ContentType="application/vnd.openxmlformats-officedocument.spreadsheetml.chartsheet+xml"/>
  <Override PartName="/docProps/app.xml" ContentType="application/vnd.openxmlformats-officedocument.extended-properties+xml"/>
  <Override PartName="/xl/chartsheets/sheet18.xml" ContentType="application/vnd.openxmlformats-officedocument.spreadsheetml.chartsheet+xml"/>
  <Override PartName="/xl/comments3.xml" ContentType="application/vnd.openxmlformats-officedocument.spreadsheetml.comments+xml"/>
  <Override PartName="/xl/drawings/drawing16.xml" ContentType="application/vnd.openxmlformats-officedocument.drawing+xml"/>
  <Override PartName="/xl/drawings/drawing3.xml" ContentType="application/vnd.openxmlformats-officedocument.drawing+xml"/>
  <Override PartName="/xl/chartsheets/sheet11.xml" ContentType="application/vnd.openxmlformats-officedocument.spreadsheetml.chartsheet+xml"/>
  <Override PartName="/xl/charts/chart1.xml" ContentType="application/vnd.openxmlformats-officedocument.drawingml.chart+xml"/>
  <Override PartName="/xl/worksheets/sheet4.xml" ContentType="application/vnd.openxmlformats-officedocument.spreadsheetml.worksheet+xml"/>
  <Override PartName="/xl/chartsheets/sheet20.xml" ContentType="application/vnd.openxmlformats-officedocument.spreadsheetml.chartsheet+xml"/>
  <Override PartName="/xl/charts/chart15.xml" ContentType="application/vnd.openxmlformats-officedocument.drawingml.chart+xml"/>
  <Override PartName="/xl/charts/chart9.xml" ContentType="application/vnd.openxmlformats-officedocument.drawingml.chart+xml"/>
  <Override PartName="/xl/chartsheets/sheet5.xml" ContentType="application/vnd.openxmlformats-officedocument.spreadsheetml.chartsheet+xml"/>
  <Override PartName="/xl/drawings/drawing23.xml" ContentType="application/vnd.openxmlformats-officedocument.drawing+xml"/>
  <Override PartName="/xl/worksheets/sheet2.xml" ContentType="application/vnd.openxmlformats-officedocument.spreadsheetml.worksheet+xml"/>
  <Override PartName="/xl/drawings/drawing9.xml" ContentType="application/vnd.openxmlformats-officedocument.drawing+xml"/>
  <Override PartName="/xl/sharedStrings.xml" ContentType="application/vnd.openxmlformats-officedocument.spreadsheetml.sharedStrings+xml"/>
  <Override PartName="/xl/chartsheets/sheet17.xml" ContentType="application/vnd.openxmlformats-officedocument.spreadsheetml.chartsheet+xml"/>
  <Override PartName="/xl/comments2.xml" ContentType="application/vnd.openxmlformats-officedocument.spreadsheetml.comments+xml"/>
  <Override PartName="/xl/drawings/drawing15.xml" ContentType="application/vnd.openxmlformats-officedocument.drawing+xml"/>
  <Override PartName="/xl/drawings/drawing2.xml" ContentType="application/vnd.openxmlformats-officedocument.drawing+xml"/>
  <Override PartName="/xl/charts/chart22.xml" ContentType="application/vnd.openxmlformats-officedocument.drawingml.chart+xml"/>
  <Override PartName="/xl/chartsheets/sheet10.xml" ContentType="application/vnd.openxmlformats-officedocument.spreadsheetml.chartsheet+xml"/>
  <Override PartName="/xl/worksheets/sheet3.xml" ContentType="application/vnd.openxmlformats-officedocument.spreadsheetml.worksheet+xml"/>
  <Override PartName="/xl/charts/chart14.xml" ContentType="application/vnd.openxmlformats-officedocument.drawingml.chart+xml"/>
  <Override PartName="/xl/charts/chart8.xml" ContentType="application/vnd.openxmlformats-officedocument.drawingml.chart+xml"/>
  <Override PartName="/xl/drawings/drawing22.xml" ContentType="application/vnd.openxmlformats-officedocument.drawing+xml"/>
  <Override PartName="/xl/chartsheets/sheet4.xml" ContentType="application/vnd.openxmlformats-officedocument.spreadsheetml.chartsheet+xml"/>
  <Override PartName="/xl/worksheets/sheet1.xml" ContentType="application/vnd.openxmlformats-officedocument.spreadsheetml.worksheet+xml"/>
  <Override PartName="/xl/charts/chart23.xml" ContentType="application/vnd.openxmlformats-officedocument.drawingml.chart+xml"/>
  <Override PartName="/xl/drawings/drawing8.xml" ContentType="application/vnd.openxmlformats-officedocument.drawing+xml"/>
  <Override PartName="/xl/chartsheets/sheet16.xml" ContentType="application/vnd.openxmlformats-officedocument.spreadsheetml.chartsheet+xml"/>
  <Override PartName="/xl/comments1.xml" ContentType="application/vnd.openxmlformats-officedocument.spreadsheetml.comments+xml"/>
  <Override PartName="/xl/drawings/drawing14.xml" ContentType="application/vnd.openxmlformats-officedocument.drawing+xml"/>
  <Override PartName="/xl/drawings/drawing1.xml" ContentType="application/vnd.openxmlformats-officedocument.drawing+xml"/>
  <Override PartName="/xl/charts/chart21.xml" ContentType="application/vnd.openxmlformats-officedocument.drawingml.chart+xml"/>
  <Default Extension="rels" ContentType="application/vnd.openxmlformats-package.relationships+xml"/>
  <Override PartName="/xl/charts/chart13.xml" ContentType="application/vnd.openxmlformats-officedocument.drawingml.char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40" yWindow="460" windowWidth="23740" windowHeight="14940" tabRatio="500" firstSheet="8" activeTab="9"/>
  </bookViews>
  <sheets>
    <sheet name="OPM Turb" sheetId="7" r:id="rId1"/>
    <sheet name="OPM pH" sheetId="9" r:id="rId2"/>
    <sheet name="OPM temp" sheetId="19" r:id="rId3"/>
    <sheet name="Peter Martin Hale" sheetId="1" r:id="rId4"/>
    <sheet name="OCO turb" sheetId="10" r:id="rId5"/>
    <sheet name="OCO pH" sheetId="12" r:id="rId6"/>
    <sheet name="OCO temp" sheetId="20" r:id="rId7"/>
    <sheet name="OCO Silicates" sheetId="27" r:id="rId8"/>
    <sheet name="Camp Olowalu" sheetId="2" r:id="rId9"/>
    <sheet name="OMM turb" sheetId="11" r:id="rId10"/>
    <sheet name="OMM pH" sheetId="14" r:id="rId11"/>
    <sheet name="OMM temp" sheetId="21" r:id="rId12"/>
    <sheet name="OMM Silicates" sheetId="28" r:id="rId13"/>
    <sheet name="Mile Marker 14" sheetId="3" r:id="rId14"/>
    <sheet name="OUB turb" sheetId="13" r:id="rId15"/>
    <sheet name="OUB pH" sheetId="15" r:id="rId16"/>
    <sheet name="OUB temp" sheetId="22" r:id="rId17"/>
    <sheet name="OUB Silicates" sheetId="29" r:id="rId18"/>
    <sheet name="Ukumehame Beach" sheetId="4" r:id="rId19"/>
    <sheet name="OPB turb" sheetId="16" r:id="rId20"/>
    <sheet name="OPB pH" sheetId="17" r:id="rId21"/>
    <sheet name="OPB temp" sheetId="23" r:id="rId22"/>
    <sheet name="OPB Silicates" sheetId="30" r:id="rId23"/>
    <sheet name="Papalaua Beach Park" sheetId="5" r:id="rId24"/>
    <sheet name="OPP Turb" sheetId="8" r:id="rId25"/>
    <sheet name="OPP pH" sheetId="24" r:id="rId26"/>
    <sheet name="OPP temp" sheetId="25" r:id="rId27"/>
    <sheet name="OPP Silicates" sheetId="31" r:id="rId28"/>
    <sheet name="Papalaua Pali" sheetId="6" r:id="rId29"/>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J34" i="2"/>
  <c r="J33"/>
  <c r="J32"/>
  <c r="N41"/>
  <c r="N45"/>
  <c r="M41"/>
  <c r="M45"/>
  <c r="L41"/>
  <c r="L45"/>
  <c r="N43"/>
  <c r="M43"/>
  <c r="L43"/>
  <c r="N42"/>
  <c r="M42"/>
  <c r="L42"/>
  <c r="J31"/>
  <c r="J30"/>
  <c r="J29"/>
  <c r="J28"/>
  <c r="D42"/>
  <c r="J27"/>
  <c r="F43"/>
  <c r="G43"/>
  <c r="H43"/>
  <c r="E43"/>
  <c r="F42"/>
  <c r="G42"/>
  <c r="H42"/>
  <c r="J26"/>
  <c r="J25"/>
  <c r="I41"/>
  <c r="J24"/>
  <c r="J23"/>
  <c r="J22"/>
  <c r="K41"/>
  <c r="O41"/>
  <c r="P41"/>
  <c r="J5"/>
  <c r="J6"/>
  <c r="J7"/>
  <c r="J8"/>
  <c r="J9"/>
  <c r="J10"/>
  <c r="J11"/>
  <c r="J12"/>
  <c r="J13"/>
  <c r="J14"/>
  <c r="J15"/>
  <c r="J16"/>
  <c r="J17"/>
  <c r="J18"/>
  <c r="J19"/>
  <c r="J20"/>
  <c r="J21"/>
  <c r="J41"/>
  <c r="E42"/>
  <c r="I43"/>
  <c r="I42"/>
  <c r="P45"/>
  <c r="O45"/>
  <c r="K45"/>
  <c r="J45"/>
  <c r="P43"/>
  <c r="O43"/>
  <c r="K43"/>
  <c r="J43"/>
  <c r="P42"/>
  <c r="O42"/>
  <c r="K42"/>
  <c r="J42"/>
  <c r="J34" i="3"/>
  <c r="J33"/>
  <c r="J32"/>
  <c r="J24"/>
  <c r="N41"/>
  <c r="N45"/>
  <c r="M41"/>
  <c r="M45"/>
  <c r="L41"/>
  <c r="L45"/>
  <c r="N43"/>
  <c r="M43"/>
  <c r="L43"/>
  <c r="N42"/>
  <c r="M42"/>
  <c r="L42"/>
  <c r="J31"/>
  <c r="J30"/>
  <c r="J29"/>
  <c r="J28"/>
  <c r="D42"/>
  <c r="J27"/>
  <c r="F43"/>
  <c r="G43"/>
  <c r="H43"/>
  <c r="E43"/>
  <c r="F42"/>
  <c r="G42"/>
  <c r="H42"/>
  <c r="J26"/>
  <c r="J25"/>
  <c r="I41"/>
  <c r="J23"/>
  <c r="J22"/>
  <c r="P41"/>
  <c r="O41"/>
  <c r="K41"/>
  <c r="J5"/>
  <c r="J6"/>
  <c r="J7"/>
  <c r="J8"/>
  <c r="J9"/>
  <c r="J10"/>
  <c r="J11"/>
  <c r="J12"/>
  <c r="J13"/>
  <c r="J14"/>
  <c r="J15"/>
  <c r="J16"/>
  <c r="J17"/>
  <c r="J18"/>
  <c r="J19"/>
  <c r="J20"/>
  <c r="J21"/>
  <c r="J41"/>
  <c r="E42"/>
  <c r="I43"/>
  <c r="I42"/>
  <c r="P45"/>
  <c r="O45"/>
  <c r="K45"/>
  <c r="J45"/>
  <c r="P43"/>
  <c r="O43"/>
  <c r="K43"/>
  <c r="J43"/>
  <c r="P42"/>
  <c r="O42"/>
  <c r="K42"/>
  <c r="J42"/>
  <c r="J34" i="5"/>
  <c r="J33"/>
  <c r="J32"/>
  <c r="J24"/>
  <c r="N41"/>
  <c r="N45"/>
  <c r="M41"/>
  <c r="M45"/>
  <c r="L41"/>
  <c r="L45"/>
  <c r="N43"/>
  <c r="M43"/>
  <c r="L43"/>
  <c r="N42"/>
  <c r="M42"/>
  <c r="L42"/>
  <c r="J31"/>
  <c r="J30"/>
  <c r="J29"/>
  <c r="J28"/>
  <c r="D42"/>
  <c r="J27"/>
  <c r="F43"/>
  <c r="G43"/>
  <c r="H43"/>
  <c r="E43"/>
  <c r="F42"/>
  <c r="G42"/>
  <c r="H42"/>
  <c r="J26"/>
  <c r="J25"/>
  <c r="I41"/>
  <c r="J23"/>
  <c r="J22"/>
  <c r="K43"/>
  <c r="O43"/>
  <c r="P43"/>
  <c r="J5"/>
  <c r="J6"/>
  <c r="J7"/>
  <c r="J8"/>
  <c r="J9"/>
  <c r="J10"/>
  <c r="J11"/>
  <c r="J12"/>
  <c r="J13"/>
  <c r="J14"/>
  <c r="J15"/>
  <c r="J16"/>
  <c r="J17"/>
  <c r="J18"/>
  <c r="J19"/>
  <c r="J20"/>
  <c r="J21"/>
  <c r="J43"/>
  <c r="K42"/>
  <c r="O42"/>
  <c r="P42"/>
  <c r="J42"/>
  <c r="P41"/>
  <c r="O41"/>
  <c r="K41"/>
  <c r="J41"/>
  <c r="E42"/>
  <c r="I43"/>
  <c r="I42"/>
  <c r="P45"/>
  <c r="O45"/>
  <c r="K45"/>
  <c r="J45"/>
  <c r="J34" i="6"/>
  <c r="J33"/>
  <c r="J32"/>
  <c r="N41"/>
  <c r="N45"/>
  <c r="M41"/>
  <c r="M45"/>
  <c r="L41"/>
  <c r="L45"/>
  <c r="N43"/>
  <c r="M43"/>
  <c r="L43"/>
  <c r="N42"/>
  <c r="M42"/>
  <c r="L42"/>
  <c r="J31"/>
  <c r="J30"/>
  <c r="J29"/>
  <c r="J28"/>
  <c r="D42"/>
  <c r="J27"/>
  <c r="F43"/>
  <c r="G43"/>
  <c r="H43"/>
  <c r="E43"/>
  <c r="F42"/>
  <c r="G42"/>
  <c r="H42"/>
  <c r="J26"/>
  <c r="J25"/>
  <c r="J24"/>
  <c r="J23"/>
  <c r="J22"/>
  <c r="K43"/>
  <c r="O43"/>
  <c r="P43"/>
  <c r="J5"/>
  <c r="J6"/>
  <c r="J7"/>
  <c r="J9"/>
  <c r="J10"/>
  <c r="J11"/>
  <c r="J12"/>
  <c r="J13"/>
  <c r="J14"/>
  <c r="J15"/>
  <c r="J16"/>
  <c r="J17"/>
  <c r="J18"/>
  <c r="J19"/>
  <c r="J20"/>
  <c r="J21"/>
  <c r="J43"/>
  <c r="K42"/>
  <c r="O42"/>
  <c r="P42"/>
  <c r="J42"/>
  <c r="P41"/>
  <c r="O41"/>
  <c r="K41"/>
  <c r="J41"/>
  <c r="I41"/>
  <c r="E42"/>
  <c r="I43"/>
  <c r="I42"/>
  <c r="P45"/>
  <c r="O45"/>
  <c r="K45"/>
  <c r="J45"/>
  <c r="J34" i="1"/>
  <c r="J33"/>
  <c r="J32"/>
  <c r="P41"/>
  <c r="O41"/>
  <c r="N41"/>
  <c r="M41"/>
  <c r="L41"/>
  <c r="K41"/>
  <c r="N45"/>
  <c r="M45"/>
  <c r="L45"/>
  <c r="N43"/>
  <c r="M43"/>
  <c r="L43"/>
  <c r="N42"/>
  <c r="M42"/>
  <c r="L42"/>
  <c r="J31"/>
  <c r="J30"/>
  <c r="J29"/>
  <c r="J28"/>
  <c r="D42"/>
  <c r="J27"/>
  <c r="F43"/>
  <c r="G43"/>
  <c r="H43"/>
  <c r="E43"/>
  <c r="F42"/>
  <c r="G42"/>
  <c r="H42"/>
  <c r="J26"/>
  <c r="J25"/>
  <c r="I43"/>
  <c r="I42"/>
  <c r="I41"/>
  <c r="J24"/>
  <c r="J23"/>
  <c r="J22"/>
  <c r="J6"/>
  <c r="J7"/>
  <c r="J8"/>
  <c r="J9"/>
  <c r="J10"/>
  <c r="J11"/>
  <c r="J12"/>
  <c r="J13"/>
  <c r="J14"/>
  <c r="J15"/>
  <c r="J16"/>
  <c r="J17"/>
  <c r="J18"/>
  <c r="J19"/>
  <c r="J20"/>
  <c r="J21"/>
  <c r="J41"/>
  <c r="E42"/>
  <c r="P45"/>
  <c r="O45"/>
  <c r="K45"/>
  <c r="K42"/>
  <c r="O42"/>
  <c r="P42"/>
  <c r="K43"/>
  <c r="O43"/>
  <c r="P43"/>
  <c r="J45"/>
  <c r="J43"/>
  <c r="J42"/>
  <c r="J34" i="4"/>
  <c r="J33"/>
  <c r="J32"/>
  <c r="N41"/>
  <c r="N45"/>
  <c r="M41"/>
  <c r="M45"/>
  <c r="L41"/>
  <c r="L45"/>
  <c r="N43"/>
  <c r="M43"/>
  <c r="L43"/>
  <c r="N42"/>
  <c r="M42"/>
  <c r="L42"/>
  <c r="J31"/>
  <c r="J30"/>
  <c r="J29"/>
  <c r="J28"/>
  <c r="D42"/>
  <c r="J27"/>
  <c r="F43"/>
  <c r="G43"/>
  <c r="H43"/>
  <c r="E43"/>
  <c r="F42"/>
  <c r="G42"/>
  <c r="H42"/>
  <c r="J26"/>
  <c r="J25"/>
  <c r="I41"/>
  <c r="J24"/>
  <c r="J23"/>
  <c r="J5"/>
  <c r="J6"/>
  <c r="J7"/>
  <c r="J9"/>
  <c r="J10"/>
  <c r="J11"/>
  <c r="J12"/>
  <c r="J13"/>
  <c r="J14"/>
  <c r="J15"/>
  <c r="J16"/>
  <c r="J17"/>
  <c r="J18"/>
  <c r="J19"/>
  <c r="J20"/>
  <c r="J21"/>
  <c r="J22"/>
  <c r="J41"/>
  <c r="E42"/>
  <c r="I43"/>
  <c r="I42"/>
  <c r="P41"/>
  <c r="P45"/>
  <c r="O41"/>
  <c r="O45"/>
  <c r="K41"/>
  <c r="K45"/>
  <c r="J45"/>
  <c r="P43"/>
  <c r="O43"/>
  <c r="K43"/>
  <c r="J43"/>
  <c r="P42"/>
  <c r="O42"/>
  <c r="K42"/>
  <c r="J42"/>
</calcChain>
</file>

<file path=xl/comments1.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Not yet an official site.</t>
        </r>
      </text>
    </comment>
    <comment ref="A3" authorId="0">
      <text>
        <r>
          <rPr>
            <b/>
            <sz val="9"/>
            <color indexed="81"/>
            <rFont val="Verdana"/>
          </rPr>
          <t>Dana Reed:</t>
        </r>
        <r>
          <rPr>
            <sz val="9"/>
            <color indexed="81"/>
            <rFont val="Verdana"/>
          </rPr>
          <t xml:space="preserve">
Not yet an official site.</t>
        </r>
      </text>
    </comment>
    <comment ref="A4" authorId="0">
      <text>
        <r>
          <rPr>
            <b/>
            <sz val="9"/>
            <color indexed="81"/>
            <rFont val="Verdana"/>
          </rPr>
          <t>Dana Reed:</t>
        </r>
        <r>
          <rPr>
            <sz val="9"/>
            <color indexed="81"/>
            <rFont val="Verdana"/>
          </rPr>
          <t xml:space="preserve">
Sampled directly in front of house in front of a large tree stump.  No swimmers.</t>
        </r>
      </text>
    </commen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No swimmers, or other recreators. Calm winds.</t>
        </r>
      </text>
    </comment>
    <comment ref="A7" authorId="0">
      <text>
        <r>
          <rPr>
            <b/>
            <sz val="9"/>
            <color indexed="81"/>
            <rFont val="Verdana"/>
          </rPr>
          <t>Dana Reed:</t>
        </r>
        <r>
          <rPr>
            <sz val="9"/>
            <color indexed="81"/>
            <rFont val="Verdana"/>
          </rPr>
          <t xml:space="preserve">
Calm</t>
        </r>
      </text>
    </comment>
    <comment ref="A8" authorId="0">
      <text>
        <r>
          <rPr>
            <b/>
            <sz val="9"/>
            <color indexed="81"/>
            <rFont val="Verdana"/>
          </rPr>
          <t>Dana Reed:</t>
        </r>
        <r>
          <rPr>
            <sz val="9"/>
            <color indexed="81"/>
            <rFont val="Verdana"/>
          </rPr>
          <t xml:space="preserve">
Peter Martin came out and asked what George and Nell were doing.  Very nice, just interested.
</t>
        </r>
      </text>
    </comment>
    <comment ref="A9" authorId="0">
      <text>
        <r>
          <rPr>
            <b/>
            <sz val="9"/>
            <color indexed="81"/>
            <rFont val="Verdana"/>
          </rPr>
          <t>Dana Reed:</t>
        </r>
        <r>
          <rPr>
            <sz val="9"/>
            <color indexed="81"/>
            <rFont val="Verdana"/>
          </rPr>
          <t xml:space="preserve">
First sample after major storms last week</t>
        </r>
      </text>
    </comment>
    <comment ref="A10" authorId="0">
      <text>
        <r>
          <rPr>
            <b/>
            <sz val="9"/>
            <color indexed="81"/>
            <rFont val="Verdana"/>
          </rPr>
          <t>Dana Reed:</t>
        </r>
        <r>
          <rPr>
            <sz val="9"/>
            <color indexed="81"/>
            <rFont val="Verdana"/>
          </rPr>
          <t xml:space="preserve">
No surf, no rain, clear sky</t>
        </r>
      </text>
    </comment>
    <comment ref="A11" authorId="0">
      <text>
        <r>
          <rPr>
            <b/>
            <sz val="9"/>
            <color indexed="81"/>
            <rFont val="Verdana"/>
          </rPr>
          <t>Dana Reed:</t>
        </r>
        <r>
          <rPr>
            <sz val="9"/>
            <color indexed="81"/>
            <rFont val="Verdana"/>
          </rPr>
          <t xml:space="preserve">
Slight breeze from north</t>
        </r>
      </text>
    </comment>
    <comment ref="A12" authorId="0">
      <text>
        <r>
          <rPr>
            <b/>
            <sz val="9"/>
            <color indexed="81"/>
            <rFont val="Verdana"/>
          </rPr>
          <t>Dana Reed:</t>
        </r>
        <r>
          <rPr>
            <sz val="9"/>
            <color indexed="81"/>
            <rFont val="Verdana"/>
          </rPr>
          <t xml:space="preserve">
Calm, not a soul in sight.</t>
        </r>
      </text>
    </comment>
    <comment ref="A13" authorId="0">
      <text>
        <r>
          <rPr>
            <b/>
            <sz val="9"/>
            <color indexed="81"/>
            <rFont val="Verdana"/>
          </rPr>
          <t>Dana Reed:</t>
        </r>
        <r>
          <rPr>
            <sz val="9"/>
            <color indexed="81"/>
            <rFont val="Verdana"/>
          </rPr>
          <t xml:space="preserve">
Calm water, no waves. No clouds, VOG</t>
        </r>
      </text>
    </comment>
    <comment ref="A14" authorId="0">
      <text>
        <r>
          <rPr>
            <b/>
            <sz val="9"/>
            <color indexed="81"/>
            <rFont val="Verdana"/>
          </rPr>
          <t>Dana Reed:</t>
        </r>
        <r>
          <rPr>
            <sz val="9"/>
            <color indexed="81"/>
            <rFont val="Verdana"/>
          </rPr>
          <t xml:space="preserve">
no wind, no surf, no?, small debris in water</t>
        </r>
      </text>
    </comment>
    <comment ref="A15" authorId="0">
      <text>
        <r>
          <rPr>
            <b/>
            <sz val="9"/>
            <color indexed="81"/>
            <rFont val="Verdana"/>
          </rPr>
          <t>Dana Reed:</t>
        </r>
        <r>
          <rPr>
            <sz val="9"/>
            <color indexed="81"/>
            <rFont val="Verdana"/>
          </rPr>
          <t xml:space="preserve">
Few high clouds, wind 0 knts, water calm</t>
        </r>
      </text>
    </comment>
    <comment ref="A16" authorId="0">
      <text>
        <r>
          <rPr>
            <b/>
            <sz val="9"/>
            <color indexed="81"/>
            <rFont val="Verdana"/>
          </rPr>
          <t>Dana Reed:</t>
        </r>
        <r>
          <rPr>
            <sz val="9"/>
            <color indexed="81"/>
            <rFont val="Verdana"/>
          </rPr>
          <t xml:space="preserve">
Clear, calm, no cloud cover or rain</t>
        </r>
      </text>
    </comment>
    <comment ref="I16" authorId="0">
      <text>
        <r>
          <rPr>
            <b/>
            <sz val="9"/>
            <color indexed="81"/>
            <rFont val="Verdana"/>
          </rPr>
          <t>Dana Reed:</t>
        </r>
        <r>
          <rPr>
            <sz val="9"/>
            <color indexed="81"/>
            <rFont val="Verdana"/>
          </rPr>
          <t xml:space="preserve">
pH measurements suspect. Not sure enough time was allowed for stabilization.</t>
        </r>
      </text>
    </comment>
    <comment ref="A17" authorId="0">
      <text>
        <r>
          <rPr>
            <b/>
            <sz val="9"/>
            <color indexed="81"/>
            <rFont val="Verdana"/>
          </rPr>
          <t>Dana Reed:</t>
        </r>
        <r>
          <rPr>
            <sz val="9"/>
            <color indexed="81"/>
            <rFont val="Verdana"/>
          </rPr>
          <t xml:space="preserve">
Calm, pH slow to stabilize first time.  The recorded reading is the 4th reading with all subsequent readings being lower.</t>
        </r>
      </text>
    </comment>
    <comment ref="A18" authorId="0">
      <text>
        <r>
          <rPr>
            <b/>
            <sz val="9"/>
            <color indexed="81"/>
            <rFont val="Verdana"/>
          </rPr>
          <t>Dana Reed:</t>
        </r>
        <r>
          <rPr>
            <sz val="9"/>
            <color indexed="81"/>
            <rFont val="Verdana"/>
          </rPr>
          <t xml:space="preserve">
Flat, no swimmers, calm winds, clouds 6/8</t>
        </r>
      </text>
    </comment>
    <comment ref="A19" authorId="0">
      <text>
        <r>
          <rPr>
            <b/>
            <sz val="9"/>
            <color indexed="81"/>
            <rFont val="Verdana"/>
          </rPr>
          <t>Dana Reed:</t>
        </r>
        <r>
          <rPr>
            <sz val="9"/>
            <color indexed="81"/>
            <rFont val="Verdana"/>
          </rPr>
          <t xml:space="preserve">
No waves, no swimmers, no wind, 8/8 clouds</t>
        </r>
      </text>
    </comment>
    <comment ref="A20" authorId="0">
      <text>
        <r>
          <rPr>
            <b/>
            <sz val="9"/>
            <color indexed="81"/>
            <rFont val="Verdana"/>
          </rPr>
          <t>Dana Reed:</t>
        </r>
        <r>
          <rPr>
            <sz val="9"/>
            <color indexed="81"/>
            <rFont val="Verdana"/>
          </rPr>
          <t xml:space="preserve">
No waves, no swimmers, no wind.</t>
        </r>
      </text>
    </comment>
    <comment ref="A21" authorId="0">
      <text>
        <r>
          <rPr>
            <b/>
            <sz val="9"/>
            <color indexed="81"/>
            <rFont val="Verdana"/>
          </rPr>
          <t>Dana Reed:</t>
        </r>
        <r>
          <rPr>
            <sz val="9"/>
            <color indexed="81"/>
            <rFont val="Verdana"/>
          </rPr>
          <t xml:space="preserve">
Small waves, no swimmers, light winds</t>
        </r>
      </text>
    </comment>
    <comment ref="A22" authorId="0">
      <text>
        <r>
          <rPr>
            <b/>
            <sz val="9"/>
            <color indexed="81"/>
            <rFont val="Verdana"/>
          </rPr>
          <t>Dana Reed:</t>
        </r>
        <r>
          <rPr>
            <sz val="9"/>
            <color indexed="81"/>
            <rFont val="Verdana"/>
          </rPr>
          <t xml:space="preserve">
Waves:  0
Swimmers: 0
Wind: 1 Bft</t>
        </r>
      </text>
    </comment>
    <comment ref="A23" authorId="0">
      <text>
        <r>
          <rPr>
            <b/>
            <sz val="9"/>
            <color indexed="81"/>
            <rFont val="Verdana"/>
          </rPr>
          <t>Dana Reed:</t>
        </r>
        <r>
          <rPr>
            <sz val="9"/>
            <color indexed="81"/>
            <rFont val="Verdana"/>
          </rPr>
          <t xml:space="preserve">
Waves: 0
Wind: 0
People: 0 ssk, 0 ob, 0 c</t>
        </r>
      </text>
    </comment>
    <comment ref="A24" authorId="0">
      <text>
        <r>
          <rPr>
            <b/>
            <sz val="9"/>
            <color indexed="81"/>
            <rFont val="Verdana"/>
          </rPr>
          <t>Dana Reed:</t>
        </r>
        <r>
          <rPr>
            <sz val="9"/>
            <color indexed="81"/>
            <rFont val="Verdana"/>
          </rPr>
          <t xml:space="preserve">
Waves: 0
Wind: 1
People: 0</t>
        </r>
      </text>
    </comment>
    <comment ref="I24" authorId="0">
      <text>
        <r>
          <rPr>
            <b/>
            <sz val="9"/>
            <color indexed="81"/>
            <rFont val="Verdana"/>
          </rPr>
          <t>Dana Reed:</t>
        </r>
        <r>
          <rPr>
            <sz val="9"/>
            <color indexed="81"/>
            <rFont val="Verdana"/>
          </rPr>
          <t xml:space="preserve">
This pH value is very high, especially for this site.  I suspect a recording error - probably should be 8.04</t>
        </r>
      </text>
    </comment>
    <comment ref="A25" authorId="0">
      <text>
        <r>
          <rPr>
            <b/>
            <sz val="9"/>
            <color indexed="81"/>
            <rFont val="Verdana"/>
          </rPr>
          <t>Dana Reed:</t>
        </r>
        <r>
          <rPr>
            <sz val="9"/>
            <color indexed="81"/>
            <rFont val="Verdana"/>
          </rPr>
          <t xml:space="preserve">
Waves: 0
Wind: 0
People: ssk 0, ob 0, campers 0</t>
        </r>
      </text>
    </comment>
    <comment ref="A26" authorId="0">
      <text>
        <r>
          <rPr>
            <b/>
            <sz val="9"/>
            <color indexed="81"/>
            <rFont val="Verdana"/>
          </rPr>
          <t>Dana Reed:</t>
        </r>
        <r>
          <rPr>
            <sz val="9"/>
            <color indexed="81"/>
            <rFont val="Verdana"/>
          </rPr>
          <t xml:space="preserve">
Waves: 0
Wind: 0
People: 0
Nutrient syringe leaking and lost some of samples as result. On further investigation in lab, o-ring on filter holder was slightly skewed which caused filter holder to leak, not the syringe.</t>
        </r>
      </text>
    </comment>
    <comment ref="A27" authorId="0">
      <text>
        <r>
          <rPr>
            <b/>
            <sz val="9"/>
            <color indexed="81"/>
            <rFont val="Verdana"/>
          </rPr>
          <t>Dana Reed:</t>
        </r>
        <r>
          <rPr>
            <sz val="9"/>
            <color indexed="81"/>
            <rFont val="Verdana"/>
          </rPr>
          <t xml:space="preserve">
Waves: 1
Wind: 1
People: ssk 0, beach 0, camp 0
The sprinkler was running near the ocean when sampling. Unusually high turbidity for this site.</t>
        </r>
      </text>
    </comment>
    <comment ref="A28" authorId="0">
      <text>
        <r>
          <rPr>
            <b/>
            <sz val="9"/>
            <color indexed="81"/>
            <rFont val="Verdana"/>
          </rPr>
          <t>Dana Reed:</t>
        </r>
        <r>
          <rPr>
            <sz val="9"/>
            <color indexed="81"/>
            <rFont val="Verdana"/>
          </rPr>
          <t xml:space="preserve">
Waves: 0
Wind: 1
People: no people in water or on beach</t>
        </r>
      </text>
    </comment>
    <comment ref="A29" authorId="0">
      <text>
        <r>
          <rPr>
            <b/>
            <sz val="9"/>
            <color indexed="81"/>
            <rFont val="Verdana"/>
          </rPr>
          <t>Dana Reed:</t>
        </r>
        <r>
          <rPr>
            <sz val="9"/>
            <color indexed="81"/>
            <rFont val="Verdana"/>
          </rPr>
          <t xml:space="preserve">
Waves: 0
Wind: 4
People: 0,0,0
</t>
        </r>
      </text>
    </comment>
    <comment ref="A30" authorId="0">
      <text>
        <r>
          <rPr>
            <b/>
            <sz val="9"/>
            <color indexed="81"/>
            <rFont val="Verdana"/>
          </rPr>
          <t>Dana Reed:</t>
        </r>
        <r>
          <rPr>
            <sz val="9"/>
            <color indexed="81"/>
            <rFont val="Verdana"/>
          </rPr>
          <t xml:space="preserve">
Waves: 1
Wind: 1
People: 0
Light rain conditions.  Trade winds. Rain started at 8:05 and ended at 8:10. High turbidity readings due to brown water and recent rain events.</t>
        </r>
      </text>
    </comment>
    <comment ref="A31" authorId="0">
      <text>
        <r>
          <rPr>
            <b/>
            <sz val="9"/>
            <color indexed="81"/>
            <rFont val="Verdana"/>
          </rPr>
          <t>Dana Reed:</t>
        </r>
        <r>
          <rPr>
            <sz val="9"/>
            <color indexed="81"/>
            <rFont val="Verdana"/>
          </rPr>
          <t xml:space="preserve">
Waves: 0
Wind: 3
People: 0,0,0
Spilled all the KCl at OPM. Advised by Dana that it is okay to continue because there is still solution in the sponge.
Some rain in the past 24 hours. Trades.</t>
        </r>
      </text>
    </comment>
    <comment ref="A32" authorId="0">
      <text>
        <r>
          <rPr>
            <b/>
            <sz val="9"/>
            <color indexed="81"/>
            <rFont val="Verdana"/>
          </rPr>
          <t>Dana Reed:</t>
        </r>
        <r>
          <rPr>
            <sz val="9"/>
            <color indexed="81"/>
            <rFont val="Verdana"/>
          </rPr>
          <t xml:space="preserve">
Waves: 1
Wind: 1
People: 0,0,0
</t>
        </r>
      </text>
    </comment>
    <comment ref="A33" authorId="0">
      <text>
        <r>
          <rPr>
            <b/>
            <sz val="9"/>
            <color indexed="81"/>
            <rFont val="Verdana"/>
          </rPr>
          <t>Dana Reed:</t>
        </r>
        <r>
          <rPr>
            <sz val="9"/>
            <color indexed="81"/>
            <rFont val="Verdana"/>
          </rPr>
          <t xml:space="preserve">
Waves: 0
Wind: 1
People: 0,0,0
Heavy rains over Maui with flash floods the night before.
</t>
        </r>
      </text>
    </comment>
    <comment ref="A34" authorId="0">
      <text>
        <r>
          <rPr>
            <b/>
            <sz val="9"/>
            <color indexed="81"/>
            <rFont val="Verdana"/>
          </rPr>
          <t>Dana Reed:</t>
        </r>
        <r>
          <rPr>
            <sz val="9"/>
            <color indexed="81"/>
            <rFont val="Verdana"/>
          </rPr>
          <t xml:space="preserve">
Waves: 0
Wind: 0
People: 0,0,0
</t>
        </r>
      </text>
    </comment>
  </commentList>
</comments>
</file>

<file path=xl/comments2.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Site directly in front of beach sign.</t>
        </r>
      </text>
    </comment>
    <comment ref="A4" authorId="0">
      <text>
        <r>
          <rPr>
            <b/>
            <sz val="9"/>
            <color indexed="81"/>
            <rFont val="Verdana"/>
          </rPr>
          <t>Dana Reed:</t>
        </r>
        <r>
          <rPr>
            <sz val="9"/>
            <color indexed="81"/>
            <rFont val="Verdana"/>
          </rPr>
          <t xml:space="preserve">
Unattended fishing net in water.  No swimmers, very murky.</t>
        </r>
      </text>
    </commen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5 kayaks in water</t>
        </r>
      </text>
    </comment>
    <comment ref="A7" authorId="0">
      <text>
        <r>
          <rPr>
            <b/>
            <sz val="9"/>
            <color indexed="81"/>
            <rFont val="Verdana"/>
          </rPr>
          <t>Dana Reed:</t>
        </r>
        <r>
          <rPr>
            <sz val="9"/>
            <color indexed="81"/>
            <rFont val="Verdana"/>
          </rPr>
          <t xml:space="preserve">
mild breeze, 3 kayaks in water</t>
        </r>
      </text>
    </comment>
    <comment ref="A8" authorId="0">
      <text>
        <r>
          <rPr>
            <b/>
            <sz val="9"/>
            <color indexed="81"/>
            <rFont val="Verdana"/>
          </rPr>
          <t>Dana Reed:</t>
        </r>
        <r>
          <rPr>
            <sz val="9"/>
            <color indexed="81"/>
            <rFont val="Verdana"/>
          </rPr>
          <t xml:space="preserve">
1 foot shore break, brown greenish water</t>
        </r>
      </text>
    </comment>
    <comment ref="A9" authorId="0">
      <text>
        <r>
          <rPr>
            <b/>
            <sz val="9"/>
            <color indexed="81"/>
            <rFont val="Verdana"/>
          </rPr>
          <t>Dana Reed:</t>
        </r>
        <r>
          <rPr>
            <sz val="9"/>
            <color indexed="81"/>
            <rFont val="Verdana"/>
          </rPr>
          <t xml:space="preserve">
Very strong high waves with water going into parking areas.</t>
        </r>
      </text>
    </comment>
    <comment ref="A10" authorId="0">
      <text>
        <r>
          <rPr>
            <b/>
            <sz val="9"/>
            <color indexed="81"/>
            <rFont val="Verdana"/>
          </rPr>
          <t>Dana Reed:</t>
        </r>
        <r>
          <rPr>
            <sz val="9"/>
            <color indexed="81"/>
            <rFont val="Verdana"/>
          </rPr>
          <t xml:space="preserve">
No surf</t>
        </r>
      </text>
    </comment>
    <comment ref="A11" authorId="0">
      <text>
        <r>
          <rPr>
            <b/>
            <sz val="9"/>
            <color indexed="81"/>
            <rFont val="Verdana"/>
          </rPr>
          <t>Dana Reed:</t>
        </r>
        <r>
          <rPr>
            <sz val="9"/>
            <color indexed="81"/>
            <rFont val="Verdana"/>
          </rPr>
          <t xml:space="preserve">
no surf, slight breeze from north</t>
        </r>
      </text>
    </comment>
    <comment ref="A12" authorId="0">
      <text>
        <r>
          <rPr>
            <b/>
            <sz val="9"/>
            <color indexed="81"/>
            <rFont val="Verdana"/>
          </rPr>
          <t>Dana Reed:</t>
        </r>
        <r>
          <rPr>
            <sz val="9"/>
            <color indexed="81"/>
            <rFont val="Verdana"/>
          </rPr>
          <t xml:space="preserve">
Calm, not a soul in sight.No surf.</t>
        </r>
      </text>
    </comment>
    <comment ref="A13" authorId="0">
      <text>
        <r>
          <rPr>
            <b/>
            <sz val="9"/>
            <color indexed="81"/>
            <rFont val="Verdana"/>
          </rPr>
          <t>Dana Reed:</t>
        </r>
        <r>
          <rPr>
            <sz val="9"/>
            <color indexed="81"/>
            <rFont val="Verdana"/>
          </rPr>
          <t xml:space="preserve">
Calm, crystal clear water!</t>
        </r>
      </text>
    </comment>
    <comment ref="A14" authorId="0">
      <text>
        <r>
          <rPr>
            <b/>
            <sz val="9"/>
            <color indexed="81"/>
            <rFont val="Verdana"/>
          </rPr>
          <t>Dana Reed:</t>
        </r>
        <r>
          <rPr>
            <sz val="9"/>
            <color indexed="81"/>
            <rFont val="Verdana"/>
          </rPr>
          <t xml:space="preserve">
No surf, Kona wind 10 knots, small debris in water, stems, leaves</t>
        </r>
      </text>
    </comment>
    <comment ref="A15" authorId="0">
      <text>
        <r>
          <rPr>
            <b/>
            <sz val="9"/>
            <color indexed="81"/>
            <rFont val="Verdana"/>
          </rPr>
          <t>Dana Reed:</t>
        </r>
        <r>
          <rPr>
            <sz val="9"/>
            <color indexed="81"/>
            <rFont val="Verdana"/>
          </rPr>
          <t xml:space="preserve">
few kayaks in water</t>
        </r>
      </text>
    </comment>
    <comment ref="A16" authorId="0">
      <text>
        <r>
          <rPr>
            <b/>
            <sz val="9"/>
            <color indexed="81"/>
            <rFont val="Verdana"/>
          </rPr>
          <t>Dana Reed:</t>
        </r>
        <r>
          <rPr>
            <sz val="9"/>
            <color indexed="81"/>
            <rFont val="Verdana"/>
          </rPr>
          <t xml:space="preserve">
Clear and calm.</t>
        </r>
      </text>
    </comment>
    <comment ref="A17" authorId="0">
      <text>
        <r>
          <rPr>
            <b/>
            <sz val="9"/>
            <color indexed="81"/>
            <rFont val="Verdana"/>
          </rPr>
          <t>Dana Reed:</t>
        </r>
        <r>
          <rPr>
            <sz val="9"/>
            <color indexed="81"/>
            <rFont val="Verdana"/>
          </rPr>
          <t xml:space="preserve">
Multiple kayaks in water</t>
        </r>
      </text>
    </comment>
    <comment ref="I17" authorId="0">
      <text>
        <r>
          <rPr>
            <b/>
            <sz val="9"/>
            <color indexed="81"/>
            <rFont val="Verdana"/>
          </rPr>
          <t>Dana Reed:</t>
        </r>
        <r>
          <rPr>
            <sz val="9"/>
            <color indexed="81"/>
            <rFont val="Verdana"/>
          </rPr>
          <t xml:space="preserve">
3rd reading was same as second reading.</t>
        </r>
      </text>
    </comment>
    <comment ref="A18" authorId="0">
      <text>
        <r>
          <rPr>
            <b/>
            <sz val="9"/>
            <color indexed="81"/>
            <rFont val="Verdana"/>
          </rPr>
          <t>Dana Reed:</t>
        </r>
        <r>
          <rPr>
            <sz val="9"/>
            <color indexed="81"/>
            <rFont val="Verdana"/>
          </rPr>
          <t xml:space="preserve">
Flat, 12 kayaks but not people in water, calm winds, 4/8 clouds</t>
        </r>
      </text>
    </comment>
    <comment ref="A19" authorId="0">
      <text>
        <r>
          <rPr>
            <b/>
            <sz val="9"/>
            <color indexed="81"/>
            <rFont val="Verdana"/>
          </rPr>
          <t>Dana Reed:</t>
        </r>
        <r>
          <rPr>
            <sz val="9"/>
            <color indexed="81"/>
            <rFont val="Verdana"/>
          </rPr>
          <t xml:space="preserve">
Flat, kayaks, light winds, 8/8 clouds</t>
        </r>
      </text>
    </comment>
    <comment ref="A20" authorId="0">
      <text>
        <r>
          <rPr>
            <b/>
            <sz val="9"/>
            <color indexed="81"/>
            <rFont val="Verdana"/>
          </rPr>
          <t>Dana Reed:</t>
        </r>
        <r>
          <rPr>
            <sz val="9"/>
            <color indexed="81"/>
            <rFont val="Verdana"/>
          </rPr>
          <t xml:space="preserve">
moderate waves, 6 kayaks, dozen swimmers, 5 knot wind</t>
        </r>
      </text>
    </comment>
    <comment ref="A21" authorId="0">
      <text>
        <r>
          <rPr>
            <b/>
            <sz val="9"/>
            <color indexed="81"/>
            <rFont val="Verdana"/>
          </rPr>
          <t>Dana Reed:</t>
        </r>
        <r>
          <rPr>
            <sz val="9"/>
            <color indexed="81"/>
            <rFont val="Verdana"/>
          </rPr>
          <t xml:space="preserve">
Flat, no waves, no swimmers but one kayak, light winds</t>
        </r>
      </text>
    </comment>
    <comment ref="A22" authorId="0">
      <text>
        <r>
          <rPr>
            <b/>
            <sz val="9"/>
            <color indexed="81"/>
            <rFont val="Verdana"/>
          </rPr>
          <t>Dana Reed:</t>
        </r>
        <r>
          <rPr>
            <sz val="9"/>
            <color indexed="81"/>
            <rFont val="Verdana"/>
          </rPr>
          <t xml:space="preserve">
Waves: 0
Swimmers: 0
Wind: 0</t>
        </r>
      </text>
    </comment>
    <comment ref="A23" authorId="0">
      <text>
        <r>
          <rPr>
            <b/>
            <sz val="9"/>
            <color indexed="81"/>
            <rFont val="Verdana"/>
          </rPr>
          <t>Dana Reed:</t>
        </r>
        <r>
          <rPr>
            <sz val="9"/>
            <color indexed="81"/>
            <rFont val="Verdana"/>
          </rPr>
          <t xml:space="preserve">
Waves: 1 ft
Wind: 1
People: 0 ssk, 20-40 ob, 0 c</t>
        </r>
      </text>
    </comment>
    <comment ref="A24" authorId="0">
      <text>
        <r>
          <rPr>
            <b/>
            <sz val="9"/>
            <color indexed="81"/>
            <rFont val="Verdana"/>
          </rPr>
          <t>Dana Reed:</t>
        </r>
        <r>
          <rPr>
            <sz val="9"/>
            <color indexed="81"/>
            <rFont val="Verdana"/>
          </rPr>
          <t xml:space="preserve">
Waves: 2
Wind: 2
People: 0</t>
        </r>
      </text>
    </comment>
    <comment ref="I24" authorId="0">
      <text>
        <r>
          <rPr>
            <b/>
            <sz val="9"/>
            <color indexed="81"/>
            <rFont val="Verdana"/>
          </rPr>
          <t>Dana Reed:</t>
        </r>
        <r>
          <rPr>
            <sz val="9"/>
            <color indexed="81"/>
            <rFont val="Verdana"/>
          </rPr>
          <t xml:space="preserve">
Unusually high pH for this site.  Might be a recording error.</t>
        </r>
      </text>
    </comment>
    <comment ref="A25" authorId="0">
      <text>
        <r>
          <rPr>
            <b/>
            <sz val="9"/>
            <color indexed="81"/>
            <rFont val="Verdana"/>
          </rPr>
          <t>Dana Reed:</t>
        </r>
        <r>
          <rPr>
            <sz val="9"/>
            <color indexed="81"/>
            <rFont val="Verdana"/>
          </rPr>
          <t xml:space="preserve">
Waves: 0
Wind: 1
People: ssk 0, ob 0, campers 0</t>
        </r>
      </text>
    </comment>
    <comment ref="A26" authorId="0">
      <text>
        <r>
          <rPr>
            <b/>
            <sz val="9"/>
            <color indexed="81"/>
            <rFont val="Verdana"/>
          </rPr>
          <t>Dana Reed:</t>
        </r>
        <r>
          <rPr>
            <sz val="9"/>
            <color indexed="81"/>
            <rFont val="Verdana"/>
          </rPr>
          <t xml:space="preserve">
Waves: 1
Wind: 1
People: ssk 0, ob 1-5, campers 0</t>
        </r>
      </text>
    </comment>
    <comment ref="A27" authorId="0">
      <text>
        <r>
          <rPr>
            <b/>
            <sz val="9"/>
            <color indexed="81"/>
            <rFont val="Verdana"/>
          </rPr>
          <t>Dana Reed:</t>
        </r>
        <r>
          <rPr>
            <sz val="9"/>
            <color indexed="81"/>
            <rFont val="Verdana"/>
          </rPr>
          <t xml:space="preserve">
Waves: 1
Wind: 1
People: ssk 1-5, beach 0, camp 0</t>
        </r>
      </text>
    </comment>
    <comment ref="A28" authorId="0">
      <text>
        <r>
          <rPr>
            <b/>
            <sz val="9"/>
            <color indexed="81"/>
            <rFont val="Verdana"/>
          </rPr>
          <t>Dana Reed:</t>
        </r>
        <r>
          <rPr>
            <sz val="9"/>
            <color indexed="81"/>
            <rFont val="Verdana"/>
          </rPr>
          <t xml:space="preserve">
Waves: 1
Wind: 0
People: 1 on beach
Forgot kimwipes and used toilet paper in it's place.</t>
        </r>
      </text>
    </comment>
    <comment ref="A29" authorId="0">
      <text>
        <r>
          <rPr>
            <b/>
            <sz val="9"/>
            <color indexed="81"/>
            <rFont val="Verdana"/>
          </rPr>
          <t>Dana Reed:</t>
        </r>
        <r>
          <rPr>
            <sz val="9"/>
            <color indexed="81"/>
            <rFont val="Verdana"/>
          </rPr>
          <t xml:space="preserve">
Waves: 1
Wind: 4
People: 0,5,0
</t>
        </r>
      </text>
    </comment>
    <comment ref="A30" authorId="0">
      <text>
        <r>
          <rPr>
            <b/>
            <sz val="9"/>
            <color indexed="81"/>
            <rFont val="Verdana"/>
          </rPr>
          <t>Dana Reed:</t>
        </r>
        <r>
          <rPr>
            <sz val="9"/>
            <color indexed="81"/>
            <rFont val="Verdana"/>
          </rPr>
          <t xml:space="preserve">
Waves: 1
Wind: 0
People: 0,12,0
</t>
        </r>
      </text>
    </comment>
    <comment ref="A31" authorId="0">
      <text>
        <r>
          <rPr>
            <b/>
            <sz val="9"/>
            <color indexed="81"/>
            <rFont val="Verdana"/>
          </rPr>
          <t>Dana Reed:</t>
        </r>
        <r>
          <rPr>
            <sz val="9"/>
            <color indexed="81"/>
            <rFont val="Verdana"/>
          </rPr>
          <t xml:space="preserve">
Waves: 0
Wind: 3
People: 0,0,0
</t>
        </r>
      </text>
    </comment>
    <comment ref="A32" authorId="0">
      <text>
        <r>
          <rPr>
            <b/>
            <sz val="9"/>
            <color indexed="81"/>
            <rFont val="Verdana"/>
          </rPr>
          <t>Dana Reed:</t>
        </r>
        <r>
          <rPr>
            <sz val="9"/>
            <color indexed="81"/>
            <rFont val="Verdana"/>
          </rPr>
          <t xml:space="preserve">
Waves: 1
Wind: 0
People: 0,5,0
</t>
        </r>
      </text>
    </comment>
    <comment ref="A33" authorId="0">
      <text>
        <r>
          <rPr>
            <b/>
            <sz val="9"/>
            <color indexed="81"/>
            <rFont val="Verdana"/>
          </rPr>
          <t>Dana Reed:</t>
        </r>
        <r>
          <rPr>
            <sz val="9"/>
            <color indexed="81"/>
            <rFont val="Verdana"/>
          </rPr>
          <t xml:space="preserve">
Waves: 0
Wind: 1
People: 0,0,0
</t>
        </r>
      </text>
    </comment>
    <comment ref="A34" authorId="0">
      <text>
        <r>
          <rPr>
            <b/>
            <sz val="9"/>
            <color indexed="81"/>
            <rFont val="Verdana"/>
          </rPr>
          <t>Dana Reed:</t>
        </r>
        <r>
          <rPr>
            <sz val="9"/>
            <color indexed="81"/>
            <rFont val="Verdana"/>
          </rPr>
          <t xml:space="preserve">
Waves: 0
Wind: 1
People: 9,14,0
</t>
        </r>
      </text>
    </comment>
  </commentList>
</comments>
</file>

<file path=xl/comments3.xml><?xml version="1.0" encoding="utf-8"?>
<comments xmlns="http://schemas.openxmlformats.org/spreadsheetml/2006/main">
  <authors>
    <author>Dana Reed</author>
  </authors>
  <commentList>
    <comment ref="A4" authorId="0">
      <text>
        <r>
          <rPr>
            <b/>
            <sz val="9"/>
            <color indexed="81"/>
            <rFont val="Verdana"/>
          </rPr>
          <t>Dana Reed:</t>
        </r>
        <r>
          <rPr>
            <sz val="9"/>
            <color indexed="81"/>
            <rFont val="Verdana"/>
          </rPr>
          <t xml:space="preserve">
No swimmers.  Found an unattended fire just south of sample site.  Helped a local put out the fire and reported to MPD.</t>
        </r>
      </text>
    </comment>
    <comment ref="F4" authorId="0">
      <text>
        <r>
          <rPr>
            <b/>
            <sz val="9"/>
            <color indexed="81"/>
            <rFont val="Verdana"/>
          </rPr>
          <t>Dana Reed:</t>
        </r>
        <r>
          <rPr>
            <sz val="9"/>
            <color indexed="81"/>
            <rFont val="Verdana"/>
          </rPr>
          <t xml:space="preserve">
Refractometer 35</t>
        </r>
      </text>
    </comment>
    <comment ref="A5" authorId="0">
      <text>
        <r>
          <rPr>
            <b/>
            <sz val="9"/>
            <color indexed="81"/>
            <rFont val="Verdana"/>
          </rPr>
          <t>Dana Reed:</t>
        </r>
        <r>
          <rPr>
            <sz val="9"/>
            <color indexed="81"/>
            <rFont val="Verdana"/>
          </rPr>
          <t xml:space="preserve">
Campers to south of sampling location. Lots of tents set up. Smelled wood smoke and then two firetrucks went by.</t>
        </r>
      </text>
    </comment>
    <comment ref="A6" authorId="0">
      <text>
        <r>
          <rPr>
            <b/>
            <sz val="9"/>
            <color indexed="81"/>
            <rFont val="Verdana"/>
          </rPr>
          <t>Dana Reed:</t>
        </r>
        <r>
          <rPr>
            <sz val="9"/>
            <color indexed="81"/>
            <rFont val="Verdana"/>
          </rPr>
          <t xml:space="preserve">
3 swimmers nearby</t>
        </r>
      </text>
    </comment>
    <comment ref="A7" authorId="0">
      <text>
        <r>
          <rPr>
            <b/>
            <sz val="9"/>
            <color indexed="81"/>
            <rFont val="Verdana"/>
          </rPr>
          <t>Dana Reed:</t>
        </r>
        <r>
          <rPr>
            <sz val="9"/>
            <color indexed="81"/>
            <rFont val="Verdana"/>
          </rPr>
          <t xml:space="preserve">
light breeze</t>
        </r>
      </text>
    </comment>
    <comment ref="A8" authorId="0">
      <text>
        <r>
          <rPr>
            <b/>
            <sz val="9"/>
            <color indexed="81"/>
            <rFont val="Verdana"/>
          </rPr>
          <t>Dana Reed:</t>
        </r>
        <r>
          <rPr>
            <sz val="9"/>
            <color indexed="81"/>
            <rFont val="Verdana"/>
          </rPr>
          <t xml:space="preserve">
1 foot shore break, greenish water</t>
        </r>
      </text>
    </comment>
    <comment ref="A9" authorId="0">
      <text>
        <r>
          <rPr>
            <b/>
            <sz val="9"/>
            <color indexed="81"/>
            <rFont val="Verdana"/>
          </rPr>
          <t>Dana Reed:</t>
        </r>
        <r>
          <rPr>
            <sz val="9"/>
            <color indexed="81"/>
            <rFont val="Verdana"/>
          </rPr>
          <t xml:space="preserve">
No sediment sample even though turbidity higher than 10 because not enough sediment bottles. Thought this was close to last site and would be better to save bottles.</t>
        </r>
      </text>
    </comment>
    <comment ref="A10" authorId="0">
      <text>
        <r>
          <rPr>
            <b/>
            <sz val="9"/>
            <color indexed="81"/>
            <rFont val="Verdana"/>
          </rPr>
          <t>Dana Reed:</t>
        </r>
        <r>
          <rPr>
            <sz val="9"/>
            <color indexed="81"/>
            <rFont val="Verdana"/>
          </rPr>
          <t xml:space="preserve">
6 inch surf</t>
        </r>
      </text>
    </comment>
    <comment ref="A11" authorId="0">
      <text>
        <r>
          <rPr>
            <b/>
            <sz val="9"/>
            <color indexed="81"/>
            <rFont val="Verdana"/>
          </rPr>
          <t>Dana Reed:</t>
        </r>
        <r>
          <rPr>
            <sz val="9"/>
            <color indexed="81"/>
            <rFont val="Verdana"/>
          </rPr>
          <t xml:space="preserve">
Gusty breeze up to 20 knots from north</t>
        </r>
      </text>
    </comment>
    <comment ref="A12" authorId="0">
      <text>
        <r>
          <rPr>
            <b/>
            <sz val="9"/>
            <color indexed="81"/>
            <rFont val="Verdana"/>
          </rPr>
          <t>Dana Reed:</t>
        </r>
        <r>
          <rPr>
            <sz val="9"/>
            <color indexed="81"/>
            <rFont val="Verdana"/>
          </rPr>
          <t xml:space="preserve">
No surf, people on beach but not in water</t>
        </r>
      </text>
    </comment>
    <comment ref="A13" authorId="0">
      <text>
        <r>
          <rPr>
            <b/>
            <sz val="9"/>
            <color indexed="81"/>
            <rFont val="Verdana"/>
          </rPr>
          <t>Dana Reed:</t>
        </r>
        <r>
          <rPr>
            <sz val="9"/>
            <color indexed="81"/>
            <rFont val="Verdana"/>
          </rPr>
          <t xml:space="preserve">
Calm no waves</t>
        </r>
      </text>
    </comment>
    <comment ref="A14" authorId="0">
      <text>
        <r>
          <rPr>
            <b/>
            <sz val="9"/>
            <color indexed="81"/>
            <rFont val="Verdana"/>
          </rPr>
          <t>Dana Reed:</t>
        </r>
        <r>
          <rPr>
            <sz val="9"/>
            <color indexed="81"/>
            <rFont val="Verdana"/>
          </rPr>
          <t xml:space="preserve">
No surf, 10 knot wind, no debris in water, no people</t>
        </r>
      </text>
    </comment>
    <comment ref="A15" authorId="0">
      <text>
        <r>
          <rPr>
            <b/>
            <sz val="9"/>
            <color indexed="81"/>
            <rFont val="Verdana"/>
          </rPr>
          <t>Dana Reed:</t>
        </r>
        <r>
          <rPr>
            <sz val="9"/>
            <color indexed="81"/>
            <rFont val="Verdana"/>
          </rPr>
          <t xml:space="preserve">
10 scuba and snorkelers</t>
        </r>
      </text>
    </comment>
    <comment ref="A16" authorId="0">
      <text>
        <r>
          <rPr>
            <b/>
            <sz val="9"/>
            <color indexed="81"/>
            <rFont val="Verdana"/>
          </rPr>
          <t>Dana Reed:</t>
        </r>
        <r>
          <rPr>
            <sz val="9"/>
            <color indexed="81"/>
            <rFont val="Verdana"/>
          </rPr>
          <t xml:space="preserve">
Cars parked on beach, sky clear, small waves</t>
        </r>
      </text>
    </comment>
    <comment ref="A17" authorId="0">
      <text>
        <r>
          <rPr>
            <b/>
            <sz val="9"/>
            <color indexed="81"/>
            <rFont val="Verdana"/>
          </rPr>
          <t>Dana Reed:</t>
        </r>
        <r>
          <rPr>
            <sz val="9"/>
            <color indexed="81"/>
            <rFont val="Verdana"/>
          </rPr>
          <t xml:space="preserve">
Campers on beach, none in water.</t>
        </r>
      </text>
    </comment>
    <comment ref="I17" authorId="0">
      <text>
        <r>
          <rPr>
            <b/>
            <sz val="9"/>
            <color indexed="81"/>
            <rFont val="Verdana"/>
          </rPr>
          <t>Dana Reed:</t>
        </r>
        <r>
          <rPr>
            <sz val="9"/>
            <color indexed="81"/>
            <rFont val="Verdana"/>
          </rPr>
          <t xml:space="preserve">
3rd reading 8.02, 8.04, 8.05
</t>
        </r>
      </text>
    </comment>
    <comment ref="A18" authorId="0">
      <text>
        <r>
          <rPr>
            <b/>
            <sz val="9"/>
            <color indexed="81"/>
            <rFont val="Verdana"/>
          </rPr>
          <t>Dana Reed:</t>
        </r>
        <r>
          <rPr>
            <sz val="9"/>
            <color indexed="81"/>
            <rFont val="Verdana"/>
          </rPr>
          <t xml:space="preserve">
Flat, nobody in water but several campers on beach, calm winds, 2/8 clouds</t>
        </r>
      </text>
    </comment>
    <comment ref="A19" authorId="0">
      <text>
        <r>
          <rPr>
            <b/>
            <sz val="9"/>
            <color indexed="81"/>
            <rFont val="Verdana"/>
          </rPr>
          <t>Dana Reed:</t>
        </r>
        <r>
          <rPr>
            <sz val="9"/>
            <color indexed="81"/>
            <rFont val="Verdana"/>
          </rPr>
          <t xml:space="preserve">
Flat, few snorkelers, 10-15 campers, light winds, clouds 8/8</t>
        </r>
      </text>
    </comment>
    <comment ref="A20" authorId="0">
      <text>
        <r>
          <rPr>
            <b/>
            <sz val="9"/>
            <color indexed="81"/>
            <rFont val="Verdana"/>
          </rPr>
          <t>Dana Reed:</t>
        </r>
        <r>
          <rPr>
            <sz val="9"/>
            <color indexed="81"/>
            <rFont val="Verdana"/>
          </rPr>
          <t xml:space="preserve">
Moderate waves, campers on both sides of sampling site but nobody in water, 7 knot wind</t>
        </r>
      </text>
    </comment>
    <comment ref="A21" authorId="0">
      <text>
        <r>
          <rPr>
            <b/>
            <sz val="9"/>
            <color indexed="81"/>
            <rFont val="Verdana"/>
          </rPr>
          <t>Dana Reed:</t>
        </r>
        <r>
          <rPr>
            <sz val="9"/>
            <color indexed="81"/>
            <rFont val="Verdana"/>
          </rPr>
          <t xml:space="preserve">
1 foot waves, no swimmers, light winds</t>
        </r>
      </text>
    </comment>
    <comment ref="A22" authorId="0">
      <text>
        <r>
          <rPr>
            <b/>
            <sz val="9"/>
            <color indexed="81"/>
            <rFont val="Verdana"/>
          </rPr>
          <t>Dana Reed:
Waves: 0
Swimmers: 0-5 SSK, 0-5 OB
Wind: 0</t>
        </r>
      </text>
    </comment>
    <comment ref="A23" authorId="0">
      <text>
        <r>
          <rPr>
            <b/>
            <sz val="9"/>
            <color indexed="81"/>
            <rFont val="Verdana"/>
          </rPr>
          <t>Dana Reed:</t>
        </r>
        <r>
          <rPr>
            <sz val="9"/>
            <color indexed="81"/>
            <rFont val="Verdana"/>
          </rPr>
          <t xml:space="preserve">
Waves: 1 ft
Wind: 1
People: 1 ssk, 0 ob, 0 c</t>
        </r>
      </text>
    </comment>
    <comment ref="A24" authorId="0">
      <text>
        <r>
          <rPr>
            <b/>
            <sz val="9"/>
            <color indexed="81"/>
            <rFont val="Verdana"/>
          </rPr>
          <t>Dana Reed:</t>
        </r>
        <r>
          <rPr>
            <sz val="9"/>
            <color indexed="81"/>
            <rFont val="Verdana"/>
          </rPr>
          <t xml:space="preserve">
Waves: 1
Wind: 3
People: 0</t>
        </r>
      </text>
    </comment>
    <comment ref="A25" authorId="0">
      <text>
        <r>
          <rPr>
            <b/>
            <sz val="9"/>
            <color indexed="81"/>
            <rFont val="Verdana"/>
          </rPr>
          <t>Dana Reed:</t>
        </r>
        <r>
          <rPr>
            <sz val="9"/>
            <color indexed="81"/>
            <rFont val="Verdana"/>
          </rPr>
          <t xml:space="preserve">
Waves: 0
Wind: 1
People: ssk 0, ob 5-10, campers 0</t>
        </r>
      </text>
    </comment>
    <comment ref="A26" authorId="0">
      <text>
        <r>
          <rPr>
            <b/>
            <sz val="9"/>
            <color indexed="81"/>
            <rFont val="Verdana"/>
          </rPr>
          <t>Dana Reed:</t>
        </r>
        <r>
          <rPr>
            <sz val="9"/>
            <color indexed="81"/>
            <rFont val="Verdana"/>
          </rPr>
          <t xml:space="preserve">
Waves: 1
Wind: 1
People: ssk 3, ob 1-5, campers 0</t>
        </r>
      </text>
    </comment>
    <comment ref="A27" authorId="0">
      <text>
        <r>
          <rPr>
            <b/>
            <sz val="9"/>
            <color indexed="81"/>
            <rFont val="Verdana"/>
          </rPr>
          <t>Dana Reed:</t>
        </r>
        <r>
          <rPr>
            <sz val="9"/>
            <color indexed="81"/>
            <rFont val="Verdana"/>
          </rPr>
          <t xml:space="preserve">
Waves: 0
Wind: 1
People: ssk 1-5, beach 0, camp 0</t>
        </r>
      </text>
    </comment>
    <comment ref="A28" authorId="0">
      <text>
        <r>
          <rPr>
            <b/>
            <sz val="9"/>
            <color indexed="81"/>
            <rFont val="Verdana"/>
          </rPr>
          <t>Dana Reed:</t>
        </r>
        <r>
          <rPr>
            <sz val="9"/>
            <color indexed="81"/>
            <rFont val="Verdana"/>
          </rPr>
          <t xml:space="preserve">
Waves: 1
Wind: 1
People: Nobody in water or on the beach but 1 camper.
</t>
        </r>
      </text>
    </comment>
    <comment ref="A29" authorId="0">
      <text>
        <r>
          <rPr>
            <b/>
            <sz val="9"/>
            <color indexed="81"/>
            <rFont val="Verdana"/>
          </rPr>
          <t>Dana Reed:</t>
        </r>
        <r>
          <rPr>
            <sz val="9"/>
            <color indexed="81"/>
            <rFont val="Verdana"/>
          </rPr>
          <t xml:space="preserve">
Waves: 1
Wind: 2
People: 0,0,0
Had trouble finding the exact location.  May have been off 50 feet. Sign has been taken down that helped mark the sampling location.</t>
        </r>
      </text>
    </comment>
    <comment ref="A30" authorId="0">
      <text>
        <r>
          <rPr>
            <b/>
            <sz val="9"/>
            <color indexed="81"/>
            <rFont val="Verdana"/>
          </rPr>
          <t>Dana Reed:</t>
        </r>
        <r>
          <rPr>
            <sz val="9"/>
            <color indexed="81"/>
            <rFont val="Verdana"/>
          </rPr>
          <t xml:space="preserve">
Waves: 2
Wind: 0
People: 0,0,0</t>
        </r>
      </text>
    </comment>
    <comment ref="A31" authorId="0">
      <text>
        <r>
          <rPr>
            <b/>
            <sz val="9"/>
            <color indexed="81"/>
            <rFont val="Verdana"/>
          </rPr>
          <t>Dana Reed:</t>
        </r>
        <r>
          <rPr>
            <sz val="9"/>
            <color indexed="81"/>
            <rFont val="Verdana"/>
          </rPr>
          <t xml:space="preserve">
Waves: 1
Wind: 3
People: 0,0,0
Discussion between George and Michelle about location of sampling place.  The shoreline acess sign was removed so it has been questionable.  They resolved the difference.
</t>
        </r>
      </text>
    </comment>
    <comment ref="A32" authorId="0">
      <text>
        <r>
          <rPr>
            <b/>
            <sz val="9"/>
            <color indexed="81"/>
            <rFont val="Verdana"/>
          </rPr>
          <t>Dana Reed:</t>
        </r>
        <r>
          <rPr>
            <sz val="9"/>
            <color indexed="81"/>
            <rFont val="Verdana"/>
          </rPr>
          <t xml:space="preserve">
Waves: 1
Wind: 0
People: 0, 12, 1
</t>
        </r>
      </text>
    </comment>
    <comment ref="A33" authorId="0">
      <text>
        <r>
          <rPr>
            <b/>
            <sz val="9"/>
            <color indexed="81"/>
            <rFont val="Verdana"/>
          </rPr>
          <t>Dana Reed:</t>
        </r>
        <r>
          <rPr>
            <sz val="9"/>
            <color indexed="81"/>
            <rFont val="Verdana"/>
          </rPr>
          <t xml:space="preserve">
Waves: 0
Wind: 0
People: 5,3,0
</t>
        </r>
      </text>
    </comment>
    <comment ref="A34" authorId="0">
      <text>
        <r>
          <rPr>
            <b/>
            <sz val="9"/>
            <color indexed="81"/>
            <rFont val="Verdana"/>
          </rPr>
          <t>Dana Reed:</t>
        </r>
        <r>
          <rPr>
            <sz val="9"/>
            <color indexed="81"/>
            <rFont val="Verdana"/>
          </rPr>
          <t xml:space="preserve">
Waves: 0
Wind: 1
People: 0,4,1
</t>
        </r>
      </text>
    </comment>
  </commentList>
</comments>
</file>

<file path=xl/comments4.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Site right in between blue call sign and MM14.  Site identified by yellow reflector on telephone poll across highway.</t>
        </r>
      </text>
    </comment>
    <comment ref="A4" authorId="0">
      <text>
        <r>
          <rPr>
            <b/>
            <sz val="9"/>
            <color indexed="81"/>
            <rFont val="Verdana"/>
          </rPr>
          <t>Dana Reed:</t>
        </r>
        <r>
          <rPr>
            <sz val="9"/>
            <color indexed="81"/>
            <rFont val="Verdana"/>
          </rPr>
          <t xml:space="preserve">
Sample area was on edge of huge grass fire within lst week and a member of the public asked about our sampling program.</t>
        </r>
      </text>
    </commen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15 knot wind from west, choppy water, small waves, lots of churned up sand</t>
        </r>
      </text>
    </comment>
    <comment ref="A7" authorId="0">
      <text>
        <r>
          <rPr>
            <b/>
            <sz val="9"/>
            <color indexed="81"/>
            <rFont val="Verdana"/>
          </rPr>
          <t>Dana Reed:</t>
        </r>
        <r>
          <rPr>
            <sz val="9"/>
            <color indexed="81"/>
            <rFont val="Verdana"/>
          </rPr>
          <t xml:space="preserve">
4-5 surfers</t>
        </r>
      </text>
    </comment>
    <comment ref="A8" authorId="0">
      <text>
        <r>
          <rPr>
            <b/>
            <sz val="9"/>
            <color indexed="81"/>
            <rFont val="Verdana"/>
          </rPr>
          <t>Dana Reed:</t>
        </r>
        <r>
          <rPr>
            <sz val="9"/>
            <color indexed="81"/>
            <rFont val="Verdana"/>
          </rPr>
          <t xml:space="preserve">
No sample. 2-3 foot surf with big shore break, water greenish color</t>
        </r>
      </text>
    </comment>
    <comment ref="A9" authorId="0">
      <text>
        <r>
          <rPr>
            <b/>
            <sz val="9"/>
            <color indexed="81"/>
            <rFont val="Verdana"/>
          </rPr>
          <t>Dana Reed:</t>
        </r>
        <r>
          <rPr>
            <sz val="9"/>
            <color indexed="81"/>
            <rFont val="Verdana"/>
          </rPr>
          <t xml:space="preserve">
Few swimmers and surfers.</t>
        </r>
      </text>
    </comment>
    <comment ref="A10" authorId="0">
      <text>
        <r>
          <rPr>
            <b/>
            <sz val="9"/>
            <color indexed="81"/>
            <rFont val="Verdana"/>
          </rPr>
          <t>Dana Reed:</t>
        </r>
        <r>
          <rPr>
            <sz val="9"/>
            <color indexed="81"/>
            <rFont val="Verdana"/>
          </rPr>
          <t xml:space="preserve">
2-3 foot surf, 10-12 mph breeze, sediment sample taken</t>
        </r>
      </text>
    </comment>
    <comment ref="A11" authorId="0">
      <text>
        <r>
          <rPr>
            <b/>
            <sz val="9"/>
            <color indexed="81"/>
            <rFont val="Verdana"/>
          </rPr>
          <t>Dana Reed:</t>
        </r>
        <r>
          <rPr>
            <sz val="9"/>
            <color indexed="81"/>
            <rFont val="Verdana"/>
          </rPr>
          <t xml:space="preserve">
Big gusty wind, 20 to 25 knots. Intermitent waves, sediment sample taken</t>
        </r>
      </text>
    </comment>
    <comment ref="A12" authorId="0">
      <text>
        <r>
          <rPr>
            <b/>
            <sz val="9"/>
            <color indexed="81"/>
            <rFont val="Verdana"/>
          </rPr>
          <t>Dana Reed:</t>
        </r>
        <r>
          <rPr>
            <sz val="9"/>
            <color indexed="81"/>
            <rFont val="Verdana"/>
          </rPr>
          <t xml:space="preserve">
Calm wind, 1 fisherman, 1-2 foot surf, 2 SUP</t>
        </r>
      </text>
    </comment>
    <comment ref="A13" authorId="0">
      <text>
        <r>
          <rPr>
            <b/>
            <sz val="9"/>
            <color indexed="81"/>
            <rFont val="Verdana"/>
          </rPr>
          <t>Dana Reed:</t>
        </r>
        <r>
          <rPr>
            <sz val="9"/>
            <color indexed="81"/>
            <rFont val="Verdana"/>
          </rPr>
          <t xml:space="preserve">
Small waves, strong current, breezy</t>
        </r>
      </text>
    </comment>
    <comment ref="A14" authorId="0">
      <text>
        <r>
          <rPr>
            <b/>
            <sz val="9"/>
            <color indexed="81"/>
            <rFont val="Verdana"/>
          </rPr>
          <t>Dana Reed:</t>
        </r>
        <r>
          <rPr>
            <sz val="9"/>
            <color indexed="81"/>
            <rFont val="Verdana"/>
          </rPr>
          <t xml:space="preserve">
1-2 foot surf, wind direction more north, wind 20 knots gusts to 30</t>
        </r>
      </text>
    </comment>
    <comment ref="A15" authorId="0">
      <text>
        <r>
          <rPr>
            <b/>
            <sz val="9"/>
            <color indexed="81"/>
            <rFont val="Verdana"/>
          </rPr>
          <t>Dana Reed:</t>
        </r>
        <r>
          <rPr>
            <sz val="9"/>
            <color indexed="81"/>
            <rFont val="Verdana"/>
          </rPr>
          <t xml:space="preserve">
water calm, wind light, few high clouds</t>
        </r>
      </text>
    </comment>
    <comment ref="A16" authorId="0">
      <text>
        <r>
          <rPr>
            <b/>
            <sz val="9"/>
            <color indexed="81"/>
            <rFont val="Verdana"/>
          </rPr>
          <t>Dana Reed:</t>
        </r>
        <r>
          <rPr>
            <sz val="9"/>
            <color indexed="81"/>
            <rFont val="Verdana"/>
          </rPr>
          <t xml:space="preserve">
2 foot waves, wind calm, lots of waves</t>
        </r>
      </text>
    </comment>
    <comment ref="I16" authorId="0">
      <text>
        <r>
          <rPr>
            <b/>
            <sz val="9"/>
            <color indexed="81"/>
            <rFont val="Verdana"/>
          </rPr>
          <t>Dana Reed:</t>
        </r>
        <r>
          <rPr>
            <sz val="9"/>
            <color indexed="81"/>
            <rFont val="Verdana"/>
          </rPr>
          <t xml:space="preserve">
2nd reading, first 7.98</t>
        </r>
      </text>
    </comment>
    <comment ref="A17" authorId="0">
      <text>
        <r>
          <rPr>
            <b/>
            <sz val="9"/>
            <color indexed="81"/>
            <rFont val="Verdana"/>
          </rPr>
          <t>Dana Reed:</t>
        </r>
        <r>
          <rPr>
            <sz val="9"/>
            <color indexed="81"/>
            <rFont val="Verdana"/>
          </rPr>
          <t xml:space="preserve">
1 foot surf, light wind</t>
        </r>
      </text>
    </comment>
    <comment ref="I17" authorId="0">
      <text>
        <r>
          <rPr>
            <b/>
            <sz val="9"/>
            <color indexed="81"/>
            <rFont val="Verdana"/>
          </rPr>
          <t>Dana Reed:</t>
        </r>
        <r>
          <rPr>
            <sz val="9"/>
            <color indexed="81"/>
            <rFont val="Verdana"/>
          </rPr>
          <t xml:space="preserve">
3rd reading, 8.04, 8.05</t>
        </r>
      </text>
    </comment>
    <comment ref="A18" authorId="0">
      <text>
        <r>
          <rPr>
            <b/>
            <sz val="9"/>
            <color indexed="81"/>
            <rFont val="Verdana"/>
          </rPr>
          <t>Dana Reed:</t>
        </r>
        <r>
          <rPr>
            <sz val="9"/>
            <color indexed="81"/>
            <rFont val="Verdana"/>
          </rPr>
          <t xml:space="preserve">
1 foot waves, no swimmers but one monk seal resting on beach, calm winds, 1/8 cloud cover</t>
        </r>
      </text>
    </comment>
    <comment ref="A19" authorId="0">
      <text>
        <r>
          <rPr>
            <b/>
            <sz val="9"/>
            <color indexed="81"/>
            <rFont val="Verdana"/>
          </rPr>
          <t>Dana Reed:</t>
        </r>
        <r>
          <rPr>
            <sz val="9"/>
            <color indexed="81"/>
            <rFont val="Verdana"/>
          </rPr>
          <t xml:space="preserve">
1 foot waves, no swimmers, calm winds, 8/8 clouds.</t>
        </r>
      </text>
    </comment>
    <comment ref="A20" authorId="0">
      <text>
        <r>
          <rPr>
            <b/>
            <sz val="9"/>
            <color indexed="81"/>
            <rFont val="Verdana"/>
          </rPr>
          <t>Dana Reed:</t>
        </r>
        <r>
          <rPr>
            <sz val="9"/>
            <color indexed="81"/>
            <rFont val="Verdana"/>
          </rPr>
          <t xml:space="preserve">
2 foot surf, 2 surfers very close to sample spot, one surfer just sat in water right in front of sampler, calm winds</t>
        </r>
      </text>
    </comment>
    <comment ref="A21" authorId="0">
      <text>
        <r>
          <rPr>
            <b/>
            <sz val="9"/>
            <color indexed="81"/>
            <rFont val="Verdana"/>
          </rPr>
          <t>Dana Reed:</t>
        </r>
        <r>
          <rPr>
            <sz val="9"/>
            <color indexed="81"/>
            <rFont val="Verdana"/>
          </rPr>
          <t xml:space="preserve">
2 foot waves, no swimmers, light winds</t>
        </r>
      </text>
    </comment>
    <comment ref="A22" authorId="0">
      <text>
        <r>
          <rPr>
            <b/>
            <sz val="9"/>
            <color indexed="81"/>
            <rFont val="Verdana"/>
          </rPr>
          <t>Dana Reed:</t>
        </r>
        <r>
          <rPr>
            <sz val="9"/>
            <color indexed="81"/>
            <rFont val="Verdana"/>
          </rPr>
          <t xml:space="preserve">
Waves: 1 foot
Swimmers: 0-5 SSK
Wind: 2 Bft</t>
        </r>
      </text>
    </comment>
    <comment ref="A23" authorId="0">
      <text>
        <r>
          <rPr>
            <b/>
            <sz val="9"/>
            <color indexed="81"/>
            <rFont val="Verdana"/>
          </rPr>
          <t>Dana Reed:</t>
        </r>
        <r>
          <rPr>
            <sz val="9"/>
            <color indexed="81"/>
            <rFont val="Verdana"/>
          </rPr>
          <t xml:space="preserve">
Waves: 3 ft
Wind: 3
People: 0 ssk, 2 ob, 0 c</t>
        </r>
      </text>
    </comment>
    <comment ref="A24" authorId="0">
      <text>
        <r>
          <rPr>
            <b/>
            <sz val="9"/>
            <color indexed="81"/>
            <rFont val="Verdana"/>
          </rPr>
          <t>Dana Reed:</t>
        </r>
        <r>
          <rPr>
            <sz val="9"/>
            <color indexed="81"/>
            <rFont val="Verdana"/>
          </rPr>
          <t xml:space="preserve">
Waves: 3
Wind: 3
People: 2 ssk, 3 on beach</t>
        </r>
      </text>
    </comment>
    <comment ref="A25" authorId="0">
      <text>
        <r>
          <rPr>
            <b/>
            <sz val="9"/>
            <color indexed="81"/>
            <rFont val="Verdana"/>
          </rPr>
          <t>Dana Reed:</t>
        </r>
        <r>
          <rPr>
            <sz val="9"/>
            <color indexed="81"/>
            <rFont val="Verdana"/>
          </rPr>
          <t xml:space="preserve">
Waves: 0
Wind: 1
People: ssk 10-20, ob 1-5, campers 0</t>
        </r>
      </text>
    </comment>
    <comment ref="A26" authorId="0">
      <text>
        <r>
          <rPr>
            <b/>
            <sz val="9"/>
            <color indexed="81"/>
            <rFont val="Verdana"/>
          </rPr>
          <t>Dana Reed:</t>
        </r>
        <r>
          <rPr>
            <sz val="9"/>
            <color indexed="81"/>
            <rFont val="Verdana"/>
          </rPr>
          <t xml:space="preserve">
Waves: 2
Wind: 1
People: ssk 0, ob 5-10, campers 0</t>
        </r>
      </text>
    </comment>
    <comment ref="A27" authorId="0">
      <text>
        <r>
          <rPr>
            <b/>
            <sz val="9"/>
            <color indexed="81"/>
            <rFont val="Verdana"/>
          </rPr>
          <t>Dana Reed:</t>
        </r>
        <r>
          <rPr>
            <sz val="9"/>
            <color indexed="81"/>
            <rFont val="Verdana"/>
          </rPr>
          <t xml:space="preserve">
Waves: 1
Wind: 4
People: ssk 0, beach 1-5, camp 0</t>
        </r>
      </text>
    </comment>
    <comment ref="A28" authorId="0">
      <text>
        <r>
          <rPr>
            <b/>
            <sz val="9"/>
            <color indexed="81"/>
            <rFont val="Verdana"/>
          </rPr>
          <t>Dana Reed:</t>
        </r>
        <r>
          <rPr>
            <sz val="9"/>
            <color indexed="81"/>
            <rFont val="Verdana"/>
          </rPr>
          <t xml:space="preserve">
Waves: 1
Wind: 1
People: 2 people in the water, nobody on beach or camping.</t>
        </r>
      </text>
    </comment>
    <comment ref="A29" authorId="0">
      <text>
        <r>
          <rPr>
            <b/>
            <sz val="9"/>
            <color indexed="81"/>
            <rFont val="Verdana"/>
          </rPr>
          <t>Dana Reed:</t>
        </r>
        <r>
          <rPr>
            <sz val="9"/>
            <color indexed="81"/>
            <rFont val="Verdana"/>
          </rPr>
          <t xml:space="preserve">
Waves: 1.5
Wind: 2
People: 0,0,0</t>
        </r>
      </text>
    </comment>
    <comment ref="A30" authorId="0">
      <text>
        <r>
          <rPr>
            <b/>
            <sz val="9"/>
            <color indexed="81"/>
            <rFont val="Verdana"/>
          </rPr>
          <t>Dana Reed:</t>
        </r>
        <r>
          <rPr>
            <sz val="9"/>
            <color indexed="81"/>
            <rFont val="Verdana"/>
          </rPr>
          <t xml:space="preserve">
Waves: 1
Wind: 1
People: 0,0,0
Very light rain for 5 minutes. Trades
Very turbulent water at most sites due to recent rains on Monday/Tuesday
</t>
        </r>
      </text>
    </comment>
    <comment ref="A31" authorId="0">
      <text>
        <r>
          <rPr>
            <b/>
            <sz val="9"/>
            <color indexed="81"/>
            <rFont val="Verdana"/>
          </rPr>
          <t>Dana Reed:</t>
        </r>
        <r>
          <rPr>
            <sz val="9"/>
            <color indexed="81"/>
            <rFont val="Verdana"/>
          </rPr>
          <t xml:space="preserve">
Waves: 2
Wind: 4
People: 0,0,0
</t>
        </r>
      </text>
    </comment>
    <comment ref="A32" authorId="0">
      <text>
        <r>
          <rPr>
            <b/>
            <sz val="9"/>
            <color indexed="81"/>
            <rFont val="Verdana"/>
          </rPr>
          <t>Dana Reed:</t>
        </r>
        <r>
          <rPr>
            <sz val="9"/>
            <color indexed="81"/>
            <rFont val="Verdana"/>
          </rPr>
          <t xml:space="preserve">
Waves: 3
Wind: 0
People: 0,0,0
</t>
        </r>
      </text>
    </comment>
    <comment ref="A33" authorId="0">
      <text>
        <r>
          <rPr>
            <b/>
            <sz val="9"/>
            <color indexed="81"/>
            <rFont val="Verdana"/>
          </rPr>
          <t>Dana Reed:</t>
        </r>
        <r>
          <rPr>
            <sz val="9"/>
            <color indexed="81"/>
            <rFont val="Verdana"/>
          </rPr>
          <t xml:space="preserve">
Waves: 1
Wind: 2
People: 0,0,2
 Ukumehame stream flowing brown</t>
        </r>
      </text>
    </comment>
    <comment ref="A34" authorId="0">
      <text>
        <r>
          <rPr>
            <b/>
            <sz val="9"/>
            <color indexed="81"/>
            <rFont val="Verdana"/>
          </rPr>
          <t>Dana Reed:</t>
        </r>
        <r>
          <rPr>
            <sz val="9"/>
            <color indexed="81"/>
            <rFont val="Verdana"/>
          </rPr>
          <t xml:space="preserve">
Waves: 1
Wind: 1
People: 0,1,0
</t>
        </r>
      </text>
    </comment>
  </commentList>
</comments>
</file>

<file path=xl/comments5.xml><?xml version="1.0" encoding="utf-8"?>
<comments xmlns="http://schemas.openxmlformats.org/spreadsheetml/2006/main">
  <authors>
    <author>Dana Reed</author>
  </authors>
  <commentList>
    <comment ref="A2" authorId="0">
      <text>
        <r>
          <rPr>
            <b/>
            <sz val="9"/>
            <color indexed="81"/>
            <rFont val="Verdana"/>
          </rPr>
          <t>Dana Reed:</t>
        </r>
        <r>
          <rPr>
            <sz val="9"/>
            <color indexed="81"/>
            <rFont val="Verdana"/>
          </rPr>
          <t xml:space="preserve">
Site is at first turnoff for Papalaua at the area just below the lookout.  Porta potty at this site.</t>
        </r>
      </text>
    </comment>
    <comment ref="F4" authorId="0">
      <text>
        <r>
          <rPr>
            <b/>
            <sz val="9"/>
            <color indexed="81"/>
            <rFont val="Verdana"/>
          </rPr>
          <t>Dana Reed:</t>
        </r>
        <r>
          <rPr>
            <sz val="9"/>
            <color indexed="81"/>
            <rFont val="Verdana"/>
          </rPr>
          <t xml:space="preserve">
Refractometer 35</t>
        </r>
      </text>
    </comment>
    <comment ref="A7" authorId="0">
      <text>
        <r>
          <rPr>
            <b/>
            <sz val="9"/>
            <color indexed="81"/>
            <rFont val="Verdana"/>
          </rPr>
          <t>Dana Reed:</t>
        </r>
        <r>
          <rPr>
            <sz val="9"/>
            <color indexed="81"/>
            <rFont val="Verdana"/>
          </rPr>
          <t xml:space="preserve">
Calm, surface scum</t>
        </r>
      </text>
    </comment>
    <comment ref="A8" authorId="0">
      <text>
        <r>
          <rPr>
            <b/>
            <sz val="9"/>
            <color indexed="81"/>
            <rFont val="Verdana"/>
          </rPr>
          <t>Dana Reed:</t>
        </r>
        <r>
          <rPr>
            <sz val="9"/>
            <color indexed="81"/>
            <rFont val="Verdana"/>
          </rPr>
          <t xml:space="preserve">
0.5 foot shore break, greenish water</t>
        </r>
      </text>
    </comment>
    <comment ref="A9" authorId="0">
      <text>
        <r>
          <rPr>
            <b/>
            <sz val="9"/>
            <color indexed="81"/>
            <rFont val="Verdana"/>
          </rPr>
          <t>Dana Reed:</t>
        </r>
        <r>
          <rPr>
            <sz val="9"/>
            <color indexed="81"/>
            <rFont val="Verdana"/>
          </rPr>
          <t xml:space="preserve">
Big surf, huge splashes over seawall.</t>
        </r>
      </text>
    </comment>
    <comment ref="A10" authorId="0">
      <text>
        <r>
          <rPr>
            <b/>
            <sz val="9"/>
            <color indexed="81"/>
            <rFont val="Verdana"/>
          </rPr>
          <t>Dana Reed:</t>
        </r>
        <r>
          <rPr>
            <sz val="9"/>
            <color indexed="81"/>
            <rFont val="Verdana"/>
          </rPr>
          <t xml:space="preserve">
6 inch surf, calm</t>
        </r>
      </text>
    </comment>
    <comment ref="A11" authorId="0">
      <text>
        <r>
          <rPr>
            <b/>
            <sz val="9"/>
            <color indexed="81"/>
            <rFont val="Verdana"/>
          </rPr>
          <t>Dana Reed:</t>
        </r>
        <r>
          <rPr>
            <sz val="9"/>
            <color indexed="81"/>
            <rFont val="Verdana"/>
          </rPr>
          <t xml:space="preserve">
Slight gusty wind 10 to 15 knots from north</t>
        </r>
      </text>
    </comment>
    <comment ref="A12" authorId="0">
      <text>
        <r>
          <rPr>
            <b/>
            <sz val="9"/>
            <color indexed="81"/>
            <rFont val="Verdana"/>
          </rPr>
          <t>Dana Reed:</t>
        </r>
        <r>
          <rPr>
            <sz val="9"/>
            <color indexed="81"/>
            <rFont val="Verdana"/>
          </rPr>
          <t xml:space="preserve">
very light wind, 1-2 foot surf, no other people</t>
        </r>
      </text>
    </comment>
    <comment ref="A13" authorId="0">
      <text>
        <r>
          <rPr>
            <b/>
            <sz val="9"/>
            <color indexed="81"/>
            <rFont val="Verdana"/>
          </rPr>
          <t>Dana Reed:</t>
        </r>
        <r>
          <rPr>
            <sz val="9"/>
            <color indexed="81"/>
            <rFont val="Verdana"/>
          </rPr>
          <t xml:space="preserve">
Very breezy, medium sized waves</t>
        </r>
      </text>
    </comment>
    <comment ref="A14" authorId="0">
      <text>
        <r>
          <rPr>
            <b/>
            <sz val="9"/>
            <color indexed="81"/>
            <rFont val="Verdana"/>
          </rPr>
          <t>Dana Reed:</t>
        </r>
        <r>
          <rPr>
            <sz val="9"/>
            <color indexed="81"/>
            <rFont val="Verdana"/>
          </rPr>
          <t xml:space="preserve">
1-2 foot surf, winds from north about 10 knots, no gusts</t>
        </r>
      </text>
    </comment>
    <comment ref="A15" authorId="0">
      <text>
        <r>
          <rPr>
            <b/>
            <sz val="9"/>
            <color indexed="81"/>
            <rFont val="Verdana"/>
          </rPr>
          <t>Dana Reed:</t>
        </r>
        <r>
          <rPr>
            <sz val="9"/>
            <color indexed="81"/>
            <rFont val="Verdana"/>
          </rPr>
          <t xml:space="preserve">
10 kt wind, few clouds, water 1 foot waves</t>
        </r>
      </text>
    </comment>
    <comment ref="A16" authorId="0">
      <text>
        <r>
          <rPr>
            <b/>
            <sz val="9"/>
            <color indexed="81"/>
            <rFont val="Verdana"/>
          </rPr>
          <t>Dana Reed:</t>
        </r>
        <r>
          <rPr>
            <sz val="9"/>
            <color indexed="81"/>
            <rFont val="Verdana"/>
          </rPr>
          <t xml:space="preserve">
Small waves, calm wind</t>
        </r>
      </text>
    </comment>
    <comment ref="A17" authorId="0">
      <text>
        <r>
          <rPr>
            <b/>
            <sz val="9"/>
            <color indexed="81"/>
            <rFont val="Verdana"/>
          </rPr>
          <t>Dana Reed:</t>
        </r>
        <r>
          <rPr>
            <sz val="9"/>
            <color indexed="81"/>
            <rFont val="Verdana"/>
          </rPr>
          <t xml:space="preserve">
1 foot surf, 1 camper</t>
        </r>
      </text>
    </comment>
    <comment ref="I17" authorId="0">
      <text>
        <r>
          <rPr>
            <b/>
            <sz val="9"/>
            <color indexed="81"/>
            <rFont val="Verdana"/>
          </rPr>
          <t>Dana Reed:</t>
        </r>
        <r>
          <rPr>
            <sz val="9"/>
            <color indexed="81"/>
            <rFont val="Verdana"/>
          </rPr>
          <t xml:space="preserve">
3rd reading, 8.05, 8.06</t>
        </r>
      </text>
    </comment>
    <comment ref="A18" authorId="0">
      <text>
        <r>
          <rPr>
            <b/>
            <sz val="9"/>
            <color indexed="81"/>
            <rFont val="Verdana"/>
          </rPr>
          <t>Dana Reed:</t>
        </r>
        <r>
          <rPr>
            <sz val="9"/>
            <color indexed="81"/>
            <rFont val="Verdana"/>
          </rPr>
          <t xml:space="preserve">
1 foot waves, people fishing, camping right on beach - 7 people, calm winds, 3/8 cloud cover</t>
        </r>
      </text>
    </comment>
    <comment ref="A19" authorId="0">
      <text>
        <r>
          <rPr>
            <b/>
            <sz val="9"/>
            <color indexed="81"/>
            <rFont val="Verdana"/>
          </rPr>
          <t>Dana Reed:</t>
        </r>
        <r>
          <rPr>
            <sz val="9"/>
            <color indexed="81"/>
            <rFont val="Verdana"/>
          </rPr>
          <t xml:space="preserve">
2 foot waves, no swimmers, calm winds, 8/8 clouds</t>
        </r>
      </text>
    </comment>
    <comment ref="A20" authorId="0">
      <text>
        <r>
          <rPr>
            <b/>
            <sz val="9"/>
            <color indexed="81"/>
            <rFont val="Verdana"/>
          </rPr>
          <t>Dana Reed:</t>
        </r>
        <r>
          <rPr>
            <sz val="9"/>
            <color indexed="81"/>
            <rFont val="Verdana"/>
          </rPr>
          <t xml:space="preserve">
1-2 foot surf, no swimmers, calm winds</t>
        </r>
      </text>
    </comment>
    <comment ref="A21" authorId="0">
      <text>
        <r>
          <rPr>
            <b/>
            <sz val="9"/>
            <color indexed="81"/>
            <rFont val="Verdana"/>
          </rPr>
          <t>Dana Reed:</t>
        </r>
        <r>
          <rPr>
            <sz val="9"/>
            <color indexed="81"/>
            <rFont val="Verdana"/>
          </rPr>
          <t xml:space="preserve">
2 foot waves, no swimmers, light winds</t>
        </r>
      </text>
    </comment>
    <comment ref="A22" authorId="0">
      <text>
        <r>
          <rPr>
            <b/>
            <sz val="9"/>
            <color indexed="81"/>
            <rFont val="Verdana"/>
          </rPr>
          <t>Dana Reed:</t>
        </r>
        <r>
          <rPr>
            <sz val="9"/>
            <color indexed="81"/>
            <rFont val="Verdana"/>
          </rPr>
          <t xml:space="preserve">
Waves: 1 ft
Swimmers: 0
Wind: 2 Bft</t>
        </r>
      </text>
    </comment>
    <comment ref="A23" authorId="0">
      <text>
        <r>
          <rPr>
            <b/>
            <sz val="9"/>
            <color indexed="81"/>
            <rFont val="Verdana"/>
          </rPr>
          <t>Dana Reed:</t>
        </r>
        <r>
          <rPr>
            <sz val="9"/>
            <color indexed="81"/>
            <rFont val="Verdana"/>
          </rPr>
          <t xml:space="preserve">
Waves: 2 ft
Wind: 3
People: 0 ssk, 0 ob, 0 c</t>
        </r>
      </text>
    </comment>
    <comment ref="A24" authorId="0">
      <text>
        <r>
          <rPr>
            <b/>
            <sz val="9"/>
            <color indexed="81"/>
            <rFont val="Verdana"/>
          </rPr>
          <t>Dana Reed:</t>
        </r>
        <r>
          <rPr>
            <sz val="9"/>
            <color indexed="81"/>
            <rFont val="Verdana"/>
          </rPr>
          <t xml:space="preserve">
Waves: 1
Wind: 3
People: 0</t>
        </r>
      </text>
    </comment>
    <comment ref="A25" authorId="0">
      <text>
        <r>
          <rPr>
            <b/>
            <sz val="9"/>
            <color indexed="81"/>
            <rFont val="Verdana"/>
          </rPr>
          <t>Dana Reed:</t>
        </r>
        <r>
          <rPr>
            <sz val="9"/>
            <color indexed="81"/>
            <rFont val="Verdana"/>
          </rPr>
          <t xml:space="preserve">
Waves: 0
Wind: 0
People: ssk 0, ob 0, campers 0</t>
        </r>
      </text>
    </comment>
    <comment ref="A26" authorId="0">
      <text>
        <r>
          <rPr>
            <b/>
            <sz val="9"/>
            <color indexed="81"/>
            <rFont val="Verdana"/>
          </rPr>
          <t>Dana Reed:</t>
        </r>
        <r>
          <rPr>
            <sz val="9"/>
            <color indexed="81"/>
            <rFont val="Verdana"/>
          </rPr>
          <t xml:space="preserve">
Waves: 1
Wind: 1
People: ssk 0, ob 1-5, campers 1-5</t>
        </r>
      </text>
    </comment>
    <comment ref="A27" authorId="0">
      <text>
        <r>
          <rPr>
            <b/>
            <sz val="9"/>
            <color indexed="81"/>
            <rFont val="Verdana"/>
          </rPr>
          <t>Dana Reed:</t>
        </r>
        <r>
          <rPr>
            <sz val="9"/>
            <color indexed="81"/>
            <rFont val="Verdana"/>
          </rPr>
          <t xml:space="preserve">
Waves: 0
Wind: 2
People: ssk 0, beach 0, camp 1-5</t>
        </r>
      </text>
    </comment>
    <comment ref="A28" authorId="0">
      <text>
        <r>
          <rPr>
            <b/>
            <sz val="9"/>
            <color indexed="81"/>
            <rFont val="Verdana"/>
          </rPr>
          <t>Dana Reed:</t>
        </r>
        <r>
          <rPr>
            <sz val="9"/>
            <color indexed="81"/>
            <rFont val="Verdana"/>
          </rPr>
          <t xml:space="preserve">
Waves: 1
Wind: 1
People: none</t>
        </r>
      </text>
    </comment>
    <comment ref="A29" authorId="0">
      <text>
        <r>
          <rPr>
            <b/>
            <sz val="9"/>
            <color indexed="81"/>
            <rFont val="Verdana"/>
          </rPr>
          <t>Dana Reed:</t>
        </r>
        <r>
          <rPr>
            <sz val="9"/>
            <color indexed="81"/>
            <rFont val="Verdana"/>
          </rPr>
          <t xml:space="preserve">
Waves: 1.5
Wind: 2
People: 0,0,0
</t>
        </r>
      </text>
    </comment>
    <comment ref="A30" authorId="0">
      <text>
        <r>
          <rPr>
            <b/>
            <sz val="9"/>
            <color indexed="81"/>
            <rFont val="Verdana"/>
          </rPr>
          <t>Dana Reed:</t>
        </r>
        <r>
          <rPr>
            <sz val="9"/>
            <color indexed="81"/>
            <rFont val="Verdana"/>
          </rPr>
          <t xml:space="preserve">
Waves: 2
Wind: 1
People: 0,0,0
</t>
        </r>
      </text>
    </comment>
    <comment ref="A31" authorId="0">
      <text>
        <r>
          <rPr>
            <b/>
            <sz val="9"/>
            <color indexed="81"/>
            <rFont val="Verdana"/>
          </rPr>
          <t>Dana Reed:</t>
        </r>
        <r>
          <rPr>
            <sz val="9"/>
            <color indexed="81"/>
            <rFont val="Verdana"/>
          </rPr>
          <t xml:space="preserve">
Waves: 2
Wind: 3
People: 0,0,2
</t>
        </r>
      </text>
    </comment>
    <comment ref="A32" authorId="0">
      <text>
        <r>
          <rPr>
            <b/>
            <sz val="9"/>
            <color indexed="81"/>
            <rFont val="Verdana"/>
          </rPr>
          <t>Dana Reed:</t>
        </r>
        <r>
          <rPr>
            <sz val="9"/>
            <color indexed="81"/>
            <rFont val="Verdana"/>
          </rPr>
          <t xml:space="preserve">
Waves: 3
Wind: 0
People: 0,8,0
</t>
        </r>
      </text>
    </comment>
    <comment ref="A33" authorId="0">
      <text>
        <r>
          <rPr>
            <b/>
            <sz val="9"/>
            <color indexed="81"/>
            <rFont val="Verdana"/>
          </rPr>
          <t>Dana Reed:</t>
        </r>
        <r>
          <rPr>
            <sz val="9"/>
            <color indexed="81"/>
            <rFont val="Verdana"/>
          </rPr>
          <t xml:space="preserve">
Waves: 1
Wind: 1
People: 0,0,0
</t>
        </r>
      </text>
    </comment>
    <comment ref="A34" authorId="0">
      <text>
        <r>
          <rPr>
            <b/>
            <sz val="9"/>
            <color indexed="81"/>
            <rFont val="Verdana"/>
          </rPr>
          <t>Dana Reed:</t>
        </r>
        <r>
          <rPr>
            <sz val="9"/>
            <color indexed="81"/>
            <rFont val="Verdana"/>
          </rPr>
          <t xml:space="preserve">
Waves: 1
Wind: 0
People: 0,0,0
</t>
        </r>
      </text>
    </comment>
  </commentList>
</comments>
</file>

<file path=xl/comments6.xml><?xml version="1.0" encoding="utf-8"?>
<comments xmlns="http://schemas.openxmlformats.org/spreadsheetml/2006/main">
  <authors>
    <author>Dana Reed</author>
  </authors>
  <commentList>
    <comment ref="F4" authorId="0">
      <text>
        <r>
          <rPr>
            <b/>
            <sz val="9"/>
            <color indexed="81"/>
            <rFont val="Verdana"/>
          </rPr>
          <t>Dana Reed:</t>
        </r>
        <r>
          <rPr>
            <sz val="9"/>
            <color indexed="81"/>
            <rFont val="Verdana"/>
          </rPr>
          <t xml:space="preserve">
Refractometer 35</t>
        </r>
      </text>
    </comment>
    <comment ref="A6" authorId="0">
      <text>
        <r>
          <rPr>
            <b/>
            <sz val="9"/>
            <color indexed="81"/>
            <rFont val="Verdana"/>
          </rPr>
          <t>Dana Reed:</t>
        </r>
        <r>
          <rPr>
            <sz val="9"/>
            <color indexed="81"/>
            <rFont val="Verdana"/>
          </rPr>
          <t xml:space="preserve">
1-2 foot shore break, 2 surfers, several fishermen</t>
        </r>
      </text>
    </comment>
    <comment ref="A7" authorId="0">
      <text>
        <r>
          <rPr>
            <b/>
            <sz val="9"/>
            <color indexed="81"/>
            <rFont val="Verdana"/>
          </rPr>
          <t>Dana Reed:</t>
        </r>
        <r>
          <rPr>
            <sz val="9"/>
            <color indexed="81"/>
            <rFont val="Verdana"/>
          </rPr>
          <t xml:space="preserve">
moderate breeze and surf, family camping and fishing</t>
        </r>
      </text>
    </comment>
    <comment ref="A8" authorId="0">
      <text>
        <r>
          <rPr>
            <b/>
            <sz val="9"/>
            <color indexed="81"/>
            <rFont val="Verdana"/>
          </rPr>
          <t>Dana Reed:</t>
        </r>
        <r>
          <rPr>
            <sz val="9"/>
            <color indexed="81"/>
            <rFont val="Verdana"/>
          </rPr>
          <t xml:space="preserve">
3 foot surf with 2 foot shore break, green water with brown current line. One man inquired about work of group.</t>
        </r>
      </text>
    </comment>
    <comment ref="A9" authorId="0">
      <text>
        <r>
          <rPr>
            <b/>
            <sz val="9"/>
            <color indexed="81"/>
            <rFont val="Verdana"/>
          </rPr>
          <t>Dana Reed:</t>
        </r>
        <r>
          <rPr>
            <sz val="9"/>
            <color indexed="81"/>
            <rFont val="Verdana"/>
          </rPr>
          <t xml:space="preserve">
Huge brown waves, someone sawing branches with a chain saw.</t>
        </r>
      </text>
    </comment>
    <comment ref="A10" authorId="0">
      <text>
        <r>
          <rPr>
            <b/>
            <sz val="9"/>
            <color indexed="81"/>
            <rFont val="Verdana"/>
          </rPr>
          <t>Dana Reed:</t>
        </r>
        <r>
          <rPr>
            <sz val="9"/>
            <color indexed="81"/>
            <rFont val="Verdana"/>
          </rPr>
          <t xml:space="preserve">
2-3 foot surf</t>
        </r>
      </text>
    </comment>
    <comment ref="A11" authorId="0">
      <text>
        <r>
          <rPr>
            <b/>
            <sz val="9"/>
            <color indexed="81"/>
            <rFont val="Verdana"/>
          </rPr>
          <t>Dana Reed:</t>
        </r>
        <r>
          <rPr>
            <sz val="9"/>
            <color indexed="81"/>
            <rFont val="Verdana"/>
          </rPr>
          <t xml:space="preserve">
Light breeze from north - 10 knots.  1-2 foot surf</t>
        </r>
      </text>
    </comment>
    <comment ref="A12" authorId="0">
      <text>
        <r>
          <rPr>
            <b/>
            <sz val="9"/>
            <color indexed="81"/>
            <rFont val="Verdana"/>
          </rPr>
          <t>Dana Reed:</t>
        </r>
        <r>
          <rPr>
            <sz val="9"/>
            <color indexed="81"/>
            <rFont val="Verdana"/>
          </rPr>
          <t xml:space="preserve">
Calm wind, 3-4 campers, 1 foot surf</t>
        </r>
      </text>
    </comment>
    <comment ref="A13" authorId="0">
      <text>
        <r>
          <rPr>
            <b/>
            <sz val="9"/>
            <color indexed="81"/>
            <rFont val="Verdana"/>
          </rPr>
          <t>Dana Reed:</t>
        </r>
        <r>
          <rPr>
            <sz val="9"/>
            <color indexed="81"/>
            <rFont val="Verdana"/>
          </rPr>
          <t xml:space="preserve">
Small waves, breezy
</t>
        </r>
      </text>
    </comment>
    <comment ref="A14" authorId="0">
      <text>
        <r>
          <rPr>
            <b/>
            <sz val="9"/>
            <color indexed="81"/>
            <rFont val="Verdana"/>
          </rPr>
          <t>Dana Reed:</t>
        </r>
        <r>
          <rPr>
            <sz val="9"/>
            <color indexed="81"/>
            <rFont val="Verdana"/>
          </rPr>
          <t xml:space="preserve">
wind chop tops blown off, 15 knots, gusts to 20</t>
        </r>
      </text>
    </comment>
    <comment ref="A15" authorId="0">
      <text>
        <r>
          <rPr>
            <b/>
            <sz val="9"/>
            <color indexed="81"/>
            <rFont val="Verdana"/>
          </rPr>
          <t>Dana Reed:</t>
        </r>
        <r>
          <rPr>
            <sz val="9"/>
            <color indexed="81"/>
            <rFont val="Verdana"/>
          </rPr>
          <t xml:space="preserve">
5 snorkelers in water, 1 foot waves</t>
        </r>
      </text>
    </comment>
    <comment ref="A16" authorId="0">
      <text>
        <r>
          <rPr>
            <b/>
            <sz val="9"/>
            <color indexed="81"/>
            <rFont val="Verdana"/>
          </rPr>
          <t>Dana Reed:</t>
        </r>
        <r>
          <rPr>
            <sz val="9"/>
            <color indexed="81"/>
            <rFont val="Verdana"/>
          </rPr>
          <t xml:space="preserve">
Campers, camp fire, kayaks, waves 2-3 feet</t>
        </r>
      </text>
    </comment>
    <comment ref="G16" authorId="0">
      <text>
        <r>
          <rPr>
            <b/>
            <sz val="9"/>
            <color indexed="81"/>
            <rFont val="Verdana"/>
          </rPr>
          <t>Dana Reed:</t>
        </r>
        <r>
          <rPr>
            <sz val="9"/>
            <color indexed="81"/>
            <rFont val="Verdana"/>
          </rPr>
          <t xml:space="preserve">
Most likely salinity probe was not attached.
</t>
        </r>
      </text>
    </comment>
    <comment ref="I16" authorId="0">
      <text>
        <r>
          <rPr>
            <b/>
            <sz val="9"/>
            <color indexed="81"/>
            <rFont val="Verdana"/>
          </rPr>
          <t>Dana Reed:</t>
        </r>
        <r>
          <rPr>
            <sz val="9"/>
            <color indexed="81"/>
            <rFont val="Verdana"/>
          </rPr>
          <t xml:space="preserve">
2nd reading 7.99</t>
        </r>
      </text>
    </comment>
    <comment ref="A17" authorId="0">
      <text>
        <r>
          <rPr>
            <b/>
            <sz val="9"/>
            <color indexed="81"/>
            <rFont val="Verdana"/>
          </rPr>
          <t>Dana Reed:</t>
        </r>
        <r>
          <rPr>
            <sz val="9"/>
            <color indexed="81"/>
            <rFont val="Verdana"/>
          </rPr>
          <t xml:space="preserve">
1 foot surf, no wind</t>
        </r>
      </text>
    </comment>
    <comment ref="I17" authorId="0">
      <text>
        <r>
          <rPr>
            <b/>
            <sz val="9"/>
            <color indexed="81"/>
            <rFont val="Verdana"/>
          </rPr>
          <t>Dana Reed:</t>
        </r>
        <r>
          <rPr>
            <sz val="9"/>
            <color indexed="81"/>
            <rFont val="Verdana"/>
          </rPr>
          <t xml:space="preserve">
4th reading, 8.05, 8.06, 8.07,</t>
        </r>
      </text>
    </comment>
    <comment ref="A18" authorId="0">
      <text>
        <r>
          <rPr>
            <b/>
            <sz val="9"/>
            <color indexed="81"/>
            <rFont val="Verdana"/>
          </rPr>
          <t>Dana Reed:</t>
        </r>
        <r>
          <rPr>
            <sz val="9"/>
            <color indexed="81"/>
            <rFont val="Verdana"/>
          </rPr>
          <t xml:space="preserve">
1 foot waves, 2 swimmers, 4 campers, calm winds, 3/8 cloud cover</t>
        </r>
      </text>
    </comment>
    <comment ref="A19" authorId="0">
      <text>
        <r>
          <rPr>
            <b/>
            <sz val="9"/>
            <color indexed="81"/>
            <rFont val="Verdana"/>
          </rPr>
          <t>Dana Reed:</t>
        </r>
        <r>
          <rPr>
            <sz val="9"/>
            <color indexed="81"/>
            <rFont val="Verdana"/>
          </rPr>
          <t xml:space="preserve">
1-2 foot waves, 10 campers but nobody in water, calm winds. </t>
        </r>
      </text>
    </comment>
    <comment ref="A20" authorId="0">
      <text>
        <r>
          <rPr>
            <b/>
            <sz val="9"/>
            <color indexed="81"/>
            <rFont val="Verdana"/>
          </rPr>
          <t>Dana Reed:</t>
        </r>
        <r>
          <rPr>
            <sz val="9"/>
            <color indexed="81"/>
            <rFont val="Verdana"/>
          </rPr>
          <t xml:space="preserve">
1-2 foot surf, 1 surfer and two people on beach, calm winds</t>
        </r>
      </text>
    </comment>
    <comment ref="A21" authorId="0">
      <text>
        <r>
          <rPr>
            <b/>
            <sz val="9"/>
            <color indexed="81"/>
            <rFont val="Verdana"/>
          </rPr>
          <t>Dana Reed:</t>
        </r>
        <r>
          <rPr>
            <sz val="9"/>
            <color indexed="81"/>
            <rFont val="Verdana"/>
          </rPr>
          <t xml:space="preserve">
2 foot waves, no swimmers, one tent, light winds</t>
        </r>
      </text>
    </comment>
    <comment ref="A22" authorId="0">
      <text>
        <r>
          <rPr>
            <b/>
            <sz val="9"/>
            <color indexed="81"/>
            <rFont val="Verdana"/>
          </rPr>
          <t>Dana Reed:</t>
        </r>
        <r>
          <rPr>
            <sz val="9"/>
            <color indexed="81"/>
            <rFont val="Verdana"/>
          </rPr>
          <t xml:space="preserve">
Waves: 2 ft
Swimmers: 0-5 SSK
Wind: 2 Bft</t>
        </r>
      </text>
    </comment>
    <comment ref="A23" authorId="0">
      <text>
        <r>
          <rPr>
            <b/>
            <sz val="9"/>
            <color indexed="81"/>
            <rFont val="Verdana"/>
          </rPr>
          <t>Dana Reed:</t>
        </r>
        <r>
          <rPr>
            <sz val="9"/>
            <color indexed="81"/>
            <rFont val="Verdana"/>
          </rPr>
          <t xml:space="preserve">
Waves: 3 ft
Wind: 3
People: 0 ssk, 5-10 ob, 1-5 c</t>
        </r>
      </text>
    </comment>
    <comment ref="A24" authorId="0">
      <text>
        <r>
          <rPr>
            <b/>
            <sz val="9"/>
            <color indexed="81"/>
            <rFont val="Verdana"/>
          </rPr>
          <t>Dana Reed:</t>
        </r>
        <r>
          <rPr>
            <sz val="9"/>
            <color indexed="81"/>
            <rFont val="Verdana"/>
          </rPr>
          <t xml:space="preserve">
Waves: 2
Wind: 3
People: 8 ssk, 6 on beach, 0 campers</t>
        </r>
      </text>
    </comment>
    <comment ref="A25" authorId="0">
      <text>
        <r>
          <rPr>
            <b/>
            <sz val="9"/>
            <color indexed="81"/>
            <rFont val="Verdana"/>
          </rPr>
          <t>Dana Reed:</t>
        </r>
        <r>
          <rPr>
            <sz val="9"/>
            <color indexed="81"/>
            <rFont val="Verdana"/>
          </rPr>
          <t xml:space="preserve">
Waves: 1
Wind: 0
People: ssk 0, ob 5-10, campers 0</t>
        </r>
      </text>
    </comment>
    <comment ref="A26" authorId="0">
      <text>
        <r>
          <rPr>
            <b/>
            <sz val="9"/>
            <color indexed="81"/>
            <rFont val="Verdana"/>
          </rPr>
          <t>Dana Reed:</t>
        </r>
        <r>
          <rPr>
            <sz val="9"/>
            <color indexed="81"/>
            <rFont val="Verdana"/>
          </rPr>
          <t xml:space="preserve">
Waves: 2
Wind: 1
People: ssk 1-5, ob 1-5, campers 5-10</t>
        </r>
      </text>
    </comment>
    <comment ref="A27" authorId="0">
      <text>
        <r>
          <rPr>
            <b/>
            <sz val="9"/>
            <color indexed="81"/>
            <rFont val="Verdana"/>
          </rPr>
          <t>Dana Reed:</t>
        </r>
        <r>
          <rPr>
            <sz val="9"/>
            <color indexed="81"/>
            <rFont val="Verdana"/>
          </rPr>
          <t xml:space="preserve">
Waves: 2
Wind: 2
People: ssk 0, beach 0, camp 1-5</t>
        </r>
      </text>
    </comment>
    <comment ref="A28" authorId="0">
      <text>
        <r>
          <rPr>
            <b/>
            <sz val="9"/>
            <color indexed="81"/>
            <rFont val="Verdana"/>
          </rPr>
          <t>Dana Reed:</t>
        </r>
        <r>
          <rPr>
            <sz val="9"/>
            <color indexed="81"/>
            <rFont val="Verdana"/>
          </rPr>
          <t xml:space="preserve">
Waves: 2
Wind: 1
People: 2 in water, 2 on beach, 2 campers
At this site, forgot to invert glass vial during second turbidity reading so had to repeat reading.</t>
        </r>
      </text>
    </comment>
    <comment ref="A29" authorId="0">
      <text>
        <r>
          <rPr>
            <b/>
            <sz val="9"/>
            <color indexed="81"/>
            <rFont val="Verdana"/>
          </rPr>
          <t>Dana Reed:</t>
        </r>
        <r>
          <rPr>
            <sz val="9"/>
            <color indexed="81"/>
            <rFont val="Verdana"/>
          </rPr>
          <t xml:space="preserve">
Waves: 1.5
Wind: 3
People: 0,1,0
</t>
        </r>
      </text>
    </comment>
    <comment ref="A30" authorId="0">
      <text>
        <r>
          <rPr>
            <b/>
            <sz val="9"/>
            <color indexed="81"/>
            <rFont val="Verdana"/>
          </rPr>
          <t>Dana Reed:</t>
        </r>
        <r>
          <rPr>
            <sz val="9"/>
            <color indexed="81"/>
            <rFont val="Verdana"/>
          </rPr>
          <t xml:space="preserve">
Waves: 2
Wind: 1
People: 0,0,3
</t>
        </r>
      </text>
    </comment>
    <comment ref="A31" authorId="0">
      <text>
        <r>
          <rPr>
            <b/>
            <sz val="9"/>
            <color indexed="81"/>
            <rFont val="Verdana"/>
          </rPr>
          <t>Dana Reed:</t>
        </r>
        <r>
          <rPr>
            <sz val="9"/>
            <color indexed="81"/>
            <rFont val="Verdana"/>
          </rPr>
          <t xml:space="preserve">
Waves: 2
Wind: 2
People: 0,0,2
</t>
        </r>
      </text>
    </comment>
    <comment ref="A32" authorId="0">
      <text>
        <r>
          <rPr>
            <b/>
            <sz val="9"/>
            <color indexed="81"/>
            <rFont val="Verdana"/>
          </rPr>
          <t>Dana Reed:</t>
        </r>
        <r>
          <rPr>
            <sz val="9"/>
            <color indexed="81"/>
            <rFont val="Verdana"/>
          </rPr>
          <t xml:space="preserve">
Waves: 3
Wind: 0
People: 0,2,0
</t>
        </r>
      </text>
    </comment>
    <comment ref="A33" authorId="0">
      <text>
        <r>
          <rPr>
            <b/>
            <sz val="9"/>
            <color indexed="81"/>
            <rFont val="Verdana"/>
          </rPr>
          <t>Dana Reed:</t>
        </r>
        <r>
          <rPr>
            <sz val="9"/>
            <color indexed="81"/>
            <rFont val="Verdana"/>
          </rPr>
          <t xml:space="preserve">
Waves: 2
Wind: 0
People: 0,2,1
Pali stream had lots of brown.
</t>
        </r>
      </text>
    </comment>
    <comment ref="A34" authorId="0">
      <text>
        <r>
          <rPr>
            <b/>
            <sz val="9"/>
            <color indexed="81"/>
            <rFont val="Verdana"/>
          </rPr>
          <t>Dana Reed:</t>
        </r>
        <r>
          <rPr>
            <sz val="9"/>
            <color indexed="81"/>
            <rFont val="Verdana"/>
          </rPr>
          <t xml:space="preserve">
Waves: 1
Wind: 0
People: 0,2,0
</t>
        </r>
      </text>
    </comment>
  </commentList>
</comments>
</file>

<file path=xl/sharedStrings.xml><?xml version="1.0" encoding="utf-8"?>
<sst xmlns="http://schemas.openxmlformats.org/spreadsheetml/2006/main" count="925" uniqueCount="105">
  <si>
    <t>Duplicate nutrient samples taken.  First sample was filtered with 0.7 um GFF filter and the other with 0.2 um filter. Washed and distilled water rinsed syringes, filter holders, and acid washed bottles.</t>
    <phoneticPr fontId="1" type="noConversion"/>
  </si>
  <si>
    <t>Camp Olowalu</t>
    <phoneticPr fontId="1" type="noConversion"/>
  </si>
  <si>
    <t>OCO</t>
    <phoneticPr fontId="1" type="noConversion"/>
  </si>
  <si>
    <t>Mile Marker 14</t>
    <phoneticPr fontId="1" type="noConversion"/>
  </si>
  <si>
    <t>OMM</t>
    <phoneticPr fontId="1" type="noConversion"/>
  </si>
  <si>
    <t>Papalaua Beach Park</t>
    <phoneticPr fontId="1" type="noConversion"/>
  </si>
  <si>
    <t>OPB</t>
    <phoneticPr fontId="1" type="noConversion"/>
  </si>
  <si>
    <t>Papalaua Pali</t>
    <phoneticPr fontId="1" type="noConversion"/>
  </si>
  <si>
    <t>Washed, rinsed syringes; acid washed bottles, 0.2 um disposable filters.</t>
    <phoneticPr fontId="1" type="noConversion"/>
  </si>
  <si>
    <t>Mile Marker 14</t>
    <phoneticPr fontId="1" type="noConversion"/>
  </si>
  <si>
    <t>Mile Marker 14</t>
    <phoneticPr fontId="1" type="noConversion"/>
  </si>
  <si>
    <t>OPP</t>
    <phoneticPr fontId="1" type="noConversion"/>
  </si>
  <si>
    <t>Mile Marker 14</t>
    <phoneticPr fontId="1" type="noConversion"/>
  </si>
  <si>
    <t>Ukumehame Beach</t>
    <phoneticPr fontId="1" type="noConversion"/>
  </si>
  <si>
    <t>Peter Martin Hale</t>
    <phoneticPr fontId="1" type="noConversion"/>
  </si>
  <si>
    <t>Mile Marker 14</t>
    <phoneticPr fontId="1" type="noConversion"/>
  </si>
  <si>
    <t xml:space="preserve">No sample </t>
    <phoneticPr fontId="1" type="noConversion"/>
  </si>
  <si>
    <t>No sample</t>
    <phoneticPr fontId="1" type="noConversion"/>
  </si>
  <si>
    <t>Used syringe, washed. Disposable 0.2um filter. New bottles</t>
    <phoneticPr fontId="1" type="noConversion"/>
  </si>
  <si>
    <t>New syringes. Swinnex filter holders, washed rinsed DI. 0.7 GFF filters. New bottle.</t>
    <phoneticPr fontId="1" type="noConversion"/>
  </si>
  <si>
    <t>Mile Marker 14</t>
    <phoneticPr fontId="1" type="noConversion"/>
  </si>
  <si>
    <t>2 (2,1,3)</t>
    <phoneticPr fontId="1" type="noConversion"/>
  </si>
  <si>
    <t>New syringes. Swinnex filter holders, washed rinsed DI. 0.7 GFF filters. Acid washed bottle.</t>
    <phoneticPr fontId="1" type="noConversion"/>
  </si>
  <si>
    <t>New syringes. Swinnex filter holders, washed rinsed DI. 0.7 GFF filters. Acid washed bottle</t>
    <phoneticPr fontId="1" type="noConversion"/>
  </si>
  <si>
    <t>Location</t>
    <phoneticPr fontId="1" type="noConversion"/>
  </si>
  <si>
    <t>Mile Marker 14</t>
    <phoneticPr fontId="1" type="noConversion"/>
  </si>
  <si>
    <t>Location Code</t>
    <phoneticPr fontId="1" type="noConversion"/>
  </si>
  <si>
    <t>1 (3,1,4)</t>
    <phoneticPr fontId="1" type="noConversion"/>
  </si>
  <si>
    <t>Mile Marker 14</t>
    <phoneticPr fontId="1" type="noConversion"/>
  </si>
  <si>
    <t>2 (2,2,3)</t>
    <phoneticPr fontId="1" type="noConversion"/>
  </si>
  <si>
    <t>Mile Marker 14</t>
    <phoneticPr fontId="1" type="noConversion"/>
  </si>
  <si>
    <t>2 (2,2,3)</t>
    <phoneticPr fontId="1" type="noConversion"/>
  </si>
  <si>
    <t>2 (2,2,3)</t>
    <phoneticPr fontId="1" type="noConversion"/>
  </si>
  <si>
    <t>Mile Marker 14</t>
    <phoneticPr fontId="1" type="noConversion"/>
  </si>
  <si>
    <t>1 (3,1,4)</t>
    <phoneticPr fontId="1" type="noConversion"/>
  </si>
  <si>
    <t>Washed, rinsed syringes; acid washed bottles, 0.2 um disposable filters.  Took a replicate nutrient sample at this site.</t>
    <phoneticPr fontId="1" type="noConversion"/>
  </si>
  <si>
    <t>Mile Marker 14</t>
    <phoneticPr fontId="1" type="noConversion"/>
  </si>
  <si>
    <t>No sample due to high surf and shore break.</t>
    <phoneticPr fontId="1" type="noConversion"/>
  </si>
  <si>
    <t>No collection due to high surf and shore break</t>
    <phoneticPr fontId="1" type="noConversion"/>
  </si>
  <si>
    <t>Washed, rinsed syringes; acid washed bottles, 0.2 um disposable filters</t>
    <phoneticPr fontId="1" type="noConversion"/>
  </si>
  <si>
    <t>2 (3,2,3)</t>
    <phoneticPr fontId="1" type="noConversion"/>
  </si>
  <si>
    <t>1 (3,2,4)</t>
    <phoneticPr fontId="1" type="noConversion"/>
  </si>
  <si>
    <t>Mile Marker 14</t>
    <phoneticPr fontId="1" type="noConversion"/>
  </si>
  <si>
    <t>Mile Marker 14</t>
    <phoneticPr fontId="1" type="noConversion"/>
  </si>
  <si>
    <t>Mile Marker 14</t>
    <phoneticPr fontId="1" type="noConversion"/>
  </si>
  <si>
    <t>Date</t>
    <phoneticPr fontId="1" type="noConversion"/>
  </si>
  <si>
    <t>Time</t>
    <phoneticPr fontId="1" type="noConversion"/>
  </si>
  <si>
    <t>Temp (degrees C)</t>
    <phoneticPr fontId="1" type="noConversion"/>
  </si>
  <si>
    <t>Washed, rinsed syringes; acid washed bottles, 0.2 um filters, new syringe filter holders</t>
    <phoneticPr fontId="1" type="noConversion"/>
  </si>
  <si>
    <t>2 (2,1,3)</t>
    <phoneticPr fontId="1" type="noConversion"/>
  </si>
  <si>
    <t>Salinity (ppt)</t>
    <phoneticPr fontId="1" type="noConversion"/>
  </si>
  <si>
    <t>DO (mg/L)</t>
    <phoneticPr fontId="1" type="noConversion"/>
  </si>
  <si>
    <t>DO sat (percent)</t>
    <phoneticPr fontId="1" type="noConversion"/>
  </si>
  <si>
    <t>2 (2,1,3)</t>
    <phoneticPr fontId="1" type="noConversion"/>
  </si>
  <si>
    <t>Mile Marker 14</t>
    <phoneticPr fontId="1" type="noConversion"/>
  </si>
  <si>
    <t>pH</t>
    <phoneticPr fontId="1" type="noConversion"/>
  </si>
  <si>
    <t>Turbidity (NTU)</t>
    <phoneticPr fontId="1" type="noConversion"/>
  </si>
  <si>
    <t>Total N (ug/L)</t>
    <phoneticPr fontId="1" type="noConversion"/>
  </si>
  <si>
    <t>NNN (ug/L)</t>
    <phoneticPr fontId="1" type="noConversion"/>
  </si>
  <si>
    <t>NH4 (ug/L)</t>
    <phoneticPr fontId="1" type="noConversion"/>
  </si>
  <si>
    <t>Total P (ug/L)</t>
    <phoneticPr fontId="1" type="noConversion"/>
  </si>
  <si>
    <t>Phosphate (ug/L)</t>
    <phoneticPr fontId="1" type="noConversion"/>
  </si>
  <si>
    <t>Silicate (ug/L)</t>
    <phoneticPr fontId="1" type="noConversion"/>
  </si>
  <si>
    <t>Equipment Turbidity</t>
    <phoneticPr fontId="1" type="noConversion"/>
  </si>
  <si>
    <t>2(2,2,2)</t>
  </si>
  <si>
    <t>2(2,2,2)</t>
    <phoneticPr fontId="1" type="noConversion"/>
  </si>
  <si>
    <t>1 (3,2,4)</t>
    <phoneticPr fontId="1" type="noConversion"/>
  </si>
  <si>
    <t>1(1,1,1)</t>
    <phoneticPr fontId="1" type="noConversion"/>
  </si>
  <si>
    <t>2(2,2,2)</t>
    <phoneticPr fontId="1" type="noConversion"/>
  </si>
  <si>
    <t>1(1,1,1)</t>
    <phoneticPr fontId="1" type="noConversion"/>
  </si>
  <si>
    <t>Mile Marker 14</t>
    <phoneticPr fontId="1" type="noConversion"/>
  </si>
  <si>
    <t>2(2,2,2)</t>
    <phoneticPr fontId="1" type="noConversion"/>
  </si>
  <si>
    <t>1(1,1,1)</t>
    <phoneticPr fontId="1" type="noConversion"/>
  </si>
  <si>
    <t>2 (2,2,3)</t>
    <phoneticPr fontId="1" type="noConversion"/>
  </si>
  <si>
    <t>2(2,2,2)</t>
    <phoneticPr fontId="1" type="noConversion"/>
  </si>
  <si>
    <t>1(1,1,1)</t>
    <phoneticPr fontId="1" type="noConversion"/>
  </si>
  <si>
    <t>2(2,2,2)</t>
    <phoneticPr fontId="1" type="noConversion"/>
  </si>
  <si>
    <t>1(1,1,1)</t>
    <phoneticPr fontId="1" type="noConversion"/>
  </si>
  <si>
    <t>Equipment HQ40D</t>
    <phoneticPr fontId="1" type="noConversion"/>
  </si>
  <si>
    <t>Comments QA/QC Notes</t>
    <phoneticPr fontId="1" type="noConversion"/>
  </si>
  <si>
    <t>Mile Marker 14</t>
    <phoneticPr fontId="1" type="noConversion"/>
  </si>
  <si>
    <t>1 (3,2,4)</t>
    <phoneticPr fontId="1" type="noConversion"/>
  </si>
  <si>
    <t>Mile Marker 14</t>
    <phoneticPr fontId="1" type="noConversion"/>
  </si>
  <si>
    <t>Washed and distilled water rinsed syringes, filter holders. Acid washed bottles. Filters 0.7 um GFF.</t>
    <phoneticPr fontId="1" type="noConversion"/>
  </si>
  <si>
    <t>Mile Marker 14</t>
    <phoneticPr fontId="1" type="noConversion"/>
  </si>
  <si>
    <t xml:space="preserve">Washed and distilled water rinsed syringes, filter holders. Acid washed bottles. Filters 0.7 um GFF. </t>
    <phoneticPr fontId="1" type="noConversion"/>
  </si>
  <si>
    <t>OUB</t>
    <phoneticPr fontId="1" type="noConversion"/>
  </si>
  <si>
    <t>Peter Martin Hale</t>
    <phoneticPr fontId="1" type="noConversion"/>
  </si>
  <si>
    <t>Mile Marker 14</t>
    <phoneticPr fontId="1" type="noConversion"/>
  </si>
  <si>
    <t>2 (2,1,3)</t>
    <phoneticPr fontId="1" type="noConversion"/>
  </si>
  <si>
    <t>Washed, rinsed syringes; acid washed bottles, 0.2 um filters</t>
    <phoneticPr fontId="1" type="noConversion"/>
  </si>
  <si>
    <t>Washed, rinsed syringes; acid washed bottles, 0.7 um filters</t>
    <phoneticPr fontId="1" type="noConversion"/>
  </si>
  <si>
    <t>Mile Marker 14</t>
    <phoneticPr fontId="1" type="noConversion"/>
  </si>
  <si>
    <t>Washed, rinsed syringes; acid washed bottles, 0.7 um filters, new syringe filter holders</t>
    <phoneticPr fontId="1" type="noConversion"/>
  </si>
  <si>
    <t>OPM</t>
    <phoneticPr fontId="1" type="noConversion"/>
  </si>
  <si>
    <t>Geometric Mean</t>
    <phoneticPr fontId="1" type="noConversion"/>
  </si>
  <si>
    <t>Arithmetric Mean</t>
    <phoneticPr fontId="1" type="noConversion"/>
  </si>
  <si>
    <t>Standard deviation</t>
    <phoneticPr fontId="1" type="noConversion"/>
  </si>
  <si>
    <t>1 (3,2,4)</t>
    <phoneticPr fontId="1" type="noConversion"/>
  </si>
  <si>
    <t>Mile Marker 14</t>
    <phoneticPr fontId="1" type="noConversion"/>
  </si>
  <si>
    <t>Normalized geometric mean</t>
    <phoneticPr fontId="1" type="noConversion"/>
  </si>
  <si>
    <t>2 (2,1,3)</t>
    <phoneticPr fontId="1" type="noConversion"/>
  </si>
  <si>
    <t>Mile Marker 14</t>
    <phoneticPr fontId="1" type="noConversion"/>
  </si>
  <si>
    <t>2 (2,1,3)</t>
    <phoneticPr fontId="1" type="noConversion"/>
  </si>
  <si>
    <t>Mile Marker 14</t>
    <phoneticPr fontId="1" type="noConversion"/>
  </si>
</sst>
</file>

<file path=xl/styles.xml><?xml version="1.0" encoding="utf-8"?>
<styleSheet xmlns="http://schemas.openxmlformats.org/spreadsheetml/2006/main">
  <numFmts count="1">
    <numFmt numFmtId="164" formatCode="0.0"/>
  </numFmts>
  <fonts count="6">
    <font>
      <sz val="10"/>
      <name val="Verdana"/>
    </font>
    <font>
      <sz val="8"/>
      <name val="Verdana"/>
    </font>
    <font>
      <sz val="12"/>
      <name val="Verdana"/>
    </font>
    <font>
      <b/>
      <sz val="12"/>
      <name val="Verdana"/>
    </font>
    <font>
      <sz val="9"/>
      <color indexed="81"/>
      <name val="Verdana"/>
    </font>
    <font>
      <b/>
      <sz val="9"/>
      <color indexed="81"/>
      <name val="Verdana"/>
    </font>
  </fonts>
  <fills count="6">
    <fill>
      <patternFill patternType="none"/>
    </fill>
    <fill>
      <patternFill patternType="gray125"/>
    </fill>
    <fill>
      <patternFill patternType="solid">
        <fgColor indexed="43"/>
        <bgColor indexed="64"/>
      </patternFill>
    </fill>
    <fill>
      <patternFill patternType="solid">
        <fgColor indexed="14"/>
        <bgColor indexed="64"/>
      </patternFill>
    </fill>
    <fill>
      <patternFill patternType="solid">
        <fgColor indexed="45"/>
        <bgColor indexed="64"/>
      </patternFill>
    </fill>
    <fill>
      <patternFill patternType="solid">
        <fgColor indexed="41"/>
        <bgColor indexed="64"/>
      </patternFill>
    </fill>
  </fills>
  <borders count="1">
    <border>
      <left/>
      <right/>
      <top/>
      <bottom/>
      <diagonal/>
    </border>
  </borders>
  <cellStyleXfs count="1">
    <xf numFmtId="0" fontId="0" fillId="0" borderId="0"/>
  </cellStyleXfs>
  <cellXfs count="45">
    <xf numFmtId="0" fontId="0" fillId="0" borderId="0" xfId="0"/>
    <xf numFmtId="0" fontId="2" fillId="0" borderId="0" xfId="0" applyFont="1"/>
    <xf numFmtId="0" fontId="3" fillId="0" borderId="0" xfId="0" applyFont="1" applyAlignment="1">
      <alignment horizontal="center" wrapText="1"/>
    </xf>
    <xf numFmtId="0" fontId="2" fillId="0" borderId="0" xfId="0" applyFont="1" applyAlignment="1">
      <alignment horizontal="center"/>
    </xf>
    <xf numFmtId="14" fontId="2" fillId="0" borderId="0" xfId="0" applyNumberFormat="1" applyFont="1"/>
    <xf numFmtId="20" fontId="2" fillId="0" borderId="0" xfId="0" applyNumberFormat="1" applyFont="1"/>
    <xf numFmtId="2" fontId="2" fillId="0" borderId="0" xfId="0" applyNumberFormat="1" applyFont="1"/>
    <xf numFmtId="164" fontId="2" fillId="0" borderId="0" xfId="0" applyNumberFormat="1" applyFont="1"/>
    <xf numFmtId="2" fontId="2" fillId="0" borderId="0" xfId="0" applyNumberFormat="1" applyFont="1"/>
    <xf numFmtId="164" fontId="3" fillId="0" borderId="0" xfId="0" applyNumberFormat="1" applyFont="1" applyAlignment="1">
      <alignment horizontal="center" wrapText="1"/>
    </xf>
    <xf numFmtId="164" fontId="2" fillId="0" borderId="0" xfId="0" applyNumberFormat="1" applyFont="1"/>
    <xf numFmtId="0" fontId="2" fillId="0" borderId="0" xfId="0" applyFont="1" applyAlignment="1">
      <alignment wrapText="1"/>
    </xf>
    <xf numFmtId="2" fontId="2" fillId="0" borderId="0" xfId="0" applyNumberFormat="1" applyFont="1"/>
    <xf numFmtId="2" fontId="2" fillId="0" borderId="0" xfId="0" applyNumberFormat="1" applyFont="1"/>
    <xf numFmtId="2" fontId="2" fillId="0" borderId="0" xfId="0" applyNumberFormat="1" applyFont="1"/>
    <xf numFmtId="2" fontId="3" fillId="0" borderId="0" xfId="0" applyNumberFormat="1" applyFont="1" applyAlignment="1">
      <alignment horizontal="center" wrapText="1"/>
    </xf>
    <xf numFmtId="2" fontId="2" fillId="0" borderId="0" xfId="0" applyNumberFormat="1" applyFont="1"/>
    <xf numFmtId="1" fontId="2" fillId="0" borderId="0" xfId="0" applyNumberFormat="1" applyFont="1"/>
    <xf numFmtId="2" fontId="2" fillId="2" borderId="0" xfId="0" applyNumberFormat="1" applyFont="1" applyFill="1"/>
    <xf numFmtId="2" fontId="2" fillId="0" borderId="0" xfId="0" applyNumberFormat="1" applyFont="1" applyFill="1"/>
    <xf numFmtId="1" fontId="2" fillId="0" borderId="0" xfId="0" applyNumberFormat="1" applyFont="1"/>
    <xf numFmtId="2" fontId="2" fillId="3"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2" borderId="0" xfId="0" applyNumberFormat="1" applyFont="1" applyFill="1"/>
    <xf numFmtId="2" fontId="3" fillId="0" borderId="0" xfId="0" applyNumberFormat="1" applyFont="1" applyAlignment="1">
      <alignment horizontal="center" wrapText="1"/>
    </xf>
    <xf numFmtId="2" fontId="2" fillId="0" borderId="0" xfId="0" applyNumberFormat="1" applyFont="1"/>
    <xf numFmtId="2" fontId="2" fillId="2" borderId="0" xfId="0" applyNumberFormat="1" applyFont="1" applyFill="1"/>
    <xf numFmtId="2" fontId="2" fillId="3" borderId="0" xfId="0" applyNumberFormat="1" applyFont="1" applyFill="1"/>
    <xf numFmtId="1" fontId="3" fillId="0" borderId="0" xfId="0" applyNumberFormat="1" applyFont="1" applyAlignment="1">
      <alignment horizontal="center" wrapText="1"/>
    </xf>
    <xf numFmtId="1" fontId="2" fillId="0" borderId="0" xfId="0" applyNumberFormat="1" applyFont="1"/>
    <xf numFmtId="1" fontId="2" fillId="0" borderId="0" xfId="0" applyNumberFormat="1" applyFont="1"/>
    <xf numFmtId="1" fontId="3" fillId="0" borderId="0" xfId="0" applyNumberFormat="1" applyFont="1" applyAlignment="1">
      <alignment horizontal="center" wrapText="1"/>
    </xf>
    <xf numFmtId="1" fontId="2" fillId="0" borderId="0" xfId="0" applyNumberFormat="1" applyFont="1"/>
    <xf numFmtId="2" fontId="2" fillId="4" borderId="0" xfId="0" applyNumberFormat="1" applyFont="1" applyFill="1"/>
    <xf numFmtId="1" fontId="2" fillId="0" borderId="0" xfId="0" applyNumberFormat="1" applyFont="1" applyAlignment="1">
      <alignment horizontal="center"/>
    </xf>
    <xf numFmtId="2" fontId="2" fillId="0" borderId="0" xfId="0" applyNumberFormat="1" applyFont="1" applyAlignment="1">
      <alignment horizontal="center"/>
    </xf>
    <xf numFmtId="164" fontId="2" fillId="0" borderId="0" xfId="0" applyNumberFormat="1" applyFont="1"/>
    <xf numFmtId="2" fontId="2" fillId="5" borderId="0" xfId="0" applyNumberFormat="1" applyFont="1" applyFill="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xf numFmtId="20" fontId="2"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20" Type="http://schemas.openxmlformats.org/officeDocument/2006/relationships/chartsheet" Target="chartsheets/sheet16.xml"/><Relationship Id="rId21" Type="http://schemas.openxmlformats.org/officeDocument/2006/relationships/chartsheet" Target="chartsheets/sheet17.xml"/><Relationship Id="rId22" Type="http://schemas.openxmlformats.org/officeDocument/2006/relationships/chartsheet" Target="chartsheets/sheet18.xml"/><Relationship Id="rId23" Type="http://schemas.openxmlformats.org/officeDocument/2006/relationships/chartsheet" Target="chartsheets/sheet19.xml"/><Relationship Id="rId24" Type="http://schemas.openxmlformats.org/officeDocument/2006/relationships/worksheet" Target="worksheets/sheet5.xml"/><Relationship Id="rId25" Type="http://schemas.openxmlformats.org/officeDocument/2006/relationships/chartsheet" Target="chartsheets/sheet20.xml"/><Relationship Id="rId26" Type="http://schemas.openxmlformats.org/officeDocument/2006/relationships/chartsheet" Target="chartsheets/sheet21.xml"/><Relationship Id="rId27" Type="http://schemas.openxmlformats.org/officeDocument/2006/relationships/chartsheet" Target="chartsheets/sheet22.xml"/><Relationship Id="rId28" Type="http://schemas.openxmlformats.org/officeDocument/2006/relationships/chartsheet" Target="chartsheets/sheet23.xml"/><Relationship Id="rId29" Type="http://schemas.openxmlformats.org/officeDocument/2006/relationships/worksheet" Target="worksheets/sheet6.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worksheet" Target="worksheets/sheet1.xml"/><Relationship Id="rId5" Type="http://schemas.openxmlformats.org/officeDocument/2006/relationships/chartsheet" Target="chartsheets/sheet4.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2.xml"/><Relationship Id="rId6" Type="http://schemas.openxmlformats.org/officeDocument/2006/relationships/chartsheet" Target="chartsheets/sheet5.xml"/><Relationship Id="rId7" Type="http://schemas.openxmlformats.org/officeDocument/2006/relationships/chartsheet" Target="chartsheets/sheet6.xml"/><Relationship Id="rId8" Type="http://schemas.openxmlformats.org/officeDocument/2006/relationships/chartsheet" Target="chartsheets/sheet7.xml"/><Relationship Id="rId33" Type="http://schemas.openxmlformats.org/officeDocument/2006/relationships/calcChain" Target="calcChain.xml"/><Relationship Id="rId10" Type="http://schemas.openxmlformats.org/officeDocument/2006/relationships/chartsheet" Target="chartsheets/sheet8.xml"/><Relationship Id="rId11" Type="http://schemas.openxmlformats.org/officeDocument/2006/relationships/chartsheet" Target="chartsheets/sheet9.xml"/><Relationship Id="rId12" Type="http://schemas.openxmlformats.org/officeDocument/2006/relationships/chartsheet" Target="chartsheets/sheet10.xml"/><Relationship Id="rId13" Type="http://schemas.openxmlformats.org/officeDocument/2006/relationships/chartsheet" Target="chartsheets/sheet11.xml"/><Relationship Id="rId14" Type="http://schemas.openxmlformats.org/officeDocument/2006/relationships/worksheet" Target="worksheets/sheet3.xml"/><Relationship Id="rId15" Type="http://schemas.openxmlformats.org/officeDocument/2006/relationships/chartsheet" Target="chartsheets/sheet12.xml"/><Relationship Id="rId16" Type="http://schemas.openxmlformats.org/officeDocument/2006/relationships/chartsheet" Target="chartsheets/sheet13.xml"/><Relationship Id="rId17" Type="http://schemas.openxmlformats.org/officeDocument/2006/relationships/chartsheet" Target="chartsheets/sheet14.xml"/><Relationship Id="rId18" Type="http://schemas.openxmlformats.org/officeDocument/2006/relationships/chartsheet" Target="chartsheets/sheet15.xml"/><Relationship Id="rId19"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Peter Martin (OPM) </a:t>
            </a:r>
          </a:p>
        </c:rich>
      </c:tx>
    </c:title>
    <c:plotArea>
      <c:layout/>
      <c:scatterChart>
        <c:scatterStyle val="smoothMarker"/>
        <c:ser>
          <c:idx val="0"/>
          <c:order val="0"/>
          <c:tx>
            <c:strRef>
              <c:f>'Peter Martin Hale'!$J$1</c:f>
              <c:strCache>
                <c:ptCount val="1"/>
                <c:pt idx="0">
                  <c:v>Turbidity (NTU)</c:v>
                </c:pt>
              </c:strCache>
            </c:strRef>
          </c:tx>
          <c:xVal>
            <c:numRef>
              <c:f>'Peter Martin Hale'!$C$4:$C$30</c:f>
              <c:numCache>
                <c:formatCode>m/d/yy</c:formatCode>
                <c:ptCount val="27"/>
                <c:pt idx="0">
                  <c:v>42565.0</c:v>
                </c:pt>
                <c:pt idx="1">
                  <c:v>42579.0</c:v>
                </c:pt>
                <c:pt idx="2">
                  <c:v>42593.0</c:v>
                </c:pt>
                <c:pt idx="3">
                  <c:v>42607.0</c:v>
                </c:pt>
                <c:pt idx="4">
                  <c:v>42621.0</c:v>
                </c:pt>
                <c:pt idx="5">
                  <c:v>42635.0</c:v>
                </c:pt>
                <c:pt idx="6">
                  <c:v>42649.0</c:v>
                </c:pt>
                <c:pt idx="7">
                  <c:v>42663.0</c:v>
                </c:pt>
                <c:pt idx="8">
                  <c:v>42677.0</c:v>
                </c:pt>
                <c:pt idx="9">
                  <c:v>42691.0</c:v>
                </c:pt>
                <c:pt idx="10">
                  <c:v>42705.0</c:v>
                </c:pt>
                <c:pt idx="11">
                  <c:v>42719.0</c:v>
                </c:pt>
                <c:pt idx="12">
                  <c:v>42740.0</c:v>
                </c:pt>
                <c:pt idx="13">
                  <c:v>42761.0</c:v>
                </c:pt>
                <c:pt idx="14">
                  <c:v>42783.0</c:v>
                </c:pt>
                <c:pt idx="15">
                  <c:v>42803.0</c:v>
                </c:pt>
                <c:pt idx="16">
                  <c:v>42824.0</c:v>
                </c:pt>
                <c:pt idx="17">
                  <c:v>42845.0</c:v>
                </c:pt>
                <c:pt idx="18">
                  <c:v>42866.0</c:v>
                </c:pt>
                <c:pt idx="19">
                  <c:v>42887.0</c:v>
                </c:pt>
                <c:pt idx="20">
                  <c:v>42908.0</c:v>
                </c:pt>
                <c:pt idx="21">
                  <c:v>42929.0</c:v>
                </c:pt>
                <c:pt idx="22">
                  <c:v>42950.0</c:v>
                </c:pt>
                <c:pt idx="23">
                  <c:v>42971.0</c:v>
                </c:pt>
                <c:pt idx="24">
                  <c:v>42992.0</c:v>
                </c:pt>
                <c:pt idx="25">
                  <c:v>43013.0</c:v>
                </c:pt>
                <c:pt idx="26">
                  <c:v>43034.0</c:v>
                </c:pt>
              </c:numCache>
            </c:numRef>
          </c:xVal>
          <c:yVal>
            <c:numRef>
              <c:f>'Peter Martin Hale'!$J$4:$J$30</c:f>
              <c:numCache>
                <c:formatCode>0.00</c:formatCode>
                <c:ptCount val="27"/>
                <c:pt idx="0">
                  <c:v>1.07</c:v>
                </c:pt>
                <c:pt idx="1">
                  <c:v>0.93</c:v>
                </c:pt>
                <c:pt idx="2">
                  <c:v>1.646666666666666</c:v>
                </c:pt>
                <c:pt idx="3">
                  <c:v>1.603333333333333</c:v>
                </c:pt>
                <c:pt idx="4">
                  <c:v>3.025</c:v>
                </c:pt>
                <c:pt idx="5">
                  <c:v>11.13333333333333</c:v>
                </c:pt>
                <c:pt idx="6">
                  <c:v>7.28</c:v>
                </c:pt>
                <c:pt idx="7">
                  <c:v>8.813333333333334</c:v>
                </c:pt>
                <c:pt idx="8">
                  <c:v>5.676666666666666</c:v>
                </c:pt>
                <c:pt idx="9">
                  <c:v>5.150000000000001</c:v>
                </c:pt>
                <c:pt idx="10">
                  <c:v>9.653333333333334</c:v>
                </c:pt>
                <c:pt idx="11">
                  <c:v>6.873333333333333</c:v>
                </c:pt>
                <c:pt idx="12">
                  <c:v>4.826666666666667</c:v>
                </c:pt>
                <c:pt idx="13">
                  <c:v>3.603333333333333</c:v>
                </c:pt>
                <c:pt idx="14">
                  <c:v>2.94</c:v>
                </c:pt>
                <c:pt idx="15">
                  <c:v>2.233333333333333</c:v>
                </c:pt>
                <c:pt idx="16">
                  <c:v>5.603333333333332</c:v>
                </c:pt>
                <c:pt idx="17">
                  <c:v>1.61</c:v>
                </c:pt>
                <c:pt idx="18">
                  <c:v>2.436666666666667</c:v>
                </c:pt>
                <c:pt idx="19">
                  <c:v>1.866666666666666</c:v>
                </c:pt>
                <c:pt idx="20">
                  <c:v>1.426666666666666</c:v>
                </c:pt>
                <c:pt idx="21">
                  <c:v>1.5</c:v>
                </c:pt>
                <c:pt idx="22">
                  <c:v>2.286666666666667</c:v>
                </c:pt>
                <c:pt idx="23">
                  <c:v>12.23333333333333</c:v>
                </c:pt>
                <c:pt idx="24">
                  <c:v>1.296666666666667</c:v>
                </c:pt>
                <c:pt idx="25">
                  <c:v>2.74</c:v>
                </c:pt>
                <c:pt idx="26">
                  <c:v>6.3</c:v>
                </c:pt>
              </c:numCache>
            </c:numRef>
          </c:yVal>
          <c:smooth val="1"/>
        </c:ser>
        <c:axId val="307164552"/>
        <c:axId val="307154600"/>
      </c:scatterChart>
      <c:valAx>
        <c:axId val="307164552"/>
        <c:scaling>
          <c:orientation val="minMax"/>
        </c:scaling>
        <c:axPos val="b"/>
        <c:numFmt formatCode="m/d/yy" sourceLinked="1"/>
        <c:tickLblPos val="nextTo"/>
        <c:crossAx val="307154600"/>
        <c:crosses val="autoZero"/>
        <c:crossBetween val="midCat"/>
      </c:valAx>
      <c:valAx>
        <c:axId val="307154600"/>
        <c:scaling>
          <c:orientation val="minMax"/>
          <c:max val="40.0"/>
        </c:scaling>
        <c:axPos val="l"/>
        <c:majorGridlines/>
        <c:title>
          <c:tx>
            <c:rich>
              <a:bodyPr/>
              <a:lstStyle/>
              <a:p>
                <a:pPr>
                  <a:defRPr/>
                </a:pPr>
                <a:r>
                  <a:rPr lang="en-US"/>
                  <a:t>Turbidity (NTU)</a:t>
                </a:r>
              </a:p>
            </c:rich>
          </c:tx>
        </c:title>
        <c:numFmt formatCode="0.00" sourceLinked="1"/>
        <c:tickLblPos val="nextTo"/>
        <c:crossAx val="307164552"/>
        <c:crosses val="autoZero"/>
        <c:crossBetween val="midCat"/>
      </c:valAx>
    </c:plotArea>
    <c:plotVisOnly val="1"/>
  </c:chart>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Mile Marker 14 (OMM) </a:t>
            </a:r>
          </a:p>
        </c:rich>
      </c:tx>
      <c:layout/>
    </c:title>
    <c:plotArea>
      <c:layout/>
      <c:scatterChart>
        <c:scatterStyle val="smoothMarker"/>
        <c:ser>
          <c:idx val="0"/>
          <c:order val="0"/>
          <c:tx>
            <c:strRef>
              <c:f>'Mile Marker 14'!$E$1</c:f>
              <c:strCache>
                <c:ptCount val="1"/>
                <c:pt idx="0">
                  <c:v>Temp (degrees C)</c:v>
                </c:pt>
              </c:strCache>
            </c:strRef>
          </c:tx>
          <c:xVal>
            <c:numRef>
              <c:f>'Mile Marker 14'!$C$2:$C$27</c:f>
              <c:numCache>
                <c:formatCode>m/d/yy</c:formatCode>
                <c:ptCount val="26"/>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numCache>
            </c:numRef>
          </c:xVal>
          <c:yVal>
            <c:numRef>
              <c:f>'Mile Marker 14'!$E$2:$E$27</c:f>
              <c:numCache>
                <c:formatCode>0.0</c:formatCode>
                <c:ptCount val="26"/>
                <c:pt idx="0">
                  <c:v>25.4</c:v>
                </c:pt>
                <c:pt idx="1">
                  <c:v>27.1</c:v>
                </c:pt>
                <c:pt idx="2">
                  <c:v>27.6</c:v>
                </c:pt>
                <c:pt idx="3">
                  <c:v>26.8</c:v>
                </c:pt>
                <c:pt idx="4">
                  <c:v>26.6</c:v>
                </c:pt>
                <c:pt idx="5">
                  <c:v>27.4</c:v>
                </c:pt>
                <c:pt idx="6">
                  <c:v>26.6</c:v>
                </c:pt>
                <c:pt idx="7">
                  <c:v>27.0</c:v>
                </c:pt>
                <c:pt idx="8">
                  <c:v>26.7</c:v>
                </c:pt>
                <c:pt idx="9">
                  <c:v>25.4</c:v>
                </c:pt>
                <c:pt idx="10">
                  <c:v>24.9</c:v>
                </c:pt>
                <c:pt idx="11">
                  <c:v>24.5</c:v>
                </c:pt>
                <c:pt idx="12">
                  <c:v>23.4</c:v>
                </c:pt>
                <c:pt idx="13">
                  <c:v>25.1</c:v>
                </c:pt>
                <c:pt idx="14">
                  <c:v>23.6</c:v>
                </c:pt>
                <c:pt idx="15">
                  <c:v>22.6</c:v>
                </c:pt>
                <c:pt idx="16">
                  <c:v>25.6</c:v>
                </c:pt>
                <c:pt idx="17">
                  <c:v>25.4</c:v>
                </c:pt>
                <c:pt idx="18">
                  <c:v>25.9</c:v>
                </c:pt>
                <c:pt idx="19">
                  <c:v>26.3</c:v>
                </c:pt>
                <c:pt idx="20">
                  <c:v>24.9</c:v>
                </c:pt>
                <c:pt idx="21">
                  <c:v>26.0</c:v>
                </c:pt>
                <c:pt idx="22">
                  <c:v>25.7</c:v>
                </c:pt>
                <c:pt idx="23">
                  <c:v>26.9</c:v>
                </c:pt>
                <c:pt idx="24">
                  <c:v>27.8</c:v>
                </c:pt>
                <c:pt idx="25">
                  <c:v>25.9</c:v>
                </c:pt>
              </c:numCache>
            </c:numRef>
          </c:yVal>
          <c:smooth val="1"/>
        </c:ser>
        <c:axId val="391732120"/>
        <c:axId val="391723976"/>
      </c:scatterChart>
      <c:valAx>
        <c:axId val="391732120"/>
        <c:scaling>
          <c:orientation val="minMax"/>
        </c:scaling>
        <c:axPos val="b"/>
        <c:numFmt formatCode="m/d/yy" sourceLinked="1"/>
        <c:tickLblPos val="nextTo"/>
        <c:crossAx val="391723976"/>
        <c:crosses val="autoZero"/>
        <c:crossBetween val="midCat"/>
      </c:valAx>
      <c:valAx>
        <c:axId val="391723976"/>
        <c:scaling>
          <c:orientation val="minMax"/>
          <c:max val="29.0"/>
          <c:min val="22.0"/>
        </c:scaling>
        <c:axPos val="l"/>
        <c:majorGridlines/>
        <c:title>
          <c:tx>
            <c:rich>
              <a:bodyPr/>
              <a:lstStyle/>
              <a:p>
                <a:pPr>
                  <a:defRPr/>
                </a:pPr>
                <a:r>
                  <a:rPr lang="en-US"/>
                  <a:t>Temperature (C)</a:t>
                </a:r>
              </a:p>
            </c:rich>
          </c:tx>
          <c:layout/>
        </c:title>
        <c:numFmt formatCode="0.0" sourceLinked="1"/>
        <c:tickLblPos val="nextTo"/>
        <c:crossAx val="391732120"/>
        <c:crosses val="autoZero"/>
        <c:crossBetween val="midCat"/>
      </c:valAx>
    </c:plotArea>
    <c:plotVisOnly val="1"/>
  </c:chart>
</c:chartSpace>
</file>

<file path=xl/charts/chart1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Nitrogen and Silicates Mile Marker 14 (OMM) </a:t>
            </a:r>
          </a:p>
        </c:rich>
      </c:tx>
      <c:layout/>
    </c:title>
    <c:plotArea>
      <c:layout/>
      <c:scatterChart>
        <c:scatterStyle val="smoothMarker"/>
        <c:ser>
          <c:idx val="0"/>
          <c:order val="0"/>
          <c:tx>
            <c:strRef>
              <c:f>'Mile Marker 14'!$K$1</c:f>
              <c:strCache>
                <c:ptCount val="1"/>
                <c:pt idx="0">
                  <c:v>Total N (ug/L)</c:v>
                </c:pt>
              </c:strCache>
            </c:strRef>
          </c:tx>
          <c:xVal>
            <c:numRef>
              <c:f>'Mile Marker 14'!$C$2:$C$23</c:f>
              <c:numCache>
                <c:formatCode>m/d/yy</c:formatCode>
                <c:ptCount val="22"/>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numCache>
            </c:numRef>
          </c:xVal>
          <c:yVal>
            <c:numRef>
              <c:f>'Mile Marker 14'!$K$2:$K$23</c:f>
              <c:numCache>
                <c:formatCode>0.00</c:formatCode>
                <c:ptCount val="22"/>
                <c:pt idx="0">
                  <c:v>107.57</c:v>
                </c:pt>
                <c:pt idx="1">
                  <c:v>62.48</c:v>
                </c:pt>
                <c:pt idx="2">
                  <c:v>65.68499853940709</c:v>
                </c:pt>
                <c:pt idx="3">
                  <c:v>70.45541462003598</c:v>
                </c:pt>
                <c:pt idx="4">
                  <c:v>74.31062326757256</c:v>
                </c:pt>
                <c:pt idx="5">
                  <c:v>62.23199282356642</c:v>
                </c:pt>
                <c:pt idx="6">
                  <c:v>59.11480407500431</c:v>
                </c:pt>
                <c:pt idx="7">
                  <c:v>74.95296848419235</c:v>
                </c:pt>
                <c:pt idx="8">
                  <c:v>59.98140841589087</c:v>
                </c:pt>
                <c:pt idx="9">
                  <c:v>83.4929377882251</c:v>
                </c:pt>
                <c:pt idx="10">
                  <c:v>57.79376670532866</c:v>
                </c:pt>
                <c:pt idx="11">
                  <c:v>58.75899363545203</c:v>
                </c:pt>
                <c:pt idx="12">
                  <c:v>74.99992478498734</c:v>
                </c:pt>
                <c:pt idx="13">
                  <c:v>62.18000488812087</c:v>
                </c:pt>
                <c:pt idx="14">
                  <c:v>75.42034050807208</c:v>
                </c:pt>
                <c:pt idx="15">
                  <c:v>73.14010707610436</c:v>
                </c:pt>
                <c:pt idx="16">
                  <c:v>88.26867570785681</c:v>
                </c:pt>
                <c:pt idx="17">
                  <c:v>69.95514525889331</c:v>
                </c:pt>
                <c:pt idx="18">
                  <c:v>64.89291802704932</c:v>
                </c:pt>
                <c:pt idx="19">
                  <c:v>88.27574939277369</c:v>
                </c:pt>
                <c:pt idx="20">
                  <c:v>60.93383249535604</c:v>
                </c:pt>
                <c:pt idx="21">
                  <c:v>62.54887910645722</c:v>
                </c:pt>
              </c:numCache>
            </c:numRef>
          </c:yVal>
          <c:smooth val="1"/>
        </c:ser>
        <c:ser>
          <c:idx val="1"/>
          <c:order val="1"/>
          <c:tx>
            <c:strRef>
              <c:f>'Mile Marker 14'!$O$1</c:f>
              <c:strCache>
                <c:ptCount val="1"/>
                <c:pt idx="0">
                  <c:v>NNN (ug/L)</c:v>
                </c:pt>
              </c:strCache>
            </c:strRef>
          </c:tx>
          <c:xVal>
            <c:numRef>
              <c:f>'Mile Marker 14'!$C$2:$C$23</c:f>
              <c:numCache>
                <c:formatCode>m/d/yy</c:formatCode>
                <c:ptCount val="22"/>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numCache>
            </c:numRef>
          </c:xVal>
          <c:yVal>
            <c:numRef>
              <c:f>'Mile Marker 14'!$O$2:$O$23</c:f>
              <c:numCache>
                <c:formatCode>0.00</c:formatCode>
                <c:ptCount val="22"/>
                <c:pt idx="0">
                  <c:v>7.11</c:v>
                </c:pt>
                <c:pt idx="1">
                  <c:v>2.73</c:v>
                </c:pt>
                <c:pt idx="2">
                  <c:v>3.832849865639517</c:v>
                </c:pt>
                <c:pt idx="3">
                  <c:v>3.333349649623538</c:v>
                </c:pt>
                <c:pt idx="4">
                  <c:v>3.501463305005653</c:v>
                </c:pt>
                <c:pt idx="5">
                  <c:v>5.633348523007501</c:v>
                </c:pt>
                <c:pt idx="6">
                  <c:v>4.145118552914631</c:v>
                </c:pt>
                <c:pt idx="7">
                  <c:v>6.281310378298964</c:v>
                </c:pt>
                <c:pt idx="8">
                  <c:v>5.068678550815886</c:v>
                </c:pt>
                <c:pt idx="9">
                  <c:v>4.94909263567078</c:v>
                </c:pt>
                <c:pt idx="10">
                  <c:v>3.164355713017663</c:v>
                </c:pt>
                <c:pt idx="11">
                  <c:v>7.979634197931267</c:v>
                </c:pt>
                <c:pt idx="12">
                  <c:v>6.584128378202288</c:v>
                </c:pt>
                <c:pt idx="13">
                  <c:v>12.40630954652156</c:v>
                </c:pt>
                <c:pt idx="14">
                  <c:v>9.82631387439859</c:v>
                </c:pt>
                <c:pt idx="15">
                  <c:v>7.831902846862097</c:v>
                </c:pt>
                <c:pt idx="16">
                  <c:v>9.156161498571272</c:v>
                </c:pt>
                <c:pt idx="17">
                  <c:v>8.491561540903795</c:v>
                </c:pt>
                <c:pt idx="18">
                  <c:v>6.93527403520151</c:v>
                </c:pt>
                <c:pt idx="19">
                  <c:v>7.426478090547528</c:v>
                </c:pt>
                <c:pt idx="20">
                  <c:v>3.892563334237778</c:v>
                </c:pt>
                <c:pt idx="21">
                  <c:v>4.735485813120183</c:v>
                </c:pt>
              </c:numCache>
            </c:numRef>
          </c:yVal>
          <c:smooth val="1"/>
        </c:ser>
        <c:axId val="391790360"/>
        <c:axId val="391793448"/>
      </c:scatterChart>
      <c:scatterChart>
        <c:scatterStyle val="smoothMarker"/>
        <c:ser>
          <c:idx val="2"/>
          <c:order val="2"/>
          <c:tx>
            <c:strRef>
              <c:f>'Mile Marker 14'!#REF!</c:f>
              <c:strCache>
                <c:ptCount val="1"/>
                <c:pt idx="0">
                  <c:v>#REF!</c:v>
                </c:pt>
              </c:strCache>
            </c:strRef>
          </c:tx>
          <c:xVal>
            <c:numRef>
              <c:f>'Mile Marker 14'!$C$2:$C$23</c:f>
              <c:numCache>
                <c:formatCode>m/d/yy</c:formatCode>
                <c:ptCount val="22"/>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numCache>
            </c:numRef>
          </c:xVal>
          <c:yVal>
            <c:numRef>
              <c:f>'Mile Marker 14'!#REF!</c:f>
              <c:numCache>
                <c:formatCode>General</c:formatCode>
                <c:ptCount val="1"/>
                <c:pt idx="0">
                  <c:v>1.0</c:v>
                </c:pt>
              </c:numCache>
            </c:numRef>
          </c:yVal>
          <c:smooth val="1"/>
        </c:ser>
        <c:axId val="391799848"/>
        <c:axId val="391796840"/>
      </c:scatterChart>
      <c:valAx>
        <c:axId val="391790360"/>
        <c:scaling>
          <c:orientation val="minMax"/>
        </c:scaling>
        <c:axPos val="b"/>
        <c:numFmt formatCode="m/d/yy" sourceLinked="1"/>
        <c:tickLblPos val="nextTo"/>
        <c:crossAx val="391793448"/>
        <c:crosses val="autoZero"/>
        <c:crossBetween val="midCat"/>
      </c:valAx>
      <c:valAx>
        <c:axId val="391793448"/>
        <c:scaling>
          <c:orientation val="minMax"/>
        </c:scaling>
        <c:axPos val="l"/>
        <c:majorGridlines/>
        <c:numFmt formatCode="0.00" sourceLinked="1"/>
        <c:tickLblPos val="nextTo"/>
        <c:crossAx val="391790360"/>
        <c:crosses val="autoZero"/>
        <c:crossBetween val="midCat"/>
      </c:valAx>
      <c:valAx>
        <c:axId val="391796840"/>
        <c:scaling>
          <c:orientation val="minMax"/>
        </c:scaling>
        <c:axPos val="r"/>
        <c:numFmt formatCode="General" sourceLinked="1"/>
        <c:tickLblPos val="nextTo"/>
        <c:crossAx val="391799848"/>
        <c:crosses val="max"/>
        <c:crossBetween val="midCat"/>
      </c:valAx>
      <c:valAx>
        <c:axId val="391799848"/>
        <c:scaling>
          <c:orientation val="minMax"/>
        </c:scaling>
        <c:delete val="1"/>
        <c:axPos val="b"/>
        <c:numFmt formatCode="m/d/yy" sourceLinked="1"/>
        <c:tickLblPos val="nextTo"/>
        <c:crossAx val="391796840"/>
        <c:crosses val="autoZero"/>
        <c:crossBetween val="midCat"/>
      </c:valAx>
    </c:plotArea>
    <c:legend>
      <c:legendPos val="t"/>
      <c:layout/>
    </c:legend>
    <c:plotVisOnly val="1"/>
  </c:chart>
</c:chartSpace>
</file>

<file path=xl/charts/chart1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Ukumehame Beach Park (OUB) Turbidity</a:t>
            </a:r>
          </a:p>
        </c:rich>
      </c:tx>
    </c:title>
    <c:plotArea>
      <c:layout/>
      <c:scatterChart>
        <c:scatterStyle val="smoothMarker"/>
        <c:ser>
          <c:idx val="0"/>
          <c:order val="0"/>
          <c:tx>
            <c:strRef>
              <c:f>'Ukumehame Beach'!$J$1</c:f>
              <c:strCache>
                <c:ptCount val="1"/>
                <c:pt idx="0">
                  <c:v>Turbidity (NTU)</c:v>
                </c:pt>
              </c:strCache>
            </c:strRef>
          </c:tx>
          <c:xVal>
            <c:numRef>
              <c:f>'Ukumehame Beach'!$C$2:$C$22</c:f>
              <c:numCache>
                <c:formatCode>m/d/yy</c:formatCode>
                <c:ptCount val="21"/>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numCache>
            </c:numRef>
          </c:xVal>
          <c:yVal>
            <c:numRef>
              <c:f>'Ukumehame Beach'!$J$2:$J$22</c:f>
              <c:numCache>
                <c:formatCode>0.00</c:formatCode>
                <c:ptCount val="21"/>
                <c:pt idx="0">
                  <c:v>16.87</c:v>
                </c:pt>
                <c:pt idx="1">
                  <c:v>10.6</c:v>
                </c:pt>
                <c:pt idx="2">
                  <c:v>4.15</c:v>
                </c:pt>
                <c:pt idx="3">
                  <c:v>7.463333333333333</c:v>
                </c:pt>
                <c:pt idx="4">
                  <c:v>10.63333333333333</c:v>
                </c:pt>
                <c:pt idx="5">
                  <c:v>15.23333333333333</c:v>
                </c:pt>
                <c:pt idx="7">
                  <c:v>14.63333333333333</c:v>
                </c:pt>
                <c:pt idx="8">
                  <c:v>13.26666666666667</c:v>
                </c:pt>
                <c:pt idx="9">
                  <c:v>14.96666666666667</c:v>
                </c:pt>
                <c:pt idx="10">
                  <c:v>12.6</c:v>
                </c:pt>
                <c:pt idx="11">
                  <c:v>2.916666666666666</c:v>
                </c:pt>
                <c:pt idx="12">
                  <c:v>7.416666666666666</c:v>
                </c:pt>
                <c:pt idx="13">
                  <c:v>3.146666666666666</c:v>
                </c:pt>
                <c:pt idx="14">
                  <c:v>12.23333333333333</c:v>
                </c:pt>
                <c:pt idx="15">
                  <c:v>6.616666666666667</c:v>
                </c:pt>
                <c:pt idx="16">
                  <c:v>2.766666666666666</c:v>
                </c:pt>
                <c:pt idx="17">
                  <c:v>15.43333333333333</c:v>
                </c:pt>
                <c:pt idx="18">
                  <c:v>7.849999999999999</c:v>
                </c:pt>
                <c:pt idx="19">
                  <c:v>7.0</c:v>
                </c:pt>
                <c:pt idx="20">
                  <c:v>5.356666666666666</c:v>
                </c:pt>
              </c:numCache>
            </c:numRef>
          </c:yVal>
          <c:smooth val="1"/>
        </c:ser>
        <c:axId val="391887048"/>
        <c:axId val="391876328"/>
      </c:scatterChart>
      <c:valAx>
        <c:axId val="391887048"/>
        <c:scaling>
          <c:orientation val="minMax"/>
        </c:scaling>
        <c:axPos val="b"/>
        <c:numFmt formatCode="m/d/yy" sourceLinked="1"/>
        <c:tickLblPos val="nextTo"/>
        <c:crossAx val="391876328"/>
        <c:crosses val="autoZero"/>
        <c:crossBetween val="midCat"/>
      </c:valAx>
      <c:valAx>
        <c:axId val="391876328"/>
        <c:scaling>
          <c:orientation val="minMax"/>
        </c:scaling>
        <c:axPos val="l"/>
        <c:majorGridlines/>
        <c:title>
          <c:tx>
            <c:rich>
              <a:bodyPr/>
              <a:lstStyle/>
              <a:p>
                <a:pPr>
                  <a:defRPr/>
                </a:pPr>
                <a:r>
                  <a:rPr lang="en-US"/>
                  <a:t>Turbidity (NTU)</a:t>
                </a:r>
              </a:p>
            </c:rich>
          </c:tx>
        </c:title>
        <c:numFmt formatCode="0.00" sourceLinked="1"/>
        <c:tickLblPos val="nextTo"/>
        <c:crossAx val="391887048"/>
        <c:crosses val="autoZero"/>
        <c:crossBetween val="midCat"/>
      </c:valAx>
    </c:plotArea>
    <c:plotVisOnly val="1"/>
  </c:chart>
</c:chartSpace>
</file>

<file path=xl/charts/chart1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Ukumehame Beach Park (OUB) pH</a:t>
            </a:r>
          </a:p>
        </c:rich>
      </c:tx>
    </c:title>
    <c:plotArea>
      <c:layout/>
      <c:scatterChart>
        <c:scatterStyle val="smoothMarker"/>
        <c:ser>
          <c:idx val="0"/>
          <c:order val="0"/>
          <c:tx>
            <c:strRef>
              <c:f>'Ukumehame Beach'!$I$1</c:f>
              <c:strCache>
                <c:ptCount val="1"/>
                <c:pt idx="0">
                  <c:v>pH</c:v>
                </c:pt>
              </c:strCache>
            </c:strRef>
          </c:tx>
          <c:xVal>
            <c:numRef>
              <c:f>'Ukumehame Beach'!$C$2:$C$26</c:f>
              <c:numCache>
                <c:formatCode>m/d/yy</c:formatCode>
                <c:ptCount val="25"/>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numCache>
            </c:numRef>
          </c:xVal>
          <c:yVal>
            <c:numRef>
              <c:f>'Ukumehame Beach'!$I$2:$I$26</c:f>
              <c:numCache>
                <c:formatCode>0.00</c:formatCode>
                <c:ptCount val="25"/>
                <c:pt idx="0">
                  <c:v>8.06</c:v>
                </c:pt>
                <c:pt idx="1">
                  <c:v>8.05</c:v>
                </c:pt>
                <c:pt idx="2">
                  <c:v>8.09</c:v>
                </c:pt>
                <c:pt idx="3">
                  <c:v>8.11</c:v>
                </c:pt>
                <c:pt idx="4">
                  <c:v>8.08</c:v>
                </c:pt>
                <c:pt idx="5">
                  <c:v>7.99</c:v>
                </c:pt>
                <c:pt idx="7">
                  <c:v>8.03</c:v>
                </c:pt>
                <c:pt idx="8">
                  <c:v>8.09</c:v>
                </c:pt>
                <c:pt idx="9">
                  <c:v>8.08</c:v>
                </c:pt>
                <c:pt idx="10">
                  <c:v>8.15</c:v>
                </c:pt>
                <c:pt idx="11">
                  <c:v>8.05</c:v>
                </c:pt>
                <c:pt idx="12">
                  <c:v>8.130000000000001</c:v>
                </c:pt>
                <c:pt idx="13">
                  <c:v>7.89</c:v>
                </c:pt>
                <c:pt idx="14">
                  <c:v>8.06</c:v>
                </c:pt>
                <c:pt idx="15">
                  <c:v>8.06</c:v>
                </c:pt>
                <c:pt idx="16">
                  <c:v>8.11</c:v>
                </c:pt>
                <c:pt idx="17">
                  <c:v>8.11</c:v>
                </c:pt>
                <c:pt idx="18">
                  <c:v>8.11</c:v>
                </c:pt>
                <c:pt idx="19">
                  <c:v>8.1</c:v>
                </c:pt>
                <c:pt idx="20">
                  <c:v>8.16</c:v>
                </c:pt>
                <c:pt idx="21">
                  <c:v>8.09</c:v>
                </c:pt>
                <c:pt idx="22">
                  <c:v>8.12</c:v>
                </c:pt>
                <c:pt idx="23">
                  <c:v>8.09</c:v>
                </c:pt>
                <c:pt idx="24">
                  <c:v>8.09</c:v>
                </c:pt>
              </c:numCache>
            </c:numRef>
          </c:yVal>
          <c:smooth val="1"/>
        </c:ser>
        <c:axId val="391916360"/>
        <c:axId val="391908152"/>
      </c:scatterChart>
      <c:valAx>
        <c:axId val="391916360"/>
        <c:scaling>
          <c:orientation val="minMax"/>
        </c:scaling>
        <c:axPos val="b"/>
        <c:numFmt formatCode="m/d/yy" sourceLinked="1"/>
        <c:tickLblPos val="nextTo"/>
        <c:crossAx val="391908152"/>
        <c:crosses val="autoZero"/>
        <c:crossBetween val="midCat"/>
      </c:valAx>
      <c:valAx>
        <c:axId val="391908152"/>
        <c:scaling>
          <c:orientation val="minMax"/>
          <c:max val="8.3"/>
          <c:min val="7.7"/>
        </c:scaling>
        <c:axPos val="l"/>
        <c:majorGridlines/>
        <c:title>
          <c:tx>
            <c:rich>
              <a:bodyPr/>
              <a:lstStyle/>
              <a:p>
                <a:pPr>
                  <a:defRPr/>
                </a:pPr>
                <a:r>
                  <a:rPr lang="en-US"/>
                  <a:t>pH</a:t>
                </a:r>
              </a:p>
            </c:rich>
          </c:tx>
        </c:title>
        <c:numFmt formatCode="0.00" sourceLinked="1"/>
        <c:tickLblPos val="nextTo"/>
        <c:crossAx val="391916360"/>
        <c:crosses val="autoZero"/>
        <c:crossBetween val="midCat"/>
      </c:valAx>
    </c:plotArea>
    <c:plotVisOnly val="1"/>
  </c:chart>
</c:chartSpace>
</file>

<file path=xl/charts/chart1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Ukumehame Beach Park (OUB) Temperature</a:t>
            </a:r>
          </a:p>
        </c:rich>
      </c:tx>
    </c:title>
    <c:plotArea>
      <c:layout/>
      <c:scatterChart>
        <c:scatterStyle val="smoothMarker"/>
        <c:ser>
          <c:idx val="0"/>
          <c:order val="0"/>
          <c:tx>
            <c:strRef>
              <c:f>'Ukumehame Beach'!$E$1</c:f>
              <c:strCache>
                <c:ptCount val="1"/>
                <c:pt idx="0">
                  <c:v>Temp (degrees C)</c:v>
                </c:pt>
              </c:strCache>
            </c:strRef>
          </c:tx>
          <c:xVal>
            <c:numRef>
              <c:f>'Ukumehame Beach'!$C$2:$C$22</c:f>
              <c:numCache>
                <c:formatCode>m/d/yy</c:formatCode>
                <c:ptCount val="21"/>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numCache>
            </c:numRef>
          </c:xVal>
          <c:yVal>
            <c:numRef>
              <c:f>'Ukumehame Beach'!$E$2:$E$22</c:f>
              <c:numCache>
                <c:formatCode>0.0</c:formatCode>
                <c:ptCount val="21"/>
                <c:pt idx="0">
                  <c:v>25.2</c:v>
                </c:pt>
                <c:pt idx="1">
                  <c:v>26.9</c:v>
                </c:pt>
                <c:pt idx="2">
                  <c:v>27.8</c:v>
                </c:pt>
                <c:pt idx="3">
                  <c:v>27.0</c:v>
                </c:pt>
                <c:pt idx="4">
                  <c:v>27.2</c:v>
                </c:pt>
                <c:pt idx="5">
                  <c:v>27.8</c:v>
                </c:pt>
                <c:pt idx="7">
                  <c:v>27.7</c:v>
                </c:pt>
                <c:pt idx="8">
                  <c:v>27.2</c:v>
                </c:pt>
                <c:pt idx="9">
                  <c:v>24.8</c:v>
                </c:pt>
                <c:pt idx="10">
                  <c:v>25.4</c:v>
                </c:pt>
                <c:pt idx="11">
                  <c:v>24.7</c:v>
                </c:pt>
                <c:pt idx="12">
                  <c:v>23.3</c:v>
                </c:pt>
                <c:pt idx="13">
                  <c:v>25.0</c:v>
                </c:pt>
                <c:pt idx="14">
                  <c:v>22.9</c:v>
                </c:pt>
                <c:pt idx="15">
                  <c:v>23.5</c:v>
                </c:pt>
                <c:pt idx="16">
                  <c:v>25.3</c:v>
                </c:pt>
                <c:pt idx="17">
                  <c:v>24.7</c:v>
                </c:pt>
                <c:pt idx="18">
                  <c:v>25.7</c:v>
                </c:pt>
                <c:pt idx="19">
                  <c:v>25.9</c:v>
                </c:pt>
                <c:pt idx="20">
                  <c:v>25.2</c:v>
                </c:pt>
              </c:numCache>
            </c:numRef>
          </c:yVal>
          <c:smooth val="1"/>
        </c:ser>
        <c:axId val="391969192"/>
        <c:axId val="391947944"/>
      </c:scatterChart>
      <c:valAx>
        <c:axId val="391969192"/>
        <c:scaling>
          <c:orientation val="minMax"/>
        </c:scaling>
        <c:axPos val="b"/>
        <c:numFmt formatCode="m/d/yy" sourceLinked="1"/>
        <c:tickLblPos val="nextTo"/>
        <c:crossAx val="391947944"/>
        <c:crosses val="autoZero"/>
        <c:crossBetween val="midCat"/>
      </c:valAx>
      <c:valAx>
        <c:axId val="391947944"/>
        <c:scaling>
          <c:orientation val="minMax"/>
          <c:min val="20.0"/>
        </c:scaling>
        <c:axPos val="l"/>
        <c:majorGridlines/>
        <c:title>
          <c:tx>
            <c:rich>
              <a:bodyPr/>
              <a:lstStyle/>
              <a:p>
                <a:pPr>
                  <a:defRPr/>
                </a:pPr>
                <a:r>
                  <a:rPr lang="en-US"/>
                  <a:t>Temperature (C)</a:t>
                </a:r>
              </a:p>
            </c:rich>
          </c:tx>
        </c:title>
        <c:numFmt formatCode="0.0" sourceLinked="1"/>
        <c:tickLblPos val="nextTo"/>
        <c:crossAx val="391969192"/>
        <c:crosses val="autoZero"/>
        <c:crossBetween val="midCat"/>
      </c:valAx>
    </c:plotArea>
    <c:plotVisOnly val="1"/>
  </c:chart>
</c:chartSpace>
</file>

<file path=xl/charts/chart1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Ukumehame Beach Park (OUB) Nitrogen and Silicates</a:t>
            </a:r>
          </a:p>
        </c:rich>
      </c:tx>
    </c:title>
    <c:plotArea>
      <c:layout/>
      <c:scatterChart>
        <c:scatterStyle val="smoothMarker"/>
        <c:ser>
          <c:idx val="0"/>
          <c:order val="0"/>
          <c:tx>
            <c:strRef>
              <c:f>'Ukumehame Beach'!$K$1</c:f>
              <c:strCache>
                <c:ptCount val="1"/>
                <c:pt idx="0">
                  <c:v>Total N (ug/L)</c:v>
                </c:pt>
              </c:strCache>
            </c:strRef>
          </c:tx>
          <c:xVal>
            <c:numRef>
              <c:f>'Ukumehame Beach'!$C$2:$C$20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'Ukumehame Beach'!$K$2:$K$20</c:f>
              <c:numCache>
                <c:formatCode>0.00</c:formatCode>
                <c:ptCount val="19"/>
                <c:pt idx="0">
                  <c:v>63.47</c:v>
                </c:pt>
                <c:pt idx="1">
                  <c:v>76.47</c:v>
                </c:pt>
                <c:pt idx="2">
                  <c:v>77.70400300948047</c:v>
                </c:pt>
                <c:pt idx="3">
                  <c:v>73.55385408890262</c:v>
                </c:pt>
                <c:pt idx="4">
                  <c:v>54.10434441785925</c:v>
                </c:pt>
                <c:pt idx="5">
                  <c:v>67.52215962091874</c:v>
                </c:pt>
                <c:pt idx="7">
                  <c:v>68.22708404746081</c:v>
                </c:pt>
                <c:pt idx="8">
                  <c:v>61.3201181066634</c:v>
                </c:pt>
                <c:pt idx="9">
                  <c:v>63.96672725463817</c:v>
                </c:pt>
                <c:pt idx="10">
                  <c:v>64.27383971977794</c:v>
                </c:pt>
                <c:pt idx="11">
                  <c:v>58.01346569989678</c:v>
                </c:pt>
                <c:pt idx="12">
                  <c:v>60.42526682889921</c:v>
                </c:pt>
                <c:pt idx="13">
                  <c:v>53.71465542633222</c:v>
                </c:pt>
                <c:pt idx="14">
                  <c:v>75.2340867860403</c:v>
                </c:pt>
                <c:pt idx="15">
                  <c:v>79.41351671606551</c:v>
                </c:pt>
                <c:pt idx="16">
                  <c:v>95.54341804035021</c:v>
                </c:pt>
                <c:pt idx="17">
                  <c:v>75.5650211869355</c:v>
                </c:pt>
                <c:pt idx="18">
                  <c:v>69.21727544265571</c:v>
                </c:pt>
              </c:numCache>
            </c:numRef>
          </c:yVal>
          <c:smooth val="1"/>
        </c:ser>
        <c:ser>
          <c:idx val="1"/>
          <c:order val="1"/>
          <c:tx>
            <c:strRef>
              <c:f>'Ukumehame Beach'!$O$1</c:f>
              <c:strCache>
                <c:ptCount val="1"/>
                <c:pt idx="0">
                  <c:v>NNN (ug/L)</c:v>
                </c:pt>
              </c:strCache>
            </c:strRef>
          </c:tx>
          <c:xVal>
            <c:numRef>
              <c:f>'Ukumehame Beach'!$C$2:$C$20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'Ukumehame Beach'!$O$2:$O$20</c:f>
              <c:numCache>
                <c:formatCode>0.00</c:formatCode>
                <c:ptCount val="19"/>
                <c:pt idx="0">
                  <c:v>2.64</c:v>
                </c:pt>
                <c:pt idx="1">
                  <c:v>0.12</c:v>
                </c:pt>
                <c:pt idx="2">
                  <c:v>1.87292474518955</c:v>
                </c:pt>
                <c:pt idx="3">
                  <c:v>1.087361301825198</c:v>
                </c:pt>
                <c:pt idx="4">
                  <c:v>3.157429311784647</c:v>
                </c:pt>
                <c:pt idx="5">
                  <c:v>4.39866884411564</c:v>
                </c:pt>
                <c:pt idx="7">
                  <c:v>4.859223962432444</c:v>
                </c:pt>
                <c:pt idx="8">
                  <c:v>2.933711606065374</c:v>
                </c:pt>
                <c:pt idx="9">
                  <c:v>0.689977824370238</c:v>
                </c:pt>
                <c:pt idx="10">
                  <c:v>2.456340653790825</c:v>
                </c:pt>
                <c:pt idx="11">
                  <c:v>5.781400665245485</c:v>
                </c:pt>
                <c:pt idx="12">
                  <c:v>1.676756404576373</c:v>
                </c:pt>
                <c:pt idx="13">
                  <c:v>7.378954104697362</c:v>
                </c:pt>
                <c:pt idx="14">
                  <c:v>7.866343353820602</c:v>
                </c:pt>
                <c:pt idx="15">
                  <c:v>8.47303180230712</c:v>
                </c:pt>
                <c:pt idx="16">
                  <c:v>4.297664038522591</c:v>
                </c:pt>
                <c:pt idx="17">
                  <c:v>11.68979442269023</c:v>
                </c:pt>
                <c:pt idx="18">
                  <c:v>3.196266989003214</c:v>
                </c:pt>
              </c:numCache>
            </c:numRef>
          </c:yVal>
          <c:smooth val="1"/>
        </c:ser>
        <c:ser>
          <c:idx val="2"/>
          <c:order val="2"/>
          <c:tx>
            <c:strRef>
              <c:f>'Ukumehame Beach'!#REF!</c:f>
              <c:strCache>
                <c:ptCount val="1"/>
                <c:pt idx="0">
                  <c:v>#REF!</c:v>
                </c:pt>
              </c:strCache>
            </c:strRef>
          </c:tx>
          <c:xVal>
            <c:numRef>
              <c:f>'Ukumehame Beach'!$C$2:$C$20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'Ukumehame Beach'!#REF!</c:f>
              <c:numCache>
                <c:formatCode>General</c:formatCode>
                <c:ptCount val="1"/>
                <c:pt idx="0">
                  <c:v>1.0</c:v>
                </c:pt>
              </c:numCache>
            </c:numRef>
          </c:yVal>
          <c:smooth val="1"/>
        </c:ser>
        <c:axId val="392011064"/>
        <c:axId val="392014200"/>
      </c:scatterChart>
      <c:valAx>
        <c:axId val="392011064"/>
        <c:scaling>
          <c:orientation val="minMax"/>
        </c:scaling>
        <c:axPos val="b"/>
        <c:numFmt formatCode="m/d/yy" sourceLinked="1"/>
        <c:tickLblPos val="nextTo"/>
        <c:crossAx val="392014200"/>
        <c:crosses val="autoZero"/>
        <c:crossBetween val="midCat"/>
      </c:valAx>
      <c:valAx>
        <c:axId val="392014200"/>
        <c:scaling>
          <c:orientation val="minMax"/>
        </c:scaling>
        <c:axPos val="l"/>
        <c:majorGridlines/>
        <c:numFmt formatCode="0.00" sourceLinked="1"/>
        <c:tickLblPos val="nextTo"/>
        <c:crossAx val="392011064"/>
        <c:crosses val="autoZero"/>
        <c:crossBetween val="midCat"/>
      </c:valAx>
    </c:plotArea>
    <c:legend>
      <c:legendPos val="t"/>
    </c:legend>
    <c:plotVisOnly val="1"/>
  </c:chart>
</c:chartSpace>
</file>

<file path=xl/charts/chart1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Beach Park (OPB) Turbidity</a:t>
            </a:r>
          </a:p>
        </c:rich>
      </c:tx>
    </c:title>
    <c:plotArea>
      <c:layout/>
      <c:scatterChart>
        <c:scatterStyle val="smoothMarker"/>
        <c:ser>
          <c:idx val="0"/>
          <c:order val="0"/>
          <c:tx>
            <c:strRef>
              <c:f>'Papalaua Beach Park'!$J$1</c:f>
              <c:strCache>
                <c:ptCount val="1"/>
                <c:pt idx="0">
                  <c:v>Turbidity (NTU)</c:v>
                </c:pt>
              </c:strCache>
            </c:strRef>
          </c:tx>
          <c:xVal>
            <c:numRef>
              <c:f>'Papalaua Beach Park'!$C$2:$C$22</c:f>
              <c:numCache>
                <c:formatCode>m/d/yy</c:formatCode>
                <c:ptCount val="21"/>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numCache>
            </c:numRef>
          </c:xVal>
          <c:yVal>
            <c:numRef>
              <c:f>'Papalaua Beach Park'!$J$2:$J$22</c:f>
              <c:numCache>
                <c:formatCode>0.00</c:formatCode>
                <c:ptCount val="21"/>
                <c:pt idx="0">
                  <c:v>10.71</c:v>
                </c:pt>
                <c:pt idx="1">
                  <c:v>3.37</c:v>
                </c:pt>
                <c:pt idx="2">
                  <c:v>3.96</c:v>
                </c:pt>
                <c:pt idx="3">
                  <c:v>3.736666666666666</c:v>
                </c:pt>
                <c:pt idx="4">
                  <c:v>3.813333333333333</c:v>
                </c:pt>
                <c:pt idx="5">
                  <c:v>5.75</c:v>
                </c:pt>
                <c:pt idx="6">
                  <c:v>7.536666666666666</c:v>
                </c:pt>
                <c:pt idx="7">
                  <c:v>14.4</c:v>
                </c:pt>
                <c:pt idx="8">
                  <c:v>7.300000000000001</c:v>
                </c:pt>
                <c:pt idx="9">
                  <c:v>9.5</c:v>
                </c:pt>
                <c:pt idx="10">
                  <c:v>3.716666666666666</c:v>
                </c:pt>
                <c:pt idx="11">
                  <c:v>2.966666666666667</c:v>
                </c:pt>
                <c:pt idx="12">
                  <c:v>8.653333333333334</c:v>
                </c:pt>
                <c:pt idx="13">
                  <c:v>4.05</c:v>
                </c:pt>
                <c:pt idx="14">
                  <c:v>10.10333333333333</c:v>
                </c:pt>
                <c:pt idx="15">
                  <c:v>4.536666666666666</c:v>
                </c:pt>
                <c:pt idx="16">
                  <c:v>14.16666666666667</c:v>
                </c:pt>
                <c:pt idx="17">
                  <c:v>9.093333333333333</c:v>
                </c:pt>
                <c:pt idx="18">
                  <c:v>5.91</c:v>
                </c:pt>
                <c:pt idx="19">
                  <c:v>4.08</c:v>
                </c:pt>
                <c:pt idx="20">
                  <c:v>5.851666666666666</c:v>
                </c:pt>
              </c:numCache>
            </c:numRef>
          </c:yVal>
          <c:smooth val="1"/>
        </c:ser>
        <c:axId val="390378120"/>
        <c:axId val="390356808"/>
      </c:scatterChart>
      <c:valAx>
        <c:axId val="390378120"/>
        <c:scaling>
          <c:orientation val="minMax"/>
        </c:scaling>
        <c:axPos val="b"/>
        <c:numFmt formatCode="m/d/yy" sourceLinked="1"/>
        <c:tickLblPos val="nextTo"/>
        <c:crossAx val="390356808"/>
        <c:crosses val="autoZero"/>
        <c:crossBetween val="midCat"/>
      </c:valAx>
      <c:valAx>
        <c:axId val="390356808"/>
        <c:scaling>
          <c:orientation val="minMax"/>
        </c:scaling>
        <c:axPos val="l"/>
        <c:majorGridlines/>
        <c:title>
          <c:tx>
            <c:rich>
              <a:bodyPr/>
              <a:lstStyle/>
              <a:p>
                <a:pPr>
                  <a:defRPr/>
                </a:pPr>
                <a:r>
                  <a:rPr lang="en-US"/>
                  <a:t>Turbidity (NTU)</a:t>
                </a:r>
              </a:p>
            </c:rich>
          </c:tx>
        </c:title>
        <c:numFmt formatCode="0.00" sourceLinked="1"/>
        <c:tickLblPos val="nextTo"/>
        <c:crossAx val="390378120"/>
        <c:crosses val="autoZero"/>
        <c:crossBetween val="midCat"/>
      </c:valAx>
    </c:plotArea>
    <c:plotVisOnly val="1"/>
  </c:chart>
</c:chartSpace>
</file>

<file path=xl/charts/chart1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Beach Park (OPB) pH</a:t>
            </a:r>
          </a:p>
        </c:rich>
      </c:tx>
    </c:title>
    <c:plotArea>
      <c:layout/>
      <c:scatterChart>
        <c:scatterStyle val="smoothMarker"/>
        <c:ser>
          <c:idx val="0"/>
          <c:order val="0"/>
          <c:tx>
            <c:strRef>
              <c:f>'Papalaua Beach Park'!$I$1</c:f>
              <c:strCache>
                <c:ptCount val="1"/>
                <c:pt idx="0">
                  <c:v>pH</c:v>
                </c:pt>
              </c:strCache>
            </c:strRef>
          </c:tx>
          <c:xVal>
            <c:numRef>
              <c:f>'Papalaua Beach Park'!$C$2:$C$26</c:f>
              <c:numCache>
                <c:formatCode>m/d/yy</c:formatCode>
                <c:ptCount val="25"/>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numCache>
            </c:numRef>
          </c:xVal>
          <c:yVal>
            <c:numRef>
              <c:f>'Papalaua Beach Park'!$I$2:$I$26</c:f>
              <c:numCache>
                <c:formatCode>0.00</c:formatCode>
                <c:ptCount val="25"/>
                <c:pt idx="0">
                  <c:v>8.08</c:v>
                </c:pt>
                <c:pt idx="1">
                  <c:v>8.1</c:v>
                </c:pt>
                <c:pt idx="2">
                  <c:v>8.12</c:v>
                </c:pt>
                <c:pt idx="3">
                  <c:v>8.130000000000001</c:v>
                </c:pt>
                <c:pt idx="4">
                  <c:v>8.140000000000001</c:v>
                </c:pt>
                <c:pt idx="5">
                  <c:v>8.03</c:v>
                </c:pt>
                <c:pt idx="6">
                  <c:v>8.18</c:v>
                </c:pt>
                <c:pt idx="7">
                  <c:v>8.09</c:v>
                </c:pt>
                <c:pt idx="8">
                  <c:v>8.11</c:v>
                </c:pt>
                <c:pt idx="9">
                  <c:v>8.07</c:v>
                </c:pt>
                <c:pt idx="10">
                  <c:v>8.16</c:v>
                </c:pt>
                <c:pt idx="11">
                  <c:v>8.11</c:v>
                </c:pt>
                <c:pt idx="12">
                  <c:v>8.12</c:v>
                </c:pt>
                <c:pt idx="13">
                  <c:v>8.07</c:v>
                </c:pt>
                <c:pt idx="14">
                  <c:v>8.05</c:v>
                </c:pt>
                <c:pt idx="15">
                  <c:v>8.07</c:v>
                </c:pt>
                <c:pt idx="16">
                  <c:v>8.130000000000001</c:v>
                </c:pt>
                <c:pt idx="17">
                  <c:v>8.15</c:v>
                </c:pt>
                <c:pt idx="18">
                  <c:v>8.140000000000001</c:v>
                </c:pt>
                <c:pt idx="19">
                  <c:v>8.09</c:v>
                </c:pt>
                <c:pt idx="20">
                  <c:v>8.2</c:v>
                </c:pt>
                <c:pt idx="21">
                  <c:v>8.15</c:v>
                </c:pt>
                <c:pt idx="22">
                  <c:v>8.16</c:v>
                </c:pt>
                <c:pt idx="23">
                  <c:v>8.12</c:v>
                </c:pt>
                <c:pt idx="24">
                  <c:v>8.12</c:v>
                </c:pt>
              </c:numCache>
            </c:numRef>
          </c:yVal>
          <c:smooth val="1"/>
        </c:ser>
        <c:axId val="390407976"/>
        <c:axId val="390416952"/>
      </c:scatterChart>
      <c:valAx>
        <c:axId val="390407976"/>
        <c:scaling>
          <c:orientation val="minMax"/>
        </c:scaling>
        <c:axPos val="b"/>
        <c:numFmt formatCode="m/d/yy" sourceLinked="1"/>
        <c:tickLblPos val="nextTo"/>
        <c:crossAx val="390416952"/>
        <c:crosses val="autoZero"/>
        <c:crossBetween val="midCat"/>
      </c:valAx>
      <c:valAx>
        <c:axId val="390416952"/>
        <c:scaling>
          <c:orientation val="minMax"/>
          <c:max val="8.3"/>
          <c:min val="7.7"/>
        </c:scaling>
        <c:axPos val="l"/>
        <c:majorGridlines/>
        <c:title>
          <c:tx>
            <c:rich>
              <a:bodyPr/>
              <a:lstStyle/>
              <a:p>
                <a:pPr>
                  <a:defRPr/>
                </a:pPr>
                <a:r>
                  <a:rPr lang="en-US"/>
                  <a:t>pH</a:t>
                </a:r>
              </a:p>
            </c:rich>
          </c:tx>
        </c:title>
        <c:numFmt formatCode="0.00" sourceLinked="1"/>
        <c:tickLblPos val="nextTo"/>
        <c:crossAx val="390407976"/>
        <c:crosses val="autoZero"/>
        <c:crossBetween val="midCat"/>
      </c:valAx>
    </c:plotArea>
    <c:plotVisOnly val="1"/>
  </c:chart>
</c:chartSpace>
</file>

<file path=xl/charts/chart1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Beach Park (OPB) Temperature</a:t>
            </a:r>
          </a:p>
        </c:rich>
      </c:tx>
    </c:title>
    <c:plotArea>
      <c:layout/>
      <c:scatterChart>
        <c:scatterStyle val="smoothMarker"/>
        <c:ser>
          <c:idx val="0"/>
          <c:order val="0"/>
          <c:tx>
            <c:strRef>
              <c:f>'Papalaua Beach Park'!$E$1</c:f>
              <c:strCache>
                <c:ptCount val="1"/>
                <c:pt idx="0">
                  <c:v>Temp (degrees C)</c:v>
                </c:pt>
              </c:strCache>
            </c:strRef>
          </c:tx>
          <c:xVal>
            <c:numRef>
              <c:f>'Papalaua Beach Park'!$C$2:$C$22</c:f>
              <c:numCache>
                <c:formatCode>m/d/yy</c:formatCode>
                <c:ptCount val="21"/>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numCache>
            </c:numRef>
          </c:xVal>
          <c:yVal>
            <c:numRef>
              <c:f>'Papalaua Beach Park'!$E$2:$E$22</c:f>
              <c:numCache>
                <c:formatCode>0.0</c:formatCode>
                <c:ptCount val="21"/>
                <c:pt idx="0">
                  <c:v>25.6</c:v>
                </c:pt>
                <c:pt idx="1">
                  <c:v>27.4</c:v>
                </c:pt>
                <c:pt idx="2">
                  <c:v>28.1</c:v>
                </c:pt>
                <c:pt idx="3">
                  <c:v>26.2</c:v>
                </c:pt>
                <c:pt idx="4">
                  <c:v>27.4</c:v>
                </c:pt>
                <c:pt idx="5">
                  <c:v>27.7</c:v>
                </c:pt>
                <c:pt idx="6">
                  <c:v>26.2</c:v>
                </c:pt>
                <c:pt idx="7">
                  <c:v>27.5</c:v>
                </c:pt>
                <c:pt idx="8">
                  <c:v>27.7</c:v>
                </c:pt>
                <c:pt idx="9">
                  <c:v>25.7</c:v>
                </c:pt>
                <c:pt idx="10">
                  <c:v>25.4</c:v>
                </c:pt>
                <c:pt idx="11">
                  <c:v>25.8</c:v>
                </c:pt>
                <c:pt idx="12">
                  <c:v>23.7</c:v>
                </c:pt>
                <c:pt idx="13">
                  <c:v>25.1</c:v>
                </c:pt>
                <c:pt idx="14">
                  <c:v>23.7</c:v>
                </c:pt>
                <c:pt idx="15">
                  <c:v>23.2</c:v>
                </c:pt>
                <c:pt idx="16">
                  <c:v>25.6</c:v>
                </c:pt>
                <c:pt idx="17">
                  <c:v>25.2</c:v>
                </c:pt>
                <c:pt idx="18">
                  <c:v>26.2</c:v>
                </c:pt>
                <c:pt idx="19">
                  <c:v>26.0</c:v>
                </c:pt>
                <c:pt idx="20">
                  <c:v>25.3</c:v>
                </c:pt>
              </c:numCache>
            </c:numRef>
          </c:yVal>
          <c:smooth val="1"/>
        </c:ser>
        <c:axId val="390462824"/>
        <c:axId val="390452152"/>
      </c:scatterChart>
      <c:valAx>
        <c:axId val="390462824"/>
        <c:scaling>
          <c:orientation val="minMax"/>
        </c:scaling>
        <c:axPos val="b"/>
        <c:numFmt formatCode="m/d/yy" sourceLinked="1"/>
        <c:tickLblPos val="nextTo"/>
        <c:crossAx val="390452152"/>
        <c:crosses val="autoZero"/>
        <c:crossBetween val="midCat"/>
      </c:valAx>
      <c:valAx>
        <c:axId val="390452152"/>
        <c:scaling>
          <c:orientation val="minMax"/>
          <c:min val="20.0"/>
        </c:scaling>
        <c:axPos val="l"/>
        <c:majorGridlines/>
        <c:title>
          <c:tx>
            <c:rich>
              <a:bodyPr/>
              <a:lstStyle/>
              <a:p>
                <a:pPr>
                  <a:defRPr/>
                </a:pPr>
                <a:r>
                  <a:rPr lang="en-US"/>
                  <a:t>Temperature (C)</a:t>
                </a:r>
              </a:p>
            </c:rich>
          </c:tx>
        </c:title>
        <c:numFmt formatCode="0.0" sourceLinked="1"/>
        <c:tickLblPos val="nextTo"/>
        <c:crossAx val="390462824"/>
        <c:crosses val="autoZero"/>
        <c:crossBetween val="midCat"/>
      </c:valAx>
    </c:plotArea>
    <c:plotVisOnly val="1"/>
  </c:chart>
</c:chartSpace>
</file>

<file path=xl/charts/chart1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Beach Park (OPB) Nitrogen and Silicates</a:t>
            </a:r>
          </a:p>
        </c:rich>
      </c:tx>
    </c:title>
    <c:plotArea>
      <c:layout/>
      <c:scatterChart>
        <c:scatterStyle val="smoothMarker"/>
        <c:ser>
          <c:idx val="0"/>
          <c:order val="0"/>
          <c:tx>
            <c:strRef>
              <c:f>'Papalaua Beach Park'!$K$1</c:f>
              <c:strCache>
                <c:ptCount val="1"/>
                <c:pt idx="0">
                  <c:v>Total N (ug/L)</c:v>
                </c:pt>
              </c:strCache>
            </c:strRef>
          </c:tx>
          <c:xVal>
            <c:numRef>
              <c:f>'Papalaua Beach Park'!$C$2:$C$20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'Papalaua Beach Park'!$K$2:$K$20</c:f>
              <c:numCache>
                <c:formatCode>0.00</c:formatCode>
                <c:ptCount val="19"/>
                <c:pt idx="0">
                  <c:v>66.16</c:v>
                </c:pt>
                <c:pt idx="1">
                  <c:v>75.58</c:v>
                </c:pt>
                <c:pt idx="2">
                  <c:v>64.96627363699164</c:v>
                </c:pt>
                <c:pt idx="3">
                  <c:v>72.91352057187482</c:v>
                </c:pt>
                <c:pt idx="4">
                  <c:v>51.9719076881405</c:v>
                </c:pt>
                <c:pt idx="5">
                  <c:v>83.50906955130376</c:v>
                </c:pt>
                <c:pt idx="6">
                  <c:v>64.37263488948773</c:v>
                </c:pt>
                <c:pt idx="7">
                  <c:v>67.80671627016508</c:v>
                </c:pt>
                <c:pt idx="8">
                  <c:v>57.25225146175556</c:v>
                </c:pt>
                <c:pt idx="9">
                  <c:v>68.11274553402514</c:v>
                </c:pt>
                <c:pt idx="10">
                  <c:v>62.93870173262404</c:v>
                </c:pt>
                <c:pt idx="11">
                  <c:v>60.45446845663412</c:v>
                </c:pt>
                <c:pt idx="12">
                  <c:v>63.45599221660623</c:v>
                </c:pt>
                <c:pt idx="13">
                  <c:v>62.85338495894497</c:v>
                </c:pt>
                <c:pt idx="14">
                  <c:v>76.14052156659501</c:v>
                </c:pt>
                <c:pt idx="15">
                  <c:v>75.92091654151022</c:v>
                </c:pt>
                <c:pt idx="16">
                  <c:v>74.07508639744472</c:v>
                </c:pt>
                <c:pt idx="17">
                  <c:v>65.50343726438241</c:v>
                </c:pt>
                <c:pt idx="18">
                  <c:v>71.06054010560025</c:v>
                </c:pt>
              </c:numCache>
            </c:numRef>
          </c:yVal>
          <c:smooth val="1"/>
        </c:ser>
        <c:ser>
          <c:idx val="1"/>
          <c:order val="1"/>
          <c:tx>
            <c:strRef>
              <c:f>'Papalaua Beach Park'!$O$1</c:f>
              <c:strCache>
                <c:ptCount val="1"/>
                <c:pt idx="0">
                  <c:v>NNN (ug/L)</c:v>
                </c:pt>
              </c:strCache>
            </c:strRef>
          </c:tx>
          <c:xVal>
            <c:numRef>
              <c:f>'Papalaua Beach Park'!$C$2:$C$20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'Papalaua Beach Park'!$O$2:$O$20</c:f>
              <c:numCache>
                <c:formatCode>0.00</c:formatCode>
                <c:ptCount val="19"/>
                <c:pt idx="0">
                  <c:v>2.84</c:v>
                </c:pt>
                <c:pt idx="1">
                  <c:v>3.41</c:v>
                </c:pt>
                <c:pt idx="2">
                  <c:v>3.024471378844802</c:v>
                </c:pt>
                <c:pt idx="3">
                  <c:v>1.016592183072017</c:v>
                </c:pt>
                <c:pt idx="4">
                  <c:v>2.733120720145407</c:v>
                </c:pt>
                <c:pt idx="5">
                  <c:v>5.826879663151265</c:v>
                </c:pt>
                <c:pt idx="6">
                  <c:v>3.419989217692427</c:v>
                </c:pt>
                <c:pt idx="7">
                  <c:v>4.011606563828111</c:v>
                </c:pt>
                <c:pt idx="8">
                  <c:v>3.46041027860853</c:v>
                </c:pt>
                <c:pt idx="9">
                  <c:v>4.800874950261702</c:v>
                </c:pt>
                <c:pt idx="10">
                  <c:v>2.577182777692761</c:v>
                </c:pt>
                <c:pt idx="11">
                  <c:v>8.087686903290558</c:v>
                </c:pt>
                <c:pt idx="12">
                  <c:v>7.35679914518777</c:v>
                </c:pt>
                <c:pt idx="13">
                  <c:v>18.81859858821968</c:v>
                </c:pt>
                <c:pt idx="14">
                  <c:v>6.126744305743718</c:v>
                </c:pt>
                <c:pt idx="15">
                  <c:v>7.031418139485655</c:v>
                </c:pt>
                <c:pt idx="16">
                  <c:v>8.468090538681337</c:v>
                </c:pt>
                <c:pt idx="17">
                  <c:v>5.763984019472956</c:v>
                </c:pt>
                <c:pt idx="18">
                  <c:v>3.029905362776026</c:v>
                </c:pt>
              </c:numCache>
            </c:numRef>
          </c:yVal>
          <c:smooth val="1"/>
        </c:ser>
        <c:ser>
          <c:idx val="2"/>
          <c:order val="2"/>
          <c:tx>
            <c:strRef>
              <c:f>'Papalaua Beach Park'!#REF!</c:f>
              <c:strCache>
                <c:ptCount val="1"/>
                <c:pt idx="0">
                  <c:v>#REF!</c:v>
                </c:pt>
              </c:strCache>
            </c:strRef>
          </c:tx>
          <c:xVal>
            <c:numRef>
              <c:f>'Papalaua Beach Park'!$C$2:$C$20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'Papalaua Beach Park'!#REF!</c:f>
              <c:numCache>
                <c:formatCode>General</c:formatCode>
                <c:ptCount val="1"/>
                <c:pt idx="0">
                  <c:v>1.0</c:v>
                </c:pt>
              </c:numCache>
            </c:numRef>
          </c:yVal>
          <c:smooth val="1"/>
        </c:ser>
        <c:axId val="390504744"/>
        <c:axId val="390507880"/>
      </c:scatterChart>
      <c:valAx>
        <c:axId val="390504744"/>
        <c:scaling>
          <c:orientation val="minMax"/>
        </c:scaling>
        <c:axPos val="b"/>
        <c:numFmt formatCode="m/d/yy" sourceLinked="1"/>
        <c:tickLblPos val="nextTo"/>
        <c:crossAx val="390507880"/>
        <c:crosses val="autoZero"/>
        <c:crossBetween val="midCat"/>
      </c:valAx>
      <c:valAx>
        <c:axId val="390507880"/>
        <c:scaling>
          <c:orientation val="minMax"/>
        </c:scaling>
        <c:axPos val="l"/>
        <c:majorGridlines/>
        <c:numFmt formatCode="0.00" sourceLinked="1"/>
        <c:tickLblPos val="nextTo"/>
        <c:crossAx val="390504744"/>
        <c:crosses val="autoZero"/>
        <c:crossBetween val="midCat"/>
      </c:valAx>
    </c:plotArea>
    <c:legend>
      <c:legendPos val="t"/>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Peter Martin (OLP) </a:t>
            </a:r>
          </a:p>
        </c:rich>
      </c:tx>
    </c:title>
    <c:plotArea>
      <c:layout/>
      <c:scatterChart>
        <c:scatterStyle val="smoothMarker"/>
        <c:ser>
          <c:idx val="0"/>
          <c:order val="0"/>
          <c:tx>
            <c:strRef>
              <c:f>'Peter Martin Hale'!$I$1</c:f>
              <c:strCache>
                <c:ptCount val="1"/>
                <c:pt idx="0">
                  <c:v>pH</c:v>
                </c:pt>
              </c:strCache>
            </c:strRef>
          </c:tx>
          <c:xVal>
            <c:numRef>
              <c:f>'Peter Martin Hale'!$C$2:$C$27</c:f>
              <c:numCache>
                <c:formatCode>m/d/yy</c:formatCode>
                <c:ptCount val="26"/>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numCache>
            </c:numRef>
          </c:xVal>
          <c:yVal>
            <c:numRef>
              <c:f>'Peter Martin Hale'!$I$2:$I$27</c:f>
              <c:numCache>
                <c:formatCode>0.00</c:formatCode>
                <c:ptCount val="26"/>
                <c:pt idx="2">
                  <c:v>7.99</c:v>
                </c:pt>
                <c:pt idx="3">
                  <c:v>8.03</c:v>
                </c:pt>
                <c:pt idx="4">
                  <c:v>7.96</c:v>
                </c:pt>
                <c:pt idx="5">
                  <c:v>7.95</c:v>
                </c:pt>
                <c:pt idx="6">
                  <c:v>8.15</c:v>
                </c:pt>
                <c:pt idx="7">
                  <c:v>7.93</c:v>
                </c:pt>
                <c:pt idx="8">
                  <c:v>8.0</c:v>
                </c:pt>
                <c:pt idx="9">
                  <c:v>7.93</c:v>
                </c:pt>
                <c:pt idx="10">
                  <c:v>8.04</c:v>
                </c:pt>
                <c:pt idx="11">
                  <c:v>8.07</c:v>
                </c:pt>
                <c:pt idx="12">
                  <c:v>8.02</c:v>
                </c:pt>
                <c:pt idx="13">
                  <c:v>7.82</c:v>
                </c:pt>
                <c:pt idx="14">
                  <c:v>7.83</c:v>
                </c:pt>
                <c:pt idx="15">
                  <c:v>7.9</c:v>
                </c:pt>
                <c:pt idx="16">
                  <c:v>8.02</c:v>
                </c:pt>
                <c:pt idx="17">
                  <c:v>8.05</c:v>
                </c:pt>
                <c:pt idx="18">
                  <c:v>8.02</c:v>
                </c:pt>
                <c:pt idx="19">
                  <c:v>8.04</c:v>
                </c:pt>
                <c:pt idx="20">
                  <c:v>8.06</c:v>
                </c:pt>
                <c:pt idx="21">
                  <c:v>8.0</c:v>
                </c:pt>
                <c:pt idx="22">
                  <c:v>8.4</c:v>
                </c:pt>
                <c:pt idx="23">
                  <c:v>8.0</c:v>
                </c:pt>
                <c:pt idx="24">
                  <c:v>7.94</c:v>
                </c:pt>
                <c:pt idx="25">
                  <c:v>8.03</c:v>
                </c:pt>
              </c:numCache>
            </c:numRef>
          </c:yVal>
          <c:smooth val="1"/>
        </c:ser>
        <c:axId val="307104136"/>
        <c:axId val="307126808"/>
      </c:scatterChart>
      <c:valAx>
        <c:axId val="307104136"/>
        <c:scaling>
          <c:orientation val="minMax"/>
        </c:scaling>
        <c:axPos val="b"/>
        <c:numFmt formatCode="m/d/yy" sourceLinked="1"/>
        <c:tickLblPos val="nextTo"/>
        <c:crossAx val="307126808"/>
        <c:crosses val="autoZero"/>
        <c:crossBetween val="midCat"/>
      </c:valAx>
      <c:valAx>
        <c:axId val="307126808"/>
        <c:scaling>
          <c:orientation val="minMax"/>
          <c:max val="8.3"/>
          <c:min val="7.7"/>
        </c:scaling>
        <c:axPos val="l"/>
        <c:majorGridlines/>
        <c:title>
          <c:tx>
            <c:rich>
              <a:bodyPr/>
              <a:lstStyle/>
              <a:p>
                <a:pPr>
                  <a:defRPr/>
                </a:pPr>
                <a:r>
                  <a:rPr lang="en-US"/>
                  <a:t>pH</a:t>
                </a:r>
              </a:p>
            </c:rich>
          </c:tx>
        </c:title>
        <c:numFmt formatCode="0.00" sourceLinked="1"/>
        <c:tickLblPos val="nextTo"/>
        <c:crossAx val="307104136"/>
        <c:crosses val="autoZero"/>
        <c:crossBetween val="midCat"/>
      </c:valAx>
    </c:plotArea>
    <c:plotVisOnly val="1"/>
  </c:chart>
</c:chartSpace>
</file>

<file path=xl/charts/chart2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Pali (OPP) Turbidity</a:t>
            </a:r>
          </a:p>
        </c:rich>
      </c:tx>
    </c:title>
    <c:plotArea>
      <c:layout/>
      <c:scatterChart>
        <c:scatterStyle val="smoothMarker"/>
        <c:ser>
          <c:idx val="0"/>
          <c:order val="0"/>
          <c:tx>
            <c:strRef>
              <c:f>'Papalaua Pali'!$J$1</c:f>
              <c:strCache>
                <c:ptCount val="1"/>
                <c:pt idx="0">
                  <c:v>Turbidity (NTU)</c:v>
                </c:pt>
              </c:strCache>
            </c:strRef>
          </c:tx>
          <c:xVal>
            <c:numRef>
              <c:f>'Papalaua Pali'!$C$2:$C$22</c:f>
              <c:numCache>
                <c:formatCode>m/d/yy</c:formatCode>
                <c:ptCount val="21"/>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numCache>
            </c:numRef>
          </c:xVal>
          <c:yVal>
            <c:numRef>
              <c:f>'Papalaua Pali'!$J$2:$J$22</c:f>
              <c:numCache>
                <c:formatCode>0.00</c:formatCode>
                <c:ptCount val="21"/>
                <c:pt idx="0">
                  <c:v>5.37</c:v>
                </c:pt>
                <c:pt idx="1">
                  <c:v>4.54</c:v>
                </c:pt>
                <c:pt idx="2">
                  <c:v>2.41</c:v>
                </c:pt>
                <c:pt idx="3">
                  <c:v>1.663333333333333</c:v>
                </c:pt>
                <c:pt idx="4">
                  <c:v>2.333333333333333</c:v>
                </c:pt>
                <c:pt idx="5">
                  <c:v>2.966666666666667</c:v>
                </c:pt>
                <c:pt idx="7">
                  <c:v>13.03333333333333</c:v>
                </c:pt>
                <c:pt idx="8">
                  <c:v>4.066666666666667</c:v>
                </c:pt>
                <c:pt idx="9">
                  <c:v>4.376666666666665</c:v>
                </c:pt>
                <c:pt idx="10">
                  <c:v>3.556666666666667</c:v>
                </c:pt>
                <c:pt idx="11">
                  <c:v>2.33</c:v>
                </c:pt>
                <c:pt idx="12">
                  <c:v>5.37</c:v>
                </c:pt>
                <c:pt idx="13">
                  <c:v>5.166666666666667</c:v>
                </c:pt>
                <c:pt idx="14">
                  <c:v>8.69</c:v>
                </c:pt>
                <c:pt idx="15">
                  <c:v>3.876666666666667</c:v>
                </c:pt>
                <c:pt idx="16">
                  <c:v>3.7</c:v>
                </c:pt>
                <c:pt idx="17">
                  <c:v>6.89</c:v>
                </c:pt>
                <c:pt idx="18">
                  <c:v>3.959999999999999</c:v>
                </c:pt>
                <c:pt idx="19">
                  <c:v>5.306666666666666</c:v>
                </c:pt>
                <c:pt idx="20">
                  <c:v>3.506666666666666</c:v>
                </c:pt>
              </c:numCache>
            </c:numRef>
          </c:yVal>
          <c:smooth val="1"/>
        </c:ser>
        <c:axId val="392100104"/>
        <c:axId val="392089416"/>
      </c:scatterChart>
      <c:valAx>
        <c:axId val="392100104"/>
        <c:scaling>
          <c:orientation val="minMax"/>
        </c:scaling>
        <c:axPos val="b"/>
        <c:numFmt formatCode="m/d/yy" sourceLinked="1"/>
        <c:tickLblPos val="nextTo"/>
        <c:crossAx val="392089416"/>
        <c:crosses val="autoZero"/>
        <c:crossBetween val="midCat"/>
      </c:valAx>
      <c:valAx>
        <c:axId val="392089416"/>
        <c:scaling>
          <c:orientation val="minMax"/>
        </c:scaling>
        <c:axPos val="l"/>
        <c:majorGridlines/>
        <c:title>
          <c:tx>
            <c:rich>
              <a:bodyPr/>
              <a:lstStyle/>
              <a:p>
                <a:pPr>
                  <a:defRPr/>
                </a:pPr>
                <a:r>
                  <a:rPr lang="en-US"/>
                  <a:t>Turbidity (NTU)</a:t>
                </a:r>
              </a:p>
            </c:rich>
          </c:tx>
        </c:title>
        <c:numFmt formatCode="0.00" sourceLinked="1"/>
        <c:tickLblPos val="nextTo"/>
        <c:crossAx val="392100104"/>
        <c:crosses val="autoZero"/>
        <c:crossBetween val="midCat"/>
      </c:valAx>
    </c:plotArea>
    <c:plotVisOnly val="1"/>
  </c:chart>
</c:chartSpace>
</file>

<file path=xl/charts/chart2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Pali (OPP) pH</a:t>
            </a:r>
          </a:p>
        </c:rich>
      </c:tx>
    </c:title>
    <c:plotArea>
      <c:layout/>
      <c:scatterChart>
        <c:scatterStyle val="smoothMarker"/>
        <c:ser>
          <c:idx val="0"/>
          <c:order val="0"/>
          <c:tx>
            <c:strRef>
              <c:f>'Papalaua Pali'!$I$1</c:f>
              <c:strCache>
                <c:ptCount val="1"/>
                <c:pt idx="0">
                  <c:v>pH</c:v>
                </c:pt>
              </c:strCache>
            </c:strRef>
          </c:tx>
          <c:xVal>
            <c:numRef>
              <c:f>'Papalaua Pali'!$C$2:$C$26</c:f>
              <c:numCache>
                <c:formatCode>m/d/yy</c:formatCode>
                <c:ptCount val="25"/>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numCache>
            </c:numRef>
          </c:xVal>
          <c:yVal>
            <c:numRef>
              <c:f>'Papalaua Pali'!$I$2:$I$26</c:f>
              <c:numCache>
                <c:formatCode>0.00</c:formatCode>
                <c:ptCount val="25"/>
                <c:pt idx="0">
                  <c:v>8.07</c:v>
                </c:pt>
                <c:pt idx="1">
                  <c:v>8.07</c:v>
                </c:pt>
                <c:pt idx="2">
                  <c:v>8.05</c:v>
                </c:pt>
                <c:pt idx="3">
                  <c:v>8.11</c:v>
                </c:pt>
                <c:pt idx="4">
                  <c:v>8.140000000000001</c:v>
                </c:pt>
                <c:pt idx="5">
                  <c:v>8.05</c:v>
                </c:pt>
                <c:pt idx="7">
                  <c:v>8.03</c:v>
                </c:pt>
                <c:pt idx="8">
                  <c:v>8.1</c:v>
                </c:pt>
                <c:pt idx="9">
                  <c:v>8.09</c:v>
                </c:pt>
                <c:pt idx="10">
                  <c:v>8.17</c:v>
                </c:pt>
                <c:pt idx="11">
                  <c:v>8.06</c:v>
                </c:pt>
                <c:pt idx="12">
                  <c:v>8.11</c:v>
                </c:pt>
                <c:pt idx="13">
                  <c:v>7.97</c:v>
                </c:pt>
                <c:pt idx="14">
                  <c:v>8.04</c:v>
                </c:pt>
                <c:pt idx="15">
                  <c:v>8.08</c:v>
                </c:pt>
                <c:pt idx="16">
                  <c:v>8.15</c:v>
                </c:pt>
                <c:pt idx="17">
                  <c:v>8.140000000000001</c:v>
                </c:pt>
                <c:pt idx="18">
                  <c:v>8.130000000000001</c:v>
                </c:pt>
                <c:pt idx="19">
                  <c:v>8.11</c:v>
                </c:pt>
                <c:pt idx="20">
                  <c:v>8.2</c:v>
                </c:pt>
                <c:pt idx="21">
                  <c:v>8.16</c:v>
                </c:pt>
                <c:pt idx="22">
                  <c:v>8.130000000000001</c:v>
                </c:pt>
                <c:pt idx="23">
                  <c:v>8.130000000000001</c:v>
                </c:pt>
                <c:pt idx="24">
                  <c:v>8.1</c:v>
                </c:pt>
              </c:numCache>
            </c:numRef>
          </c:yVal>
          <c:smooth val="1"/>
        </c:ser>
        <c:axId val="392129640"/>
        <c:axId val="392121432"/>
      </c:scatterChart>
      <c:valAx>
        <c:axId val="392129640"/>
        <c:scaling>
          <c:orientation val="minMax"/>
        </c:scaling>
        <c:axPos val="b"/>
        <c:numFmt formatCode="m/d/yy" sourceLinked="1"/>
        <c:tickLblPos val="nextTo"/>
        <c:crossAx val="392121432"/>
        <c:crosses val="autoZero"/>
        <c:crossBetween val="midCat"/>
      </c:valAx>
      <c:valAx>
        <c:axId val="392121432"/>
        <c:scaling>
          <c:orientation val="minMax"/>
          <c:max val="8.3"/>
          <c:min val="7.7"/>
        </c:scaling>
        <c:axPos val="l"/>
        <c:majorGridlines/>
        <c:title>
          <c:tx>
            <c:rich>
              <a:bodyPr/>
              <a:lstStyle/>
              <a:p>
                <a:pPr>
                  <a:defRPr/>
                </a:pPr>
                <a:r>
                  <a:rPr lang="en-US"/>
                  <a:t>pH</a:t>
                </a:r>
              </a:p>
            </c:rich>
          </c:tx>
        </c:title>
        <c:numFmt formatCode="0.00" sourceLinked="1"/>
        <c:tickLblPos val="nextTo"/>
        <c:crossAx val="392129640"/>
        <c:crosses val="autoZero"/>
        <c:crossBetween val="midCat"/>
      </c:valAx>
    </c:plotArea>
    <c:plotVisOnly val="1"/>
  </c:chart>
</c:chartSpace>
</file>

<file path=xl/charts/chart2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Pali (OPP) Temperature</a:t>
            </a:r>
          </a:p>
        </c:rich>
      </c:tx>
    </c:title>
    <c:plotArea>
      <c:layout/>
      <c:scatterChart>
        <c:scatterStyle val="smoothMarker"/>
        <c:ser>
          <c:idx val="0"/>
          <c:order val="0"/>
          <c:tx>
            <c:strRef>
              <c:f>'Papalaua Pali'!$E$1</c:f>
              <c:strCache>
                <c:ptCount val="1"/>
                <c:pt idx="0">
                  <c:v>Temp (degrees C)</c:v>
                </c:pt>
              </c:strCache>
            </c:strRef>
          </c:tx>
          <c:xVal>
            <c:numRef>
              <c:f>'Papalaua Pali'!$C$2:$C$31</c:f>
              <c:numCache>
                <c:formatCode>m/d/yy</c:formatCode>
                <c:ptCount val="30"/>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pt idx="26">
                  <c:v>42992.0</c:v>
                </c:pt>
                <c:pt idx="27">
                  <c:v>43013.0</c:v>
                </c:pt>
                <c:pt idx="28">
                  <c:v>43034.0</c:v>
                </c:pt>
                <c:pt idx="29">
                  <c:v>43055.0</c:v>
                </c:pt>
              </c:numCache>
            </c:numRef>
          </c:xVal>
          <c:yVal>
            <c:numRef>
              <c:f>'Papalaua Pali'!$E$2:$E$31</c:f>
              <c:numCache>
                <c:formatCode>0.0</c:formatCode>
                <c:ptCount val="30"/>
                <c:pt idx="0">
                  <c:v>26.0</c:v>
                </c:pt>
                <c:pt idx="1">
                  <c:v>27.7</c:v>
                </c:pt>
                <c:pt idx="2">
                  <c:v>28.4</c:v>
                </c:pt>
                <c:pt idx="3">
                  <c:v>26.8</c:v>
                </c:pt>
                <c:pt idx="4">
                  <c:v>27.3</c:v>
                </c:pt>
                <c:pt idx="5">
                  <c:v>27.9</c:v>
                </c:pt>
                <c:pt idx="7">
                  <c:v>27.6</c:v>
                </c:pt>
                <c:pt idx="8">
                  <c:v>28.1</c:v>
                </c:pt>
                <c:pt idx="9">
                  <c:v>26.0</c:v>
                </c:pt>
                <c:pt idx="10">
                  <c:v>25.7</c:v>
                </c:pt>
                <c:pt idx="11">
                  <c:v>25.7</c:v>
                </c:pt>
                <c:pt idx="12">
                  <c:v>24.2</c:v>
                </c:pt>
                <c:pt idx="13">
                  <c:v>25.3</c:v>
                </c:pt>
                <c:pt idx="14">
                  <c:v>24.3</c:v>
                </c:pt>
                <c:pt idx="15">
                  <c:v>23.5</c:v>
                </c:pt>
                <c:pt idx="16">
                  <c:v>25.5</c:v>
                </c:pt>
                <c:pt idx="17">
                  <c:v>25.4</c:v>
                </c:pt>
                <c:pt idx="18">
                  <c:v>26.5</c:v>
                </c:pt>
                <c:pt idx="19">
                  <c:v>26.7</c:v>
                </c:pt>
                <c:pt idx="20">
                  <c:v>25.1</c:v>
                </c:pt>
                <c:pt idx="21">
                  <c:v>25.8</c:v>
                </c:pt>
                <c:pt idx="22">
                  <c:v>26.1</c:v>
                </c:pt>
                <c:pt idx="23">
                  <c:v>26.7</c:v>
                </c:pt>
                <c:pt idx="24">
                  <c:v>28.1</c:v>
                </c:pt>
                <c:pt idx="25">
                  <c:v>26.1</c:v>
                </c:pt>
                <c:pt idx="26">
                  <c:v>28.5</c:v>
                </c:pt>
                <c:pt idx="27">
                  <c:v>26.3</c:v>
                </c:pt>
                <c:pt idx="28">
                  <c:v>27.0</c:v>
                </c:pt>
                <c:pt idx="29">
                  <c:v>25.0</c:v>
                </c:pt>
              </c:numCache>
            </c:numRef>
          </c:yVal>
          <c:smooth val="1"/>
        </c:ser>
        <c:axId val="446713544"/>
        <c:axId val="446722392"/>
      </c:scatterChart>
      <c:valAx>
        <c:axId val="446713544"/>
        <c:scaling>
          <c:orientation val="minMax"/>
        </c:scaling>
        <c:axPos val="b"/>
        <c:numFmt formatCode="m/d/yy" sourceLinked="1"/>
        <c:tickLblPos val="nextTo"/>
        <c:crossAx val="446722392"/>
        <c:crosses val="autoZero"/>
        <c:crossBetween val="midCat"/>
      </c:valAx>
      <c:valAx>
        <c:axId val="446722392"/>
        <c:scaling>
          <c:orientation val="minMax"/>
          <c:min val="20.0"/>
        </c:scaling>
        <c:axPos val="l"/>
        <c:majorGridlines/>
        <c:title>
          <c:tx>
            <c:rich>
              <a:bodyPr/>
              <a:lstStyle/>
              <a:p>
                <a:pPr>
                  <a:defRPr/>
                </a:pPr>
                <a:r>
                  <a:rPr lang="en-US"/>
                  <a:t>Temperature (C)</a:t>
                </a:r>
              </a:p>
            </c:rich>
          </c:tx>
        </c:title>
        <c:numFmt formatCode="0.0" sourceLinked="1"/>
        <c:tickLblPos val="nextTo"/>
        <c:crossAx val="446713544"/>
        <c:crosses val="autoZero"/>
        <c:crossBetween val="midCat"/>
      </c:valAx>
    </c:plotArea>
    <c:plotVisOnly val="1"/>
  </c:chart>
</c:chartSpace>
</file>

<file path=xl/charts/chart2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Papalaua Pali (OPP) Nitrogen and Silicates</a:t>
            </a:r>
          </a:p>
        </c:rich>
      </c:tx>
    </c:title>
    <c:plotArea>
      <c:layout/>
      <c:scatterChart>
        <c:scatterStyle val="smoothMarker"/>
        <c:ser>
          <c:idx val="0"/>
          <c:order val="0"/>
          <c:tx>
            <c:strRef>
              <c:f>'Papalaua Pali'!$K$1</c:f>
              <c:strCache>
                <c:ptCount val="1"/>
                <c:pt idx="0">
                  <c:v>Total N (ug/L)</c:v>
                </c:pt>
              </c:strCache>
            </c:strRef>
          </c:tx>
          <c:xVal>
            <c:numRef>
              <c:f>'Papalaua Pali'!$C$2:$C$20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'Papalaua Pali'!$K$3:$K$20</c:f>
              <c:numCache>
                <c:formatCode>0.00</c:formatCode>
                <c:ptCount val="18"/>
                <c:pt idx="0">
                  <c:v>60.96</c:v>
                </c:pt>
                <c:pt idx="1">
                  <c:v>59.6775993451211</c:v>
                </c:pt>
                <c:pt idx="2">
                  <c:v>71.57675461829248</c:v>
                </c:pt>
                <c:pt idx="3">
                  <c:v>50.55412543000316</c:v>
                </c:pt>
                <c:pt idx="4">
                  <c:v>59.45756549341466</c:v>
                </c:pt>
                <c:pt idx="6">
                  <c:v>69.15836035408518</c:v>
                </c:pt>
                <c:pt idx="7">
                  <c:v>55.66778830117937</c:v>
                </c:pt>
                <c:pt idx="8">
                  <c:v>64.65465917655125</c:v>
                </c:pt>
                <c:pt idx="9">
                  <c:v>58.91165607843744</c:v>
                </c:pt>
                <c:pt idx="10">
                  <c:v>59.46243531658077</c:v>
                </c:pt>
                <c:pt idx="11">
                  <c:v>57.89080056900386</c:v>
                </c:pt>
                <c:pt idx="12">
                  <c:v>59.82317464023653</c:v>
                </c:pt>
                <c:pt idx="13">
                  <c:v>72.55203318878256</c:v>
                </c:pt>
                <c:pt idx="14">
                  <c:v>72.52483036141585</c:v>
                </c:pt>
                <c:pt idx="15">
                  <c:v>76.7292212451206</c:v>
                </c:pt>
                <c:pt idx="16">
                  <c:v>65.0872206632696</c:v>
                </c:pt>
                <c:pt idx="17">
                  <c:v>63.57044877680974</c:v>
                </c:pt>
              </c:numCache>
            </c:numRef>
          </c:yVal>
          <c:smooth val="1"/>
        </c:ser>
        <c:ser>
          <c:idx val="1"/>
          <c:order val="1"/>
          <c:tx>
            <c:strRef>
              <c:f>'Papalaua Pali'!$O$1</c:f>
              <c:strCache>
                <c:ptCount val="1"/>
                <c:pt idx="0">
                  <c:v>NNN (ug/L)</c:v>
                </c:pt>
              </c:strCache>
            </c:strRef>
          </c:tx>
          <c:xVal>
            <c:numRef>
              <c:f>'Papalaua Pali'!$C$2:$C$20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'Papalaua Pali'!$O$3:$O$20</c:f>
              <c:numCache>
                <c:formatCode>0.00</c:formatCode>
                <c:ptCount val="18"/>
                <c:pt idx="0">
                  <c:v>0.41</c:v>
                </c:pt>
                <c:pt idx="1">
                  <c:v>1.303797290360983</c:v>
                </c:pt>
                <c:pt idx="2">
                  <c:v>1.965146687062029</c:v>
                </c:pt>
                <c:pt idx="3">
                  <c:v>3.055365893795749</c:v>
                </c:pt>
                <c:pt idx="4">
                  <c:v>4.223510913479195</c:v>
                </c:pt>
                <c:pt idx="6">
                  <c:v>8.822937693478145</c:v>
                </c:pt>
                <c:pt idx="7">
                  <c:v>2.527051235636705</c:v>
                </c:pt>
                <c:pt idx="8">
                  <c:v>2.369369945823515</c:v>
                </c:pt>
                <c:pt idx="9">
                  <c:v>2.311797787028253</c:v>
                </c:pt>
                <c:pt idx="10">
                  <c:v>6.709724445697886</c:v>
                </c:pt>
                <c:pt idx="11">
                  <c:v>2.603961324958954</c:v>
                </c:pt>
                <c:pt idx="12">
                  <c:v>16.61339391325265</c:v>
                </c:pt>
                <c:pt idx="13">
                  <c:v>9.06836956746298</c:v>
                </c:pt>
                <c:pt idx="14">
                  <c:v>2.243333686104345</c:v>
                </c:pt>
                <c:pt idx="15">
                  <c:v>10.4050658799873</c:v>
                </c:pt>
                <c:pt idx="16">
                  <c:v>6.274169488834793</c:v>
                </c:pt>
                <c:pt idx="17">
                  <c:v>1.903129809251452</c:v>
                </c:pt>
              </c:numCache>
            </c:numRef>
          </c:yVal>
          <c:smooth val="1"/>
        </c:ser>
        <c:axId val="446771192"/>
        <c:axId val="446774280"/>
      </c:scatterChart>
      <c:scatterChart>
        <c:scatterStyle val="smoothMarker"/>
        <c:ser>
          <c:idx val="2"/>
          <c:order val="2"/>
          <c:tx>
            <c:strRef>
              <c:f>'Papalaua Pali'!#REF!</c:f>
              <c:strCache>
                <c:ptCount val="1"/>
                <c:pt idx="0">
                  <c:v>#REF!</c:v>
                </c:pt>
              </c:strCache>
            </c:strRef>
          </c:tx>
          <c:xVal>
            <c:numRef>
              <c:f>'Papalaua Pali'!$C$2:$C$20</c:f>
              <c:numCache>
                <c:formatCode>m/d/yy</c:formatCode>
                <c:ptCount val="1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numCache>
            </c:numRef>
          </c:xVal>
          <c:yVal>
            <c:numRef>
              <c:f>'Papalaua Pali'!#REF!</c:f>
              <c:numCache>
                <c:formatCode>General</c:formatCode>
                <c:ptCount val="1"/>
                <c:pt idx="0">
                  <c:v>1.0</c:v>
                </c:pt>
              </c:numCache>
            </c:numRef>
          </c:yVal>
          <c:smooth val="1"/>
        </c:ser>
        <c:axId val="446780680"/>
        <c:axId val="446777672"/>
      </c:scatterChart>
      <c:valAx>
        <c:axId val="446771192"/>
        <c:scaling>
          <c:orientation val="minMax"/>
        </c:scaling>
        <c:axPos val="b"/>
        <c:numFmt formatCode="m/d/yy" sourceLinked="1"/>
        <c:tickLblPos val="nextTo"/>
        <c:crossAx val="446774280"/>
        <c:crosses val="autoZero"/>
        <c:crossBetween val="midCat"/>
      </c:valAx>
      <c:valAx>
        <c:axId val="446774280"/>
        <c:scaling>
          <c:orientation val="minMax"/>
        </c:scaling>
        <c:axPos val="l"/>
        <c:majorGridlines/>
        <c:numFmt formatCode="0.00" sourceLinked="1"/>
        <c:tickLblPos val="nextTo"/>
        <c:crossAx val="446771192"/>
        <c:crosses val="autoZero"/>
        <c:crossBetween val="midCat"/>
      </c:valAx>
      <c:valAx>
        <c:axId val="446777672"/>
        <c:scaling>
          <c:orientation val="minMax"/>
        </c:scaling>
        <c:axPos val="r"/>
        <c:numFmt formatCode="General" sourceLinked="1"/>
        <c:tickLblPos val="nextTo"/>
        <c:crossAx val="446780680"/>
        <c:crosses val="max"/>
        <c:crossBetween val="midCat"/>
      </c:valAx>
      <c:valAx>
        <c:axId val="446780680"/>
        <c:scaling>
          <c:orientation val="minMax"/>
        </c:scaling>
        <c:delete val="1"/>
        <c:axPos val="b"/>
        <c:numFmt formatCode="m/d/yy" sourceLinked="1"/>
        <c:tickLblPos val="nextTo"/>
        <c:crossAx val="446777672"/>
        <c:crosses val="autoZero"/>
        <c:crossBetween val="midCat"/>
      </c:valAx>
    </c:plotArea>
    <c:legend>
      <c:legendPos val="t"/>
    </c:legend>
    <c:plotVisOnly val="1"/>
  </c:chart>
</c:chartSpace>
</file>

<file path=xl/charts/chart3.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Peter Martin (OPM) </a:t>
            </a:r>
          </a:p>
        </c:rich>
      </c:tx>
    </c:title>
    <c:plotArea>
      <c:layout/>
      <c:scatterChart>
        <c:scatterStyle val="smoothMarker"/>
        <c:ser>
          <c:idx val="0"/>
          <c:order val="0"/>
          <c:xVal>
            <c:numRef>
              <c:f>'Peter Martin Hale'!$C$4:$C$31</c:f>
              <c:numCache>
                <c:formatCode>m/d/yy</c:formatCode>
                <c:ptCount val="28"/>
                <c:pt idx="0">
                  <c:v>42565.0</c:v>
                </c:pt>
                <c:pt idx="1">
                  <c:v>42579.0</c:v>
                </c:pt>
                <c:pt idx="2">
                  <c:v>42593.0</c:v>
                </c:pt>
                <c:pt idx="3">
                  <c:v>42607.0</c:v>
                </c:pt>
                <c:pt idx="4">
                  <c:v>42621.0</c:v>
                </c:pt>
                <c:pt idx="5">
                  <c:v>42635.0</c:v>
                </c:pt>
                <c:pt idx="6">
                  <c:v>42649.0</c:v>
                </c:pt>
                <c:pt idx="7">
                  <c:v>42663.0</c:v>
                </c:pt>
                <c:pt idx="8">
                  <c:v>42677.0</c:v>
                </c:pt>
                <c:pt idx="9">
                  <c:v>42691.0</c:v>
                </c:pt>
                <c:pt idx="10">
                  <c:v>42705.0</c:v>
                </c:pt>
                <c:pt idx="11">
                  <c:v>42719.0</c:v>
                </c:pt>
                <c:pt idx="12">
                  <c:v>42740.0</c:v>
                </c:pt>
                <c:pt idx="13">
                  <c:v>42761.0</c:v>
                </c:pt>
                <c:pt idx="14">
                  <c:v>42783.0</c:v>
                </c:pt>
                <c:pt idx="15">
                  <c:v>42803.0</c:v>
                </c:pt>
                <c:pt idx="16">
                  <c:v>42824.0</c:v>
                </c:pt>
                <c:pt idx="17">
                  <c:v>42845.0</c:v>
                </c:pt>
                <c:pt idx="18">
                  <c:v>42866.0</c:v>
                </c:pt>
                <c:pt idx="19">
                  <c:v>42887.0</c:v>
                </c:pt>
                <c:pt idx="20">
                  <c:v>42908.0</c:v>
                </c:pt>
                <c:pt idx="21">
                  <c:v>42929.0</c:v>
                </c:pt>
                <c:pt idx="22">
                  <c:v>42950.0</c:v>
                </c:pt>
                <c:pt idx="23">
                  <c:v>42971.0</c:v>
                </c:pt>
                <c:pt idx="24">
                  <c:v>42992.0</c:v>
                </c:pt>
                <c:pt idx="25">
                  <c:v>43013.0</c:v>
                </c:pt>
                <c:pt idx="26">
                  <c:v>43034.0</c:v>
                </c:pt>
                <c:pt idx="27">
                  <c:v>43055.0</c:v>
                </c:pt>
              </c:numCache>
            </c:numRef>
          </c:xVal>
          <c:yVal>
            <c:numRef>
              <c:f>'Peter Martin Hale'!$E$4:$E$31</c:f>
              <c:numCache>
                <c:formatCode>0.0</c:formatCode>
                <c:ptCount val="28"/>
                <c:pt idx="0">
                  <c:v>27.0</c:v>
                </c:pt>
                <c:pt idx="1">
                  <c:v>26.3</c:v>
                </c:pt>
                <c:pt idx="2">
                  <c:v>26.6</c:v>
                </c:pt>
                <c:pt idx="3">
                  <c:v>27.3</c:v>
                </c:pt>
                <c:pt idx="4">
                  <c:v>26.7</c:v>
                </c:pt>
                <c:pt idx="5">
                  <c:v>27.1</c:v>
                </c:pt>
                <c:pt idx="6">
                  <c:v>26.7</c:v>
                </c:pt>
                <c:pt idx="7">
                  <c:v>25.7</c:v>
                </c:pt>
                <c:pt idx="8">
                  <c:v>24.9</c:v>
                </c:pt>
                <c:pt idx="9">
                  <c:v>24.7</c:v>
                </c:pt>
                <c:pt idx="10">
                  <c:v>22.9</c:v>
                </c:pt>
                <c:pt idx="11">
                  <c:v>23.4</c:v>
                </c:pt>
                <c:pt idx="12">
                  <c:v>22.8</c:v>
                </c:pt>
                <c:pt idx="13">
                  <c:v>22.5</c:v>
                </c:pt>
                <c:pt idx="14">
                  <c:v>24.8</c:v>
                </c:pt>
                <c:pt idx="15">
                  <c:v>24.5</c:v>
                </c:pt>
                <c:pt idx="16">
                  <c:v>25.0</c:v>
                </c:pt>
                <c:pt idx="17">
                  <c:v>25.7</c:v>
                </c:pt>
                <c:pt idx="18">
                  <c:v>24.6</c:v>
                </c:pt>
                <c:pt idx="19">
                  <c:v>25.0</c:v>
                </c:pt>
                <c:pt idx="20">
                  <c:v>26.1</c:v>
                </c:pt>
                <c:pt idx="21">
                  <c:v>26.6</c:v>
                </c:pt>
                <c:pt idx="22">
                  <c:v>27.0</c:v>
                </c:pt>
                <c:pt idx="23">
                  <c:v>25.3</c:v>
                </c:pt>
                <c:pt idx="24">
                  <c:v>27.6</c:v>
                </c:pt>
                <c:pt idx="25">
                  <c:v>26.0</c:v>
                </c:pt>
                <c:pt idx="26">
                  <c:v>26.0</c:v>
                </c:pt>
                <c:pt idx="27">
                  <c:v>23.8</c:v>
                </c:pt>
              </c:numCache>
            </c:numRef>
          </c:yVal>
          <c:smooth val="1"/>
        </c:ser>
        <c:axId val="307072760"/>
        <c:axId val="307070904"/>
      </c:scatterChart>
      <c:valAx>
        <c:axId val="307072760"/>
        <c:scaling>
          <c:orientation val="minMax"/>
        </c:scaling>
        <c:axPos val="b"/>
        <c:numFmt formatCode="m/d/yy" sourceLinked="1"/>
        <c:tickLblPos val="nextTo"/>
        <c:crossAx val="307070904"/>
        <c:crosses val="autoZero"/>
        <c:crossBetween val="midCat"/>
      </c:valAx>
      <c:valAx>
        <c:axId val="307070904"/>
        <c:scaling>
          <c:orientation val="minMax"/>
          <c:max val="29.0"/>
          <c:min val="22.0"/>
        </c:scaling>
        <c:axPos val="l"/>
        <c:majorGridlines/>
        <c:title>
          <c:tx>
            <c:rich>
              <a:bodyPr/>
              <a:lstStyle/>
              <a:p>
                <a:pPr>
                  <a:defRPr/>
                </a:pPr>
                <a:r>
                  <a:rPr lang="en-US"/>
                  <a:t>Temperature (C)</a:t>
                </a:r>
              </a:p>
            </c:rich>
          </c:tx>
        </c:title>
        <c:numFmt formatCode="0.0" sourceLinked="1"/>
        <c:tickLblPos val="nextTo"/>
        <c:crossAx val="307072760"/>
        <c:crosses val="autoZero"/>
        <c:crossBetween val="midCat"/>
      </c:valAx>
    </c:plotArea>
    <c:plotVisOnly val="1"/>
  </c:chart>
</c:chartSpace>
</file>

<file path=xl/charts/chart4.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Camp Olowalu (OCO) </a:t>
            </a:r>
          </a:p>
        </c:rich>
      </c:tx>
    </c:title>
    <c:plotArea>
      <c:layout/>
      <c:scatterChart>
        <c:scatterStyle val="smoothMarker"/>
        <c:ser>
          <c:idx val="0"/>
          <c:order val="0"/>
          <c:tx>
            <c:strRef>
              <c:f>'Camp Olowalu'!$J$1</c:f>
              <c:strCache>
                <c:ptCount val="1"/>
                <c:pt idx="0">
                  <c:v>Turbidity (NTU)</c:v>
                </c:pt>
              </c:strCache>
            </c:strRef>
          </c:tx>
          <c:xVal>
            <c:numRef>
              <c:f>'Camp Olowalu'!$C$2:$C$30</c:f>
              <c:numCache>
                <c:formatCode>m/d/yy</c:formatCode>
                <c:ptCount val="2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pt idx="26">
                  <c:v>42992.0</c:v>
                </c:pt>
                <c:pt idx="27">
                  <c:v>43013.0</c:v>
                </c:pt>
                <c:pt idx="28">
                  <c:v>43034.0</c:v>
                </c:pt>
              </c:numCache>
            </c:numRef>
          </c:xVal>
          <c:yVal>
            <c:numRef>
              <c:f>'Camp Olowalu'!$J$2:$J$30</c:f>
              <c:numCache>
                <c:formatCode>0.00</c:formatCode>
                <c:ptCount val="29"/>
                <c:pt idx="0">
                  <c:v>23.3</c:v>
                </c:pt>
                <c:pt idx="1">
                  <c:v>7.4</c:v>
                </c:pt>
                <c:pt idx="2">
                  <c:v>22.8</c:v>
                </c:pt>
                <c:pt idx="3">
                  <c:v>12.43333333333333</c:v>
                </c:pt>
                <c:pt idx="4">
                  <c:v>3.276666666666666</c:v>
                </c:pt>
                <c:pt idx="5">
                  <c:v>2.676666666666667</c:v>
                </c:pt>
                <c:pt idx="6">
                  <c:v>34.6</c:v>
                </c:pt>
                <c:pt idx="7">
                  <c:v>26.06666666666667</c:v>
                </c:pt>
                <c:pt idx="8">
                  <c:v>9.11</c:v>
                </c:pt>
                <c:pt idx="9">
                  <c:v>2.54</c:v>
                </c:pt>
                <c:pt idx="10">
                  <c:v>1.276666666666667</c:v>
                </c:pt>
                <c:pt idx="11">
                  <c:v>0.686666666666667</c:v>
                </c:pt>
                <c:pt idx="12">
                  <c:v>3.666666666666666</c:v>
                </c:pt>
                <c:pt idx="13">
                  <c:v>1.52</c:v>
                </c:pt>
                <c:pt idx="14">
                  <c:v>7.993333333333333</c:v>
                </c:pt>
                <c:pt idx="15">
                  <c:v>2.443333333333333</c:v>
                </c:pt>
                <c:pt idx="16">
                  <c:v>2.63</c:v>
                </c:pt>
                <c:pt idx="17">
                  <c:v>4.603333333333333</c:v>
                </c:pt>
                <c:pt idx="18">
                  <c:v>7.74</c:v>
                </c:pt>
                <c:pt idx="19">
                  <c:v>13.33333333333333</c:v>
                </c:pt>
                <c:pt idx="20">
                  <c:v>1.853333333333333</c:v>
                </c:pt>
                <c:pt idx="21">
                  <c:v>5.85</c:v>
                </c:pt>
                <c:pt idx="22">
                  <c:v>15.0</c:v>
                </c:pt>
                <c:pt idx="23">
                  <c:v>2.533333333333333</c:v>
                </c:pt>
                <c:pt idx="24">
                  <c:v>6.29</c:v>
                </c:pt>
                <c:pt idx="25">
                  <c:v>3.53</c:v>
                </c:pt>
                <c:pt idx="26">
                  <c:v>4.596666666666667</c:v>
                </c:pt>
                <c:pt idx="27">
                  <c:v>6.84</c:v>
                </c:pt>
                <c:pt idx="28">
                  <c:v>4.753333333333332</c:v>
                </c:pt>
              </c:numCache>
            </c:numRef>
          </c:yVal>
          <c:smooth val="1"/>
        </c:ser>
        <c:axId val="391410776"/>
        <c:axId val="391419656"/>
      </c:scatterChart>
      <c:valAx>
        <c:axId val="391410776"/>
        <c:scaling>
          <c:orientation val="minMax"/>
        </c:scaling>
        <c:axPos val="b"/>
        <c:numFmt formatCode="m/d/yy" sourceLinked="1"/>
        <c:tickLblPos val="nextTo"/>
        <c:crossAx val="391419656"/>
        <c:crosses val="autoZero"/>
        <c:crossBetween val="midCat"/>
      </c:valAx>
      <c:valAx>
        <c:axId val="391419656"/>
        <c:scaling>
          <c:orientation val="minMax"/>
        </c:scaling>
        <c:axPos val="l"/>
        <c:majorGridlines/>
        <c:title>
          <c:tx>
            <c:rich>
              <a:bodyPr/>
              <a:lstStyle/>
              <a:p>
                <a:pPr>
                  <a:defRPr/>
                </a:pPr>
                <a:r>
                  <a:rPr lang="en-US"/>
                  <a:t>Turbidity (NTU)</a:t>
                </a:r>
              </a:p>
            </c:rich>
          </c:tx>
        </c:title>
        <c:numFmt formatCode="0.00" sourceLinked="1"/>
        <c:tickLblPos val="nextTo"/>
        <c:crossAx val="391410776"/>
        <c:crosses val="autoZero"/>
        <c:crossBetween val="midCat"/>
      </c:valAx>
    </c:plotArea>
    <c:plotVisOnly val="1"/>
  </c:chart>
</c:chartSpace>
</file>

<file path=xl/charts/chart5.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Camp Olowalu (OCO) </a:t>
            </a:r>
          </a:p>
        </c:rich>
      </c:tx>
    </c:title>
    <c:plotArea>
      <c:layout/>
      <c:scatterChart>
        <c:scatterStyle val="smoothMarker"/>
        <c:ser>
          <c:idx val="0"/>
          <c:order val="0"/>
          <c:tx>
            <c:strRef>
              <c:f>'Camp Olowalu'!$I$1</c:f>
              <c:strCache>
                <c:ptCount val="1"/>
                <c:pt idx="0">
                  <c:v>pH</c:v>
                </c:pt>
              </c:strCache>
            </c:strRef>
          </c:tx>
          <c:xVal>
            <c:numRef>
              <c:f>'Camp Olowalu'!$C$2:$C$27</c:f>
              <c:numCache>
                <c:formatCode>m/d/yy</c:formatCode>
                <c:ptCount val="26"/>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numCache>
            </c:numRef>
          </c:xVal>
          <c:yVal>
            <c:numRef>
              <c:f>'Camp Olowalu'!$I$2:$I$27</c:f>
              <c:numCache>
                <c:formatCode>0.00</c:formatCode>
                <c:ptCount val="26"/>
                <c:pt idx="0">
                  <c:v>7.96</c:v>
                </c:pt>
                <c:pt idx="1">
                  <c:v>8.01</c:v>
                </c:pt>
                <c:pt idx="2">
                  <c:v>8.02</c:v>
                </c:pt>
                <c:pt idx="3">
                  <c:v>8.05</c:v>
                </c:pt>
                <c:pt idx="4">
                  <c:v>8.06</c:v>
                </c:pt>
                <c:pt idx="5">
                  <c:v>7.99</c:v>
                </c:pt>
                <c:pt idx="6">
                  <c:v>8.12</c:v>
                </c:pt>
                <c:pt idx="7">
                  <c:v>7.86</c:v>
                </c:pt>
                <c:pt idx="8">
                  <c:v>8.06</c:v>
                </c:pt>
                <c:pt idx="9">
                  <c:v>8.01</c:v>
                </c:pt>
                <c:pt idx="10">
                  <c:v>8.11</c:v>
                </c:pt>
                <c:pt idx="11">
                  <c:v>8.05</c:v>
                </c:pt>
                <c:pt idx="12">
                  <c:v>8.06</c:v>
                </c:pt>
                <c:pt idx="13">
                  <c:v>7.85</c:v>
                </c:pt>
                <c:pt idx="14">
                  <c:v>7.87</c:v>
                </c:pt>
                <c:pt idx="15">
                  <c:v>8.02</c:v>
                </c:pt>
                <c:pt idx="16">
                  <c:v>8.08</c:v>
                </c:pt>
                <c:pt idx="17">
                  <c:v>8.09</c:v>
                </c:pt>
                <c:pt idx="18">
                  <c:v>8.08</c:v>
                </c:pt>
                <c:pt idx="19">
                  <c:v>8.09</c:v>
                </c:pt>
                <c:pt idx="20">
                  <c:v>8.11</c:v>
                </c:pt>
                <c:pt idx="21">
                  <c:v>8.09</c:v>
                </c:pt>
                <c:pt idx="22">
                  <c:v>8.2</c:v>
                </c:pt>
                <c:pt idx="23">
                  <c:v>8.08</c:v>
                </c:pt>
                <c:pt idx="24">
                  <c:v>8.04</c:v>
                </c:pt>
                <c:pt idx="25">
                  <c:v>8.07</c:v>
                </c:pt>
              </c:numCache>
            </c:numRef>
          </c:yVal>
          <c:smooth val="1"/>
        </c:ser>
        <c:axId val="391454360"/>
        <c:axId val="391463192"/>
      </c:scatterChart>
      <c:valAx>
        <c:axId val="391454360"/>
        <c:scaling>
          <c:orientation val="minMax"/>
        </c:scaling>
        <c:axPos val="b"/>
        <c:numFmt formatCode="m/d/yy" sourceLinked="1"/>
        <c:tickLblPos val="nextTo"/>
        <c:crossAx val="391463192"/>
        <c:crosses val="autoZero"/>
        <c:crossBetween val="midCat"/>
      </c:valAx>
      <c:valAx>
        <c:axId val="391463192"/>
        <c:scaling>
          <c:orientation val="minMax"/>
          <c:max val="8.3"/>
          <c:min val="7.7"/>
        </c:scaling>
        <c:axPos val="l"/>
        <c:majorGridlines/>
        <c:title>
          <c:tx>
            <c:rich>
              <a:bodyPr/>
              <a:lstStyle/>
              <a:p>
                <a:pPr>
                  <a:defRPr/>
                </a:pPr>
                <a:r>
                  <a:rPr lang="en-US"/>
                  <a:t>pH</a:t>
                </a:r>
              </a:p>
            </c:rich>
          </c:tx>
        </c:title>
        <c:numFmt formatCode="0.00" sourceLinked="1"/>
        <c:tickLblPos val="nextTo"/>
        <c:crossAx val="391454360"/>
        <c:crosses val="autoZero"/>
        <c:crossBetween val="midCat"/>
      </c:valAx>
    </c:plotArea>
    <c:plotVisOnly val="1"/>
  </c:chart>
</c:chartSpace>
</file>

<file path=xl/charts/chart6.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Temperature Camp Olowalu (OCO) </a:t>
            </a:r>
          </a:p>
        </c:rich>
      </c:tx>
    </c:title>
    <c:plotArea>
      <c:layout/>
      <c:scatterChart>
        <c:scatterStyle val="smoothMarker"/>
        <c:ser>
          <c:idx val="0"/>
          <c:order val="0"/>
          <c:tx>
            <c:strRef>
              <c:f>'Camp Olowalu'!$E$1</c:f>
              <c:strCache>
                <c:ptCount val="1"/>
                <c:pt idx="0">
                  <c:v>Temp (degrees C)</c:v>
                </c:pt>
              </c:strCache>
            </c:strRef>
          </c:tx>
          <c:xVal>
            <c:numRef>
              <c:f>'Camp Olowalu'!$C$2:$C$27</c:f>
              <c:numCache>
                <c:formatCode>m/d/yy</c:formatCode>
                <c:ptCount val="26"/>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numCache>
            </c:numRef>
          </c:xVal>
          <c:yVal>
            <c:numRef>
              <c:f>'Camp Olowalu'!$E$2:$E$27</c:f>
              <c:numCache>
                <c:formatCode>0.0</c:formatCode>
                <c:ptCount val="26"/>
                <c:pt idx="0">
                  <c:v>25.3</c:v>
                </c:pt>
                <c:pt idx="1">
                  <c:v>27.7</c:v>
                </c:pt>
                <c:pt idx="2">
                  <c:v>28.2</c:v>
                </c:pt>
                <c:pt idx="3">
                  <c:v>26.6</c:v>
                </c:pt>
                <c:pt idx="4">
                  <c:v>27.2</c:v>
                </c:pt>
                <c:pt idx="5">
                  <c:v>28.2</c:v>
                </c:pt>
                <c:pt idx="6">
                  <c:v>25.8</c:v>
                </c:pt>
                <c:pt idx="7">
                  <c:v>26.6</c:v>
                </c:pt>
                <c:pt idx="8">
                  <c:v>26.8</c:v>
                </c:pt>
                <c:pt idx="9">
                  <c:v>25.7</c:v>
                </c:pt>
                <c:pt idx="10">
                  <c:v>25.1</c:v>
                </c:pt>
                <c:pt idx="11">
                  <c:v>25.0</c:v>
                </c:pt>
                <c:pt idx="12">
                  <c:v>23.5</c:v>
                </c:pt>
                <c:pt idx="13">
                  <c:v>24.8</c:v>
                </c:pt>
                <c:pt idx="14">
                  <c:v>23.3</c:v>
                </c:pt>
                <c:pt idx="15">
                  <c:v>22.6</c:v>
                </c:pt>
                <c:pt idx="16">
                  <c:v>25.6</c:v>
                </c:pt>
                <c:pt idx="17">
                  <c:v>25.4</c:v>
                </c:pt>
                <c:pt idx="18">
                  <c:v>26.0</c:v>
                </c:pt>
                <c:pt idx="19">
                  <c:v>27.1</c:v>
                </c:pt>
                <c:pt idx="20">
                  <c:v>25.1</c:v>
                </c:pt>
                <c:pt idx="21">
                  <c:v>25.8</c:v>
                </c:pt>
                <c:pt idx="22">
                  <c:v>26.0</c:v>
                </c:pt>
                <c:pt idx="23">
                  <c:v>26.9</c:v>
                </c:pt>
                <c:pt idx="24">
                  <c:v>27.8</c:v>
                </c:pt>
                <c:pt idx="25">
                  <c:v>25.8</c:v>
                </c:pt>
              </c:numCache>
            </c:numRef>
          </c:yVal>
          <c:smooth val="1"/>
        </c:ser>
        <c:axId val="391495912"/>
        <c:axId val="391504920"/>
      </c:scatterChart>
      <c:valAx>
        <c:axId val="391495912"/>
        <c:scaling>
          <c:orientation val="minMax"/>
        </c:scaling>
        <c:axPos val="b"/>
        <c:numFmt formatCode="m/d/yy" sourceLinked="1"/>
        <c:tickLblPos val="nextTo"/>
        <c:crossAx val="391504920"/>
        <c:crosses val="autoZero"/>
        <c:crossBetween val="midCat"/>
      </c:valAx>
      <c:valAx>
        <c:axId val="391504920"/>
        <c:scaling>
          <c:orientation val="minMax"/>
          <c:max val="29.0"/>
          <c:min val="22.0"/>
        </c:scaling>
        <c:axPos val="l"/>
        <c:majorGridlines/>
        <c:title>
          <c:tx>
            <c:rich>
              <a:bodyPr/>
              <a:lstStyle/>
              <a:p>
                <a:pPr>
                  <a:defRPr/>
                </a:pPr>
                <a:r>
                  <a:rPr lang="en-US"/>
                  <a:t>Temperature (C)</a:t>
                </a:r>
              </a:p>
            </c:rich>
          </c:tx>
        </c:title>
        <c:numFmt formatCode="0.0" sourceLinked="1"/>
        <c:tickLblPos val="nextTo"/>
        <c:crossAx val="391495912"/>
        <c:crosses val="autoZero"/>
        <c:crossBetween val="midCat"/>
      </c:valAx>
    </c:plotArea>
    <c:plotVisOnly val="1"/>
  </c:chart>
</c:chartSpace>
</file>

<file path=xl/charts/chart7.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Nitrogen and Silicates Camp Olowalu (OCO) </a:t>
            </a:r>
          </a:p>
        </c:rich>
      </c:tx>
    </c:title>
    <c:plotArea>
      <c:layout/>
      <c:scatterChart>
        <c:scatterStyle val="smoothMarker"/>
        <c:ser>
          <c:idx val="0"/>
          <c:order val="0"/>
          <c:tx>
            <c:strRef>
              <c:f>'Camp Olowalu'!$K$1</c:f>
              <c:strCache>
                <c:ptCount val="1"/>
                <c:pt idx="0">
                  <c:v>Total N (ug/L)</c:v>
                </c:pt>
              </c:strCache>
            </c:strRef>
          </c:tx>
          <c:xVal>
            <c:numRef>
              <c:f>'Camp Olowalu'!$C$2:$C$23</c:f>
              <c:numCache>
                <c:formatCode>m/d/yy</c:formatCode>
                <c:ptCount val="22"/>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numCache>
            </c:numRef>
          </c:xVal>
          <c:yVal>
            <c:numRef>
              <c:f>'Camp Olowalu'!$K$2:$K$23</c:f>
              <c:numCache>
                <c:formatCode>0.00</c:formatCode>
                <c:ptCount val="22"/>
                <c:pt idx="0">
                  <c:v>78.22</c:v>
                </c:pt>
                <c:pt idx="1">
                  <c:v>84.09</c:v>
                </c:pt>
                <c:pt idx="2">
                  <c:v>67.2186301777521</c:v>
                </c:pt>
                <c:pt idx="3">
                  <c:v>64.43558936623793</c:v>
                </c:pt>
                <c:pt idx="4">
                  <c:v>48.57153560561601</c:v>
                </c:pt>
                <c:pt idx="5">
                  <c:v>66.51327695540901</c:v>
                </c:pt>
                <c:pt idx="6">
                  <c:v>92.15571137044809</c:v>
                </c:pt>
                <c:pt idx="7">
                  <c:v>62.80757331863288</c:v>
                </c:pt>
                <c:pt idx="8">
                  <c:v>61.4882652175817</c:v>
                </c:pt>
                <c:pt idx="9">
                  <c:v>61.11672357814104</c:v>
                </c:pt>
                <c:pt idx="10">
                  <c:v>58.50626762445295</c:v>
                </c:pt>
                <c:pt idx="11">
                  <c:v>62.8173110265794</c:v>
                </c:pt>
                <c:pt idx="12">
                  <c:v>61.55366555999481</c:v>
                </c:pt>
                <c:pt idx="13">
                  <c:v>60.62281347434015</c:v>
                </c:pt>
                <c:pt idx="14">
                  <c:v>77.66780208725567</c:v>
                </c:pt>
                <c:pt idx="15">
                  <c:v>76.54825750550633</c:v>
                </c:pt>
                <c:pt idx="16">
                  <c:v>99.69351980217067</c:v>
                </c:pt>
                <c:pt idx="17">
                  <c:v>89.82496386853948</c:v>
                </c:pt>
                <c:pt idx="18">
                  <c:v>62.04902397564916</c:v>
                </c:pt>
                <c:pt idx="19">
                  <c:v>92.19376908317677</c:v>
                </c:pt>
                <c:pt idx="20">
                  <c:v>64.66250323410335</c:v>
                </c:pt>
                <c:pt idx="21">
                  <c:v>62.0989385369169</c:v>
                </c:pt>
              </c:numCache>
            </c:numRef>
          </c:yVal>
          <c:smooth val="1"/>
        </c:ser>
        <c:ser>
          <c:idx val="1"/>
          <c:order val="1"/>
          <c:tx>
            <c:strRef>
              <c:f>'Camp Olowalu'!$O$1</c:f>
              <c:strCache>
                <c:ptCount val="1"/>
                <c:pt idx="0">
                  <c:v>NNN (ug/L)</c:v>
                </c:pt>
              </c:strCache>
            </c:strRef>
          </c:tx>
          <c:xVal>
            <c:numRef>
              <c:f>'Camp Olowalu'!$C$2:$C$23</c:f>
              <c:numCache>
                <c:formatCode>m/d/yy</c:formatCode>
                <c:ptCount val="22"/>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numCache>
            </c:numRef>
          </c:xVal>
          <c:yVal>
            <c:numRef>
              <c:f>'Camp Olowalu'!$O$2:$O$23</c:f>
              <c:numCache>
                <c:formatCode>0.00</c:formatCode>
                <c:ptCount val="22"/>
                <c:pt idx="0">
                  <c:v>5.91</c:v>
                </c:pt>
                <c:pt idx="1">
                  <c:v>1.74</c:v>
                </c:pt>
                <c:pt idx="2">
                  <c:v>1.493506441970505</c:v>
                </c:pt>
                <c:pt idx="3">
                  <c:v>1.646064870929263</c:v>
                </c:pt>
                <c:pt idx="4">
                  <c:v>2.441838605884957</c:v>
                </c:pt>
                <c:pt idx="5">
                  <c:v>5.162994359620125</c:v>
                </c:pt>
                <c:pt idx="6">
                  <c:v>4.711013405740068</c:v>
                </c:pt>
                <c:pt idx="7">
                  <c:v>4.442764546933206</c:v>
                </c:pt>
                <c:pt idx="8">
                  <c:v>3.228907838816305</c:v>
                </c:pt>
                <c:pt idx="9">
                  <c:v>1.504562624345752</c:v>
                </c:pt>
                <c:pt idx="10">
                  <c:v>3.920143414649079</c:v>
                </c:pt>
                <c:pt idx="11">
                  <c:v>6.75619872757285</c:v>
                </c:pt>
                <c:pt idx="12">
                  <c:v>5.076507779312502</c:v>
                </c:pt>
                <c:pt idx="13">
                  <c:v>14.94031976575396</c:v>
                </c:pt>
                <c:pt idx="14">
                  <c:v>12.58207026789722</c:v>
                </c:pt>
                <c:pt idx="15">
                  <c:v>6.342111863689275</c:v>
                </c:pt>
                <c:pt idx="16">
                  <c:v>7.094419250714357</c:v>
                </c:pt>
                <c:pt idx="17">
                  <c:v>8.36555931844639</c:v>
                </c:pt>
                <c:pt idx="18">
                  <c:v>3.856994015153749</c:v>
                </c:pt>
                <c:pt idx="19">
                  <c:v>4.96146315041111</c:v>
                </c:pt>
                <c:pt idx="20">
                  <c:v>5.270570353869991</c:v>
                </c:pt>
                <c:pt idx="21">
                  <c:v>8.705998790956979</c:v>
                </c:pt>
              </c:numCache>
            </c:numRef>
          </c:yVal>
          <c:smooth val="1"/>
        </c:ser>
        <c:axId val="391552744"/>
        <c:axId val="391559592"/>
      </c:scatterChart>
      <c:scatterChart>
        <c:scatterStyle val="smoothMarker"/>
        <c:ser>
          <c:idx val="2"/>
          <c:order val="2"/>
          <c:tx>
            <c:strRef>
              <c:f>'Camp Olowalu'!#REF!</c:f>
              <c:strCache>
                <c:ptCount val="1"/>
                <c:pt idx="0">
                  <c:v>#REF!</c:v>
                </c:pt>
              </c:strCache>
            </c:strRef>
          </c:tx>
          <c:xVal>
            <c:numRef>
              <c:f>'Camp Olowalu'!$C$2:$C$23</c:f>
              <c:numCache>
                <c:formatCode>m/d/yy</c:formatCode>
                <c:ptCount val="22"/>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numCache>
            </c:numRef>
          </c:xVal>
          <c:yVal>
            <c:numRef>
              <c:f>'Camp Olowalu'!#REF!</c:f>
              <c:numCache>
                <c:formatCode>General</c:formatCode>
                <c:ptCount val="1"/>
                <c:pt idx="0">
                  <c:v>1.0</c:v>
                </c:pt>
              </c:numCache>
            </c:numRef>
          </c:yVal>
          <c:smooth val="1"/>
        </c:ser>
        <c:axId val="391571720"/>
        <c:axId val="391565576"/>
      </c:scatterChart>
      <c:valAx>
        <c:axId val="391552744"/>
        <c:scaling>
          <c:orientation val="minMax"/>
        </c:scaling>
        <c:axPos val="b"/>
        <c:numFmt formatCode="m/d/yy" sourceLinked="1"/>
        <c:tickLblPos val="nextTo"/>
        <c:crossAx val="391559592"/>
        <c:crosses val="autoZero"/>
        <c:crossBetween val="midCat"/>
      </c:valAx>
      <c:valAx>
        <c:axId val="391559592"/>
        <c:scaling>
          <c:orientation val="minMax"/>
        </c:scaling>
        <c:axPos val="l"/>
        <c:majorGridlines/>
        <c:title>
          <c:tx>
            <c:rich>
              <a:bodyPr/>
              <a:lstStyle/>
              <a:p>
                <a:pPr>
                  <a:defRPr/>
                </a:pPr>
                <a:r>
                  <a:rPr lang="en-US"/>
                  <a:t>Nitrogen (ug/L)</a:t>
                </a:r>
              </a:p>
            </c:rich>
          </c:tx>
        </c:title>
        <c:numFmt formatCode="0.00" sourceLinked="1"/>
        <c:tickLblPos val="nextTo"/>
        <c:crossAx val="391552744"/>
        <c:crosses val="autoZero"/>
        <c:crossBetween val="midCat"/>
      </c:valAx>
      <c:valAx>
        <c:axId val="391565576"/>
        <c:scaling>
          <c:orientation val="minMax"/>
        </c:scaling>
        <c:axPos val="r"/>
        <c:title>
          <c:tx>
            <c:rich>
              <a:bodyPr/>
              <a:lstStyle/>
              <a:p>
                <a:pPr>
                  <a:defRPr/>
                </a:pPr>
                <a:r>
                  <a:rPr lang="en-US"/>
                  <a:t>Silicates (ug/L)</a:t>
                </a:r>
              </a:p>
            </c:rich>
          </c:tx>
        </c:title>
        <c:numFmt formatCode="General" sourceLinked="1"/>
        <c:tickLblPos val="nextTo"/>
        <c:crossAx val="391571720"/>
        <c:crosses val="max"/>
        <c:crossBetween val="midCat"/>
      </c:valAx>
      <c:valAx>
        <c:axId val="391571720"/>
        <c:scaling>
          <c:orientation val="minMax"/>
        </c:scaling>
        <c:delete val="1"/>
        <c:axPos val="b"/>
        <c:numFmt formatCode="m/d/yy" sourceLinked="1"/>
        <c:tickLblPos val="nextTo"/>
        <c:crossAx val="391565576"/>
        <c:crosses val="autoZero"/>
        <c:crossBetween val="midCat"/>
      </c:valAx>
    </c:plotArea>
    <c:legend>
      <c:legendPos val="t"/>
    </c:legend>
    <c:plotVisOnly val="1"/>
  </c:chart>
</c:chartSpace>
</file>

<file path=xl/charts/chart8.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Turbidity Mile Marker 14 (OMM) </a:t>
            </a:r>
          </a:p>
        </c:rich>
      </c:tx>
      <c:layout/>
    </c:title>
    <c:plotArea>
      <c:layout/>
      <c:scatterChart>
        <c:scatterStyle val="smoothMarker"/>
        <c:ser>
          <c:idx val="0"/>
          <c:order val="0"/>
          <c:tx>
            <c:strRef>
              <c:f>'Mile Marker 14'!$J$1</c:f>
              <c:strCache>
                <c:ptCount val="1"/>
                <c:pt idx="0">
                  <c:v>Turbidity (NTU)</c:v>
                </c:pt>
              </c:strCache>
            </c:strRef>
          </c:tx>
          <c:xVal>
            <c:numRef>
              <c:f>'Mile Marker 14'!$C$2:$C$30</c:f>
              <c:numCache>
                <c:formatCode>m/d/yy</c:formatCode>
                <c:ptCount val="29"/>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pt idx="26">
                  <c:v>42992.0</c:v>
                </c:pt>
                <c:pt idx="27">
                  <c:v>43013.0</c:v>
                </c:pt>
                <c:pt idx="28">
                  <c:v>43034.0</c:v>
                </c:pt>
              </c:numCache>
            </c:numRef>
          </c:xVal>
          <c:yVal>
            <c:numRef>
              <c:f>'Mile Marker 14'!$J$2:$J$30</c:f>
              <c:numCache>
                <c:formatCode>0.00</c:formatCode>
                <c:ptCount val="29"/>
                <c:pt idx="0">
                  <c:v>5.48</c:v>
                </c:pt>
                <c:pt idx="1">
                  <c:v>2.61</c:v>
                </c:pt>
                <c:pt idx="2">
                  <c:v>4.21</c:v>
                </c:pt>
                <c:pt idx="3">
                  <c:v>3.176666666666666</c:v>
                </c:pt>
                <c:pt idx="4">
                  <c:v>5.87</c:v>
                </c:pt>
                <c:pt idx="5">
                  <c:v>3.626666666666666</c:v>
                </c:pt>
                <c:pt idx="6">
                  <c:v>9.39</c:v>
                </c:pt>
                <c:pt idx="7">
                  <c:v>13.8</c:v>
                </c:pt>
                <c:pt idx="8">
                  <c:v>6.72</c:v>
                </c:pt>
                <c:pt idx="9">
                  <c:v>5.466666666666665</c:v>
                </c:pt>
                <c:pt idx="10">
                  <c:v>3.246666666666667</c:v>
                </c:pt>
                <c:pt idx="11">
                  <c:v>4.276666666666666</c:v>
                </c:pt>
                <c:pt idx="12">
                  <c:v>4.516666666666666</c:v>
                </c:pt>
                <c:pt idx="13">
                  <c:v>1.75</c:v>
                </c:pt>
                <c:pt idx="14">
                  <c:v>5.833333333333332</c:v>
                </c:pt>
                <c:pt idx="15">
                  <c:v>2.846666666666666</c:v>
                </c:pt>
                <c:pt idx="16">
                  <c:v>2.14</c:v>
                </c:pt>
                <c:pt idx="17">
                  <c:v>2.38</c:v>
                </c:pt>
                <c:pt idx="18">
                  <c:v>6.343333333333333</c:v>
                </c:pt>
                <c:pt idx="19">
                  <c:v>12.6</c:v>
                </c:pt>
                <c:pt idx="20">
                  <c:v>2.22</c:v>
                </c:pt>
                <c:pt idx="21">
                  <c:v>4.066666666666666</c:v>
                </c:pt>
                <c:pt idx="22">
                  <c:v>5.006666666666666</c:v>
                </c:pt>
                <c:pt idx="23">
                  <c:v>3.77</c:v>
                </c:pt>
                <c:pt idx="24">
                  <c:v>3.556666666666667</c:v>
                </c:pt>
                <c:pt idx="25">
                  <c:v>4.133333333333333</c:v>
                </c:pt>
                <c:pt idx="26">
                  <c:v>3.943333333333333</c:v>
                </c:pt>
                <c:pt idx="27">
                  <c:v>7.856666666666666</c:v>
                </c:pt>
                <c:pt idx="28">
                  <c:v>5.253333333333332</c:v>
                </c:pt>
              </c:numCache>
            </c:numRef>
          </c:yVal>
          <c:smooth val="1"/>
        </c:ser>
        <c:axId val="391648216"/>
        <c:axId val="391657032"/>
      </c:scatterChart>
      <c:valAx>
        <c:axId val="391648216"/>
        <c:scaling>
          <c:orientation val="minMax"/>
        </c:scaling>
        <c:axPos val="b"/>
        <c:numFmt formatCode="m/d/yy" sourceLinked="1"/>
        <c:tickLblPos val="nextTo"/>
        <c:crossAx val="391657032"/>
        <c:crosses val="autoZero"/>
        <c:crossBetween val="midCat"/>
      </c:valAx>
      <c:valAx>
        <c:axId val="391657032"/>
        <c:scaling>
          <c:orientation val="minMax"/>
          <c:max val="40.0"/>
          <c:min val="0.0"/>
        </c:scaling>
        <c:axPos val="l"/>
        <c:majorGridlines/>
        <c:title>
          <c:tx>
            <c:rich>
              <a:bodyPr/>
              <a:lstStyle/>
              <a:p>
                <a:pPr>
                  <a:defRPr/>
                </a:pPr>
                <a:r>
                  <a:rPr lang="en-US"/>
                  <a:t>Turbidity (NTU)</a:t>
                </a:r>
              </a:p>
            </c:rich>
          </c:tx>
          <c:layout/>
        </c:title>
        <c:numFmt formatCode="0.00" sourceLinked="1"/>
        <c:tickLblPos val="nextTo"/>
        <c:crossAx val="391648216"/>
        <c:crosses val="autoZero"/>
        <c:crossBetween val="midCat"/>
      </c:valAx>
    </c:plotArea>
    <c:plotVisOnly val="1"/>
  </c:chart>
</c:chartSpace>
</file>

<file path=xl/charts/chart9.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pH Mile Marker 14 (OMM) </a:t>
            </a:r>
          </a:p>
        </c:rich>
      </c:tx>
    </c:title>
    <c:plotArea>
      <c:layout/>
      <c:scatterChart>
        <c:scatterStyle val="smoothMarker"/>
        <c:ser>
          <c:idx val="0"/>
          <c:order val="0"/>
          <c:tx>
            <c:strRef>
              <c:f>'Mile Marker 14'!$I$1</c:f>
              <c:strCache>
                <c:ptCount val="1"/>
                <c:pt idx="0">
                  <c:v>pH</c:v>
                </c:pt>
              </c:strCache>
            </c:strRef>
          </c:tx>
          <c:xVal>
            <c:numRef>
              <c:f>'Mile Marker 14'!$C$2:$C$27</c:f>
              <c:numCache>
                <c:formatCode>m/d/yy</c:formatCode>
                <c:ptCount val="26"/>
                <c:pt idx="0">
                  <c:v>42537.0</c:v>
                </c:pt>
                <c:pt idx="1">
                  <c:v>42551.0</c:v>
                </c:pt>
                <c:pt idx="2">
                  <c:v>42565.0</c:v>
                </c:pt>
                <c:pt idx="3">
                  <c:v>42579.0</c:v>
                </c:pt>
                <c:pt idx="4">
                  <c:v>42593.0</c:v>
                </c:pt>
                <c:pt idx="5">
                  <c:v>42607.0</c:v>
                </c:pt>
                <c:pt idx="6">
                  <c:v>42621.0</c:v>
                </c:pt>
                <c:pt idx="7">
                  <c:v>42635.0</c:v>
                </c:pt>
                <c:pt idx="8">
                  <c:v>42649.0</c:v>
                </c:pt>
                <c:pt idx="9">
                  <c:v>42663.0</c:v>
                </c:pt>
                <c:pt idx="10">
                  <c:v>42677.0</c:v>
                </c:pt>
                <c:pt idx="11">
                  <c:v>42691.0</c:v>
                </c:pt>
                <c:pt idx="12">
                  <c:v>42705.0</c:v>
                </c:pt>
                <c:pt idx="13">
                  <c:v>42719.0</c:v>
                </c:pt>
                <c:pt idx="14">
                  <c:v>42740.0</c:v>
                </c:pt>
                <c:pt idx="15">
                  <c:v>42761.0</c:v>
                </c:pt>
                <c:pt idx="16">
                  <c:v>42783.0</c:v>
                </c:pt>
                <c:pt idx="17">
                  <c:v>42803.0</c:v>
                </c:pt>
                <c:pt idx="18">
                  <c:v>42824.0</c:v>
                </c:pt>
                <c:pt idx="19">
                  <c:v>42845.0</c:v>
                </c:pt>
                <c:pt idx="20">
                  <c:v>42866.0</c:v>
                </c:pt>
                <c:pt idx="21">
                  <c:v>42887.0</c:v>
                </c:pt>
                <c:pt idx="22">
                  <c:v>42908.0</c:v>
                </c:pt>
                <c:pt idx="23">
                  <c:v>42929.0</c:v>
                </c:pt>
                <c:pt idx="24">
                  <c:v>42950.0</c:v>
                </c:pt>
                <c:pt idx="25">
                  <c:v>42971.0</c:v>
                </c:pt>
              </c:numCache>
            </c:numRef>
          </c:xVal>
          <c:yVal>
            <c:numRef>
              <c:f>'Mile Marker 14'!$I$2:$I$27</c:f>
              <c:numCache>
                <c:formatCode>0.00</c:formatCode>
                <c:ptCount val="26"/>
                <c:pt idx="0">
                  <c:v>7.91</c:v>
                </c:pt>
                <c:pt idx="1">
                  <c:v>8.01</c:v>
                </c:pt>
                <c:pt idx="2">
                  <c:v>7.96</c:v>
                </c:pt>
                <c:pt idx="3">
                  <c:v>7.99</c:v>
                </c:pt>
                <c:pt idx="4">
                  <c:v>8.04</c:v>
                </c:pt>
                <c:pt idx="5">
                  <c:v>7.94</c:v>
                </c:pt>
                <c:pt idx="6">
                  <c:v>8.09</c:v>
                </c:pt>
                <c:pt idx="7">
                  <c:v>7.93</c:v>
                </c:pt>
                <c:pt idx="8">
                  <c:v>8.02</c:v>
                </c:pt>
                <c:pt idx="9">
                  <c:v>8.01</c:v>
                </c:pt>
                <c:pt idx="10">
                  <c:v>8.08</c:v>
                </c:pt>
                <c:pt idx="11">
                  <c:v>8.04</c:v>
                </c:pt>
                <c:pt idx="12">
                  <c:v>8.07</c:v>
                </c:pt>
                <c:pt idx="13">
                  <c:v>7.97</c:v>
                </c:pt>
                <c:pt idx="14">
                  <c:v>7.72</c:v>
                </c:pt>
                <c:pt idx="15">
                  <c:v>8.05</c:v>
                </c:pt>
                <c:pt idx="16">
                  <c:v>8.05</c:v>
                </c:pt>
                <c:pt idx="17">
                  <c:v>8.06</c:v>
                </c:pt>
                <c:pt idx="18">
                  <c:v>8.03</c:v>
                </c:pt>
                <c:pt idx="19">
                  <c:v>8.02</c:v>
                </c:pt>
                <c:pt idx="20">
                  <c:v>8.1</c:v>
                </c:pt>
                <c:pt idx="21">
                  <c:v>8.06</c:v>
                </c:pt>
                <c:pt idx="22">
                  <c:v>8.01</c:v>
                </c:pt>
                <c:pt idx="23">
                  <c:v>8.04</c:v>
                </c:pt>
                <c:pt idx="24">
                  <c:v>8.01</c:v>
                </c:pt>
                <c:pt idx="25">
                  <c:v>8.04</c:v>
                </c:pt>
              </c:numCache>
            </c:numRef>
          </c:yVal>
          <c:smooth val="1"/>
        </c:ser>
        <c:axId val="391690632"/>
        <c:axId val="391682424"/>
      </c:scatterChart>
      <c:valAx>
        <c:axId val="391690632"/>
        <c:scaling>
          <c:orientation val="minMax"/>
        </c:scaling>
        <c:axPos val="b"/>
        <c:numFmt formatCode="m/d/yy" sourceLinked="1"/>
        <c:tickLblPos val="nextTo"/>
        <c:crossAx val="391682424"/>
        <c:crosses val="autoZero"/>
        <c:crossBetween val="midCat"/>
      </c:valAx>
      <c:valAx>
        <c:axId val="391682424"/>
        <c:scaling>
          <c:orientation val="minMax"/>
          <c:max val="8.3"/>
          <c:min val="7.7"/>
        </c:scaling>
        <c:axPos val="l"/>
        <c:majorGridlines/>
        <c:title>
          <c:tx>
            <c:rich>
              <a:bodyPr/>
              <a:lstStyle/>
              <a:p>
                <a:pPr>
                  <a:defRPr/>
                </a:pPr>
                <a:r>
                  <a:rPr lang="en-US"/>
                  <a:t>pH</a:t>
                </a:r>
              </a:p>
            </c:rich>
          </c:tx>
        </c:title>
        <c:numFmt formatCode="0.00" sourceLinked="1"/>
        <c:tickLblPos val="nextTo"/>
        <c:crossAx val="391690632"/>
        <c:crosses val="autoZero"/>
        <c:crossBetween val="midCat"/>
      </c:valAx>
    </c:plotArea>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chart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131" workbookViewId="0" zoomToFit="1"/>
  </sheetViews>
  <pageMargins left="0.75" right="0.75" top="1" bottom="1" header="0.5" footer="0.5"/>
  <drawing r:id="rId1"/>
</chartsheet>
</file>

<file path=xl/chartsheets/sheet10.xml><?xml version="1.0" encoding="utf-8"?>
<chartsheet xmlns="http://schemas.openxmlformats.org/spreadsheetml/2006/main" xmlns:r="http://schemas.openxmlformats.org/officeDocument/2006/relationships">
  <sheetPr/>
  <sheetViews>
    <sheetView zoomScale="107" workbookViewId="0" zoomToFit="1"/>
  </sheetViews>
  <pageMargins left="0.75" right="0.75" top="1" bottom="1" header="0.5" footer="0.5"/>
  <drawing r:id="rId1"/>
</chartsheet>
</file>

<file path=xl/chartsheets/sheet11.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12.xml><?xml version="1.0" encoding="utf-8"?>
<chartsheet xmlns="http://schemas.openxmlformats.org/spreadsheetml/2006/main" xmlns:r="http://schemas.openxmlformats.org/officeDocument/2006/relationships">
  <sheetPr/>
  <sheetViews>
    <sheetView zoomScale="113" workbookViewId="0" zoomToFit="1"/>
  </sheetViews>
  <pageMargins left="0.75" right="0.75" top="1" bottom="1" header="0.5" footer="0.5"/>
  <drawing r:id="rId1"/>
</chartsheet>
</file>

<file path=xl/chartsheets/sheet13.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chartsheets/sheet14.xml><?xml version="1.0" encoding="utf-8"?>
<chartsheet xmlns="http://schemas.openxmlformats.org/spreadsheetml/2006/main" xmlns:r="http://schemas.openxmlformats.org/officeDocument/2006/relationships">
  <sheetPr/>
  <sheetViews>
    <sheetView zoomScale="107" workbookViewId="0" zoomToFit="1"/>
  </sheetViews>
  <pageMargins left="0.75" right="0.75" top="1" bottom="1" header="0.5" footer="0.5"/>
  <drawing r:id="rId1"/>
</chartsheet>
</file>

<file path=xl/chartsheets/sheet15.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16.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chartsheets/sheet17.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chartsheets/sheet18.xml><?xml version="1.0" encoding="utf-8"?>
<chartsheet xmlns="http://schemas.openxmlformats.org/spreadsheetml/2006/main" xmlns:r="http://schemas.openxmlformats.org/officeDocument/2006/relationships">
  <sheetPr/>
  <sheetViews>
    <sheetView zoomScale="107" workbookViewId="0" zoomToFit="1"/>
  </sheetViews>
  <pageMargins left="0.75" right="0.75" top="1" bottom="1" header="0.5" footer="0.5"/>
  <drawing r:id="rId1"/>
</chartsheet>
</file>

<file path=xl/chartsheets/sheet19.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zoomScale="112" workbookViewId="0" zoomToFit="1"/>
  </sheetViews>
  <pageMargins left="0.75" right="0.75" top="1" bottom="1" header="0.5" footer="0.5"/>
  <drawing r:id="rId1"/>
</chartsheet>
</file>

<file path=xl/chartsheets/sheet20.xml><?xml version="1.0" encoding="utf-8"?>
<chartsheet xmlns="http://schemas.openxmlformats.org/spreadsheetml/2006/main" xmlns:r="http://schemas.openxmlformats.org/officeDocument/2006/relationships">
  <sheetPr/>
  <sheetViews>
    <sheetView zoomScale="131" workbookViewId="0" zoomToFit="1"/>
  </sheetViews>
  <pageMargins left="0.75" right="0.75" top="1" bottom="1" header="0.5" footer="0.5"/>
  <drawing r:id="rId1"/>
</chartsheet>
</file>

<file path=xl/chartsheets/sheet21.xml><?xml version="1.0" encoding="utf-8"?>
<chartsheet xmlns="http://schemas.openxmlformats.org/spreadsheetml/2006/main" xmlns:r="http://schemas.openxmlformats.org/officeDocument/2006/relationships">
  <sheetPr/>
  <sheetViews>
    <sheetView zoomScale="107" workbookViewId="0" zoomToFit="1"/>
  </sheetViews>
  <pageMargins left="0.75" right="0.75" top="1" bottom="1" header="0.5" footer="0.5"/>
  <drawing r:id="rId1"/>
</chartsheet>
</file>

<file path=xl/chartsheets/sheet22.xml><?xml version="1.0" encoding="utf-8"?>
<chartsheet xmlns="http://schemas.openxmlformats.org/spreadsheetml/2006/main" xmlns:r="http://schemas.openxmlformats.org/officeDocument/2006/relationships">
  <sheetPr/>
  <sheetViews>
    <sheetView zoomScale="126" workbookViewId="0" zoomToFit="1"/>
  </sheetViews>
  <pageMargins left="0.75" right="0.75" top="1" bottom="1" header="0.5" footer="0.5"/>
  <drawing r:id="rId1"/>
</chartsheet>
</file>

<file path=xl/chartsheets/sheet23.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zoomScale="109" workbookViewId="0" zoomToFit="1"/>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133" workbookViewId="0" zoomToFit="1"/>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zoomScale="113" workbookViewId="0" zoomToFit="1"/>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zoomScale="107" workbookViewId="0" zoomToFit="1"/>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sheetPr/>
  <sheetViews>
    <sheetView zoomScale="111" workbookViewId="0" zoomToFit="1"/>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sheetPr/>
  <sheetViews>
    <sheetView tabSelected="1" zoomScale="133" workbookViewId="0" zoomToFit="1"/>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sheetPr/>
  <sheetViews>
    <sheetView zoomScale="143"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81402" cy="58396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64071" cy="582177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70280" cy="58260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581402" cy="58396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1" y="0"/>
    <xdr:ext cx="7398137" cy="5029200"/>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1" y="0"/>
    <xdr:ext cx="7398137" cy="5029200"/>
    <xdr:graphicFrame macro="">
      <xdr:nvGraphicFramePr>
        <xdr:cNvPr id="2" name="Chart 1"/>
        <xdr:cNvGraphicFramePr>
          <a:graphicFrameLocks noGrp="1"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81402" cy="58396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83839" cy="583973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8579771" cy="58361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8581402" cy="58396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77540" cy="582587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87064" cy="583733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74887" cy="583436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64071" cy="582177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1402" cy="583962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1081" cy="583513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74887" cy="583436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70280" cy="58260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5"/>
  <sheetViews>
    <sheetView workbookViewId="0">
      <pane xSplit="3" ySplit="1" topLeftCell="K23" activePane="bottomRight" state="frozen"/>
      <selection pane="topRight" activeCell="D1" sqref="D1"/>
      <selection pane="bottomLeft" activeCell="A2" sqref="A2"/>
      <selection pane="bottomRight" activeCell="A26" sqref="A26:XFD26"/>
    </sheetView>
  </sheetViews>
  <sheetFormatPr baseColWidth="10" defaultRowHeight="16"/>
  <cols>
    <col min="1" max="1" width="16.42578125" style="1" customWidth="1"/>
    <col min="2" max="2" width="10.7109375" style="3"/>
    <col min="3" max="4" width="10.7109375" style="1"/>
    <col min="5" max="5" width="13.140625" style="10" customWidth="1"/>
    <col min="6" max="6" width="10.7109375" style="10"/>
    <col min="7" max="7" width="10.7109375" style="8"/>
    <col min="8" max="8" width="10.7109375" style="10"/>
    <col min="9" max="10" width="10.7109375" style="8"/>
    <col min="11" max="11" width="10.7109375" style="23"/>
    <col min="12" max="12" width="10.7109375" style="26"/>
    <col min="13" max="13" width="12.140625" style="26" customWidth="1"/>
    <col min="14" max="14" width="10.7109375" style="26"/>
    <col min="15" max="16" width="10.7109375" style="23"/>
    <col min="17" max="17" width="11.85546875" style="1" customWidth="1"/>
    <col min="18" max="18" width="12.42578125" style="3" customWidth="1"/>
    <col min="19" max="19" width="51.42578125" style="11" customWidth="1"/>
    <col min="20" max="16384" width="10.7109375" style="1"/>
  </cols>
  <sheetData>
    <row r="1" spans="1:19" s="2" customFormat="1" ht="32">
      <c r="A1" s="2" t="s">
        <v>24</v>
      </c>
      <c r="B1" s="2" t="s">
        <v>26</v>
      </c>
      <c r="C1" s="2" t="s">
        <v>45</v>
      </c>
      <c r="D1" s="2" t="s">
        <v>46</v>
      </c>
      <c r="E1" s="9" t="s">
        <v>47</v>
      </c>
      <c r="F1" s="9" t="s">
        <v>50</v>
      </c>
      <c r="G1" s="15" t="s">
        <v>51</v>
      </c>
      <c r="H1" s="9" t="s">
        <v>52</v>
      </c>
      <c r="I1" s="15" t="s">
        <v>55</v>
      </c>
      <c r="J1" s="15" t="s">
        <v>56</v>
      </c>
      <c r="K1" s="22" t="s">
        <v>57</v>
      </c>
      <c r="L1" s="25" t="s">
        <v>60</v>
      </c>
      <c r="M1" s="25" t="s">
        <v>61</v>
      </c>
      <c r="N1" s="25" t="s">
        <v>62</v>
      </c>
      <c r="O1" s="22" t="s">
        <v>58</v>
      </c>
      <c r="P1" s="22" t="s">
        <v>59</v>
      </c>
      <c r="Q1" s="2" t="s">
        <v>63</v>
      </c>
      <c r="R1" s="2" t="s">
        <v>78</v>
      </c>
      <c r="S1" s="2" t="s">
        <v>79</v>
      </c>
    </row>
    <row r="2" spans="1:19">
      <c r="A2" s="1" t="s">
        <v>87</v>
      </c>
      <c r="B2" s="3" t="s">
        <v>94</v>
      </c>
      <c r="C2" s="4">
        <v>42537</v>
      </c>
      <c r="D2" s="5"/>
      <c r="S2" s="11" t="s">
        <v>16</v>
      </c>
    </row>
    <row r="3" spans="1:19">
      <c r="A3" s="1" t="s">
        <v>87</v>
      </c>
      <c r="B3" s="3" t="s">
        <v>94</v>
      </c>
      <c r="C3" s="4">
        <v>42551</v>
      </c>
      <c r="S3" s="11" t="s">
        <v>17</v>
      </c>
    </row>
    <row r="4" spans="1:19" ht="32">
      <c r="A4" s="1" t="s">
        <v>14</v>
      </c>
      <c r="B4" s="3" t="s">
        <v>94</v>
      </c>
      <c r="C4" s="4">
        <v>42565</v>
      </c>
      <c r="D4" s="5">
        <v>0.31805555555555554</v>
      </c>
      <c r="E4" s="10">
        <v>27</v>
      </c>
      <c r="F4" s="10">
        <v>36.9</v>
      </c>
      <c r="G4" s="8">
        <v>5.55</v>
      </c>
      <c r="H4" s="10">
        <v>85.7</v>
      </c>
      <c r="I4" s="8">
        <v>7.99</v>
      </c>
      <c r="J4" s="8">
        <v>1.07</v>
      </c>
      <c r="K4" s="23">
        <v>79.94332746691903</v>
      </c>
      <c r="L4" s="26">
        <v>13.634719061799261</v>
      </c>
      <c r="M4" s="26">
        <v>4.6676751234677862</v>
      </c>
      <c r="N4" s="26">
        <v>136.11772853513881</v>
      </c>
      <c r="O4" s="23">
        <v>2.5399276221860858</v>
      </c>
      <c r="P4" s="23">
        <v>2.2118382713991274</v>
      </c>
      <c r="Q4" s="1">
        <v>1</v>
      </c>
      <c r="R4" s="3" t="s">
        <v>67</v>
      </c>
      <c r="S4" s="11" t="s">
        <v>19</v>
      </c>
    </row>
    <row r="5" spans="1:19" ht="32">
      <c r="A5" s="1" t="s">
        <v>14</v>
      </c>
      <c r="B5" s="3" t="s">
        <v>94</v>
      </c>
      <c r="C5" s="4">
        <v>42579</v>
      </c>
      <c r="D5" s="5">
        <v>0.30902777777777779</v>
      </c>
      <c r="E5" s="10">
        <v>26.3</v>
      </c>
      <c r="F5" s="10">
        <v>35.299999999999997</v>
      </c>
      <c r="G5" s="8">
        <v>5.77</v>
      </c>
      <c r="H5" s="10">
        <v>86.9</v>
      </c>
      <c r="I5" s="8">
        <v>8.0299999999999994</v>
      </c>
      <c r="J5" s="8">
        <v>0.93</v>
      </c>
      <c r="K5" s="23">
        <v>90.368052273285642</v>
      </c>
      <c r="L5" s="26">
        <v>10.079905124205991</v>
      </c>
      <c r="M5" s="26">
        <v>4.5917184997422025</v>
      </c>
      <c r="N5" s="26">
        <v>294.06507976238748</v>
      </c>
      <c r="O5" s="23">
        <v>3.1918114121171741</v>
      </c>
      <c r="P5" s="38">
        <v>11.318869983782083</v>
      </c>
      <c r="Q5" s="1">
        <v>1</v>
      </c>
      <c r="R5" s="3" t="s">
        <v>65</v>
      </c>
      <c r="S5" s="11" t="s">
        <v>23</v>
      </c>
    </row>
    <row r="6" spans="1:19" ht="64">
      <c r="A6" s="1" t="s">
        <v>87</v>
      </c>
      <c r="B6" s="3" t="s">
        <v>94</v>
      </c>
      <c r="C6" s="4">
        <v>42593</v>
      </c>
      <c r="D6" s="5">
        <v>0.31597222222222221</v>
      </c>
      <c r="E6" s="10">
        <v>26.6</v>
      </c>
      <c r="F6" s="10">
        <v>35.200000000000003</v>
      </c>
      <c r="G6" s="8">
        <v>5.41</v>
      </c>
      <c r="H6" s="10">
        <v>81.900000000000006</v>
      </c>
      <c r="I6" s="8">
        <v>7.96</v>
      </c>
      <c r="J6" s="8">
        <f>AVERAGE(1.39,1.72,1.83)</f>
        <v>1.6466666666666665</v>
      </c>
      <c r="K6" s="23">
        <v>64.311224007945469</v>
      </c>
      <c r="L6" s="26">
        <v>12.65100611536276</v>
      </c>
      <c r="M6" s="26">
        <v>4.4278655020671955</v>
      </c>
      <c r="N6" s="26">
        <v>187.55340594745411</v>
      </c>
      <c r="O6" s="23">
        <v>4.5129232450754078</v>
      </c>
      <c r="P6" s="23">
        <v>1.7705022887221544</v>
      </c>
      <c r="Q6" s="1">
        <v>1</v>
      </c>
      <c r="R6" s="3" t="s">
        <v>65</v>
      </c>
      <c r="S6" s="11" t="s">
        <v>0</v>
      </c>
    </row>
    <row r="7" spans="1:19" ht="32">
      <c r="A7" s="1" t="s">
        <v>87</v>
      </c>
      <c r="B7" s="3" t="s">
        <v>94</v>
      </c>
      <c r="C7" s="4">
        <v>42607</v>
      </c>
      <c r="D7" s="5">
        <v>0.30555555555555552</v>
      </c>
      <c r="E7" s="10">
        <v>27.3</v>
      </c>
      <c r="F7" s="10">
        <v>36.200000000000003</v>
      </c>
      <c r="G7" s="8">
        <v>5.25</v>
      </c>
      <c r="H7" s="10">
        <v>80.900000000000006</v>
      </c>
      <c r="I7" s="8">
        <v>7.95</v>
      </c>
      <c r="J7" s="8">
        <f>AVERAGE(1.47,1.77,1.57)</f>
        <v>1.6033333333333335</v>
      </c>
      <c r="K7" s="23">
        <v>72.152672367745467</v>
      </c>
      <c r="L7" s="26">
        <v>14.748351044541067</v>
      </c>
      <c r="M7" s="26">
        <v>4.9871392499644465</v>
      </c>
      <c r="N7" s="26">
        <v>169.91162626872938</v>
      </c>
      <c r="O7" s="23">
        <v>6.1857696888609039</v>
      </c>
      <c r="P7" s="23">
        <v>2.62223564532077</v>
      </c>
      <c r="Q7" s="1">
        <v>2</v>
      </c>
      <c r="R7" s="3" t="s">
        <v>67</v>
      </c>
      <c r="S7" s="11" t="s">
        <v>83</v>
      </c>
    </row>
    <row r="8" spans="1:19" ht="32">
      <c r="A8" s="1" t="s">
        <v>87</v>
      </c>
      <c r="B8" s="3" t="s">
        <v>94</v>
      </c>
      <c r="C8" s="4">
        <v>42621</v>
      </c>
      <c r="D8" s="5">
        <v>0.2986111111111111</v>
      </c>
      <c r="E8" s="10">
        <v>26.7</v>
      </c>
      <c r="F8" s="10">
        <v>36.1</v>
      </c>
      <c r="G8" s="8">
        <v>6.03</v>
      </c>
      <c r="H8" s="10">
        <v>91.9</v>
      </c>
      <c r="I8" s="8">
        <v>8.15</v>
      </c>
      <c r="J8" s="8">
        <f>AVERAGE(2.56,3.37,3.12,3.05)</f>
        <v>3.0250000000000004</v>
      </c>
      <c r="K8" s="23">
        <v>63.835857573863947</v>
      </c>
      <c r="L8" s="26">
        <v>13.03775057038855</v>
      </c>
      <c r="M8" s="26">
        <v>4.2239834015787263</v>
      </c>
      <c r="N8" s="26">
        <v>150.76492283804834</v>
      </c>
      <c r="O8" s="23">
        <v>4.7391856603179585</v>
      </c>
      <c r="P8" s="24">
        <v>1.5</v>
      </c>
      <c r="Q8" s="1">
        <v>2</v>
      </c>
      <c r="R8" s="3" t="s">
        <v>65</v>
      </c>
      <c r="S8" s="11" t="s">
        <v>39</v>
      </c>
    </row>
    <row r="9" spans="1:19" ht="48">
      <c r="A9" s="1" t="s">
        <v>87</v>
      </c>
      <c r="B9" s="3" t="s">
        <v>94</v>
      </c>
      <c r="C9" s="4">
        <v>42635</v>
      </c>
      <c r="D9" s="5">
        <v>0.30208333333333331</v>
      </c>
      <c r="E9" s="10">
        <v>27.1</v>
      </c>
      <c r="F9" s="10">
        <v>36.6</v>
      </c>
      <c r="G9" s="8">
        <v>6.26</v>
      </c>
      <c r="H9" s="10">
        <v>96.5</v>
      </c>
      <c r="I9" s="8">
        <v>7.93</v>
      </c>
      <c r="J9" s="8">
        <f>AVERAGE(10.6,11.6,11.2)</f>
        <v>11.133333333333333</v>
      </c>
      <c r="K9" s="23">
        <v>71.796976556187559</v>
      </c>
      <c r="L9" s="26">
        <v>14.804131494785171</v>
      </c>
      <c r="M9" s="26">
        <v>5.3304945977101443</v>
      </c>
      <c r="N9" s="26">
        <v>145.77336980359064</v>
      </c>
      <c r="O9" s="23">
        <v>3.9405634870664761</v>
      </c>
      <c r="P9" s="23">
        <v>2.3536316844064489</v>
      </c>
      <c r="Q9" s="1">
        <v>1</v>
      </c>
      <c r="R9" s="3" t="s">
        <v>67</v>
      </c>
      <c r="S9" s="11" t="s">
        <v>35</v>
      </c>
    </row>
    <row r="10" spans="1:19" ht="32">
      <c r="A10" s="1" t="s">
        <v>87</v>
      </c>
      <c r="B10" s="3" t="s">
        <v>94</v>
      </c>
      <c r="C10" s="4">
        <v>42649</v>
      </c>
      <c r="D10" s="5">
        <v>0.3125</v>
      </c>
      <c r="E10" s="10">
        <v>26.7</v>
      </c>
      <c r="F10" s="10">
        <v>34.9</v>
      </c>
      <c r="G10" s="8">
        <v>5.94</v>
      </c>
      <c r="H10" s="10">
        <v>89.9</v>
      </c>
      <c r="I10" s="8">
        <v>8</v>
      </c>
      <c r="J10" s="8">
        <f>AVERAGE(7.54,7.21,7.09)</f>
        <v>7.28</v>
      </c>
      <c r="K10" s="23">
        <v>66.131712357555983</v>
      </c>
      <c r="L10" s="26">
        <v>11.014779574869049</v>
      </c>
      <c r="M10" s="26">
        <v>5.3577038894182945</v>
      </c>
      <c r="N10" s="26">
        <v>184.4951562164174</v>
      </c>
      <c r="O10" s="23">
        <v>4.3276257673540046</v>
      </c>
      <c r="P10" s="23">
        <v>2.8476337724655378</v>
      </c>
      <c r="Q10" s="1">
        <v>2</v>
      </c>
      <c r="R10" s="3" t="s">
        <v>65</v>
      </c>
      <c r="S10" s="11" t="s">
        <v>8</v>
      </c>
    </row>
    <row r="11" spans="1:19" ht="32">
      <c r="A11" s="1" t="s">
        <v>87</v>
      </c>
      <c r="B11" s="3" t="s">
        <v>94</v>
      </c>
      <c r="C11" s="4">
        <v>42663</v>
      </c>
      <c r="D11" s="5">
        <v>0.2951388888888889</v>
      </c>
      <c r="E11" s="10">
        <v>25.7</v>
      </c>
      <c r="F11" s="10">
        <v>36.6</v>
      </c>
      <c r="G11" s="8">
        <v>6.01</v>
      </c>
      <c r="H11" s="10">
        <v>90.4</v>
      </c>
      <c r="I11" s="8">
        <v>7.93</v>
      </c>
      <c r="J11" s="8">
        <f>AVERAGE(8.87,9.09,8.48)</f>
        <v>8.8133333333333344</v>
      </c>
      <c r="K11" s="23">
        <v>92.694027243812798</v>
      </c>
      <c r="L11" s="26">
        <v>18.443441521706877</v>
      </c>
      <c r="M11" s="26">
        <v>6.0035270244094514</v>
      </c>
      <c r="N11" s="26">
        <v>127.79742167613021</v>
      </c>
      <c r="O11" s="23">
        <v>3.2011038994827232</v>
      </c>
      <c r="P11" s="23">
        <v>5.6867998153856654</v>
      </c>
      <c r="Q11" s="1">
        <v>1</v>
      </c>
      <c r="R11" s="3" t="s">
        <v>67</v>
      </c>
      <c r="S11" s="11" t="s">
        <v>8</v>
      </c>
    </row>
    <row r="12" spans="1:19" ht="32">
      <c r="A12" s="1" t="s">
        <v>14</v>
      </c>
      <c r="B12" s="3" t="s">
        <v>94</v>
      </c>
      <c r="C12" s="4">
        <v>42677</v>
      </c>
      <c r="D12" s="5">
        <v>0.30208333333333331</v>
      </c>
      <c r="E12" s="10">
        <v>24.9</v>
      </c>
      <c r="F12" s="10">
        <v>34.799999999999997</v>
      </c>
      <c r="G12" s="8">
        <v>6.07</v>
      </c>
      <c r="H12" s="10">
        <v>88.9</v>
      </c>
      <c r="I12" s="8">
        <v>8.0399999999999991</v>
      </c>
      <c r="J12" s="8">
        <f>AVERAGE(5.87,5.57,5.59)</f>
        <v>5.6766666666666667</v>
      </c>
      <c r="K12" s="23">
        <v>62.910260374557332</v>
      </c>
      <c r="L12" s="26">
        <v>9.9876761547354107</v>
      </c>
      <c r="M12" s="26">
        <v>5.824472187718615</v>
      </c>
      <c r="N12" s="26">
        <v>125.93399075260082</v>
      </c>
      <c r="O12" s="23">
        <v>3.089634400538706</v>
      </c>
      <c r="P12" s="23">
        <v>3.0833911719350637</v>
      </c>
      <c r="Q12" s="1">
        <v>2</v>
      </c>
      <c r="R12" s="3" t="s">
        <v>65</v>
      </c>
      <c r="S12" s="11" t="s">
        <v>93</v>
      </c>
    </row>
    <row r="13" spans="1:19" ht="32">
      <c r="A13" s="1" t="s">
        <v>14</v>
      </c>
      <c r="B13" s="3" t="s">
        <v>94</v>
      </c>
      <c r="C13" s="4">
        <v>42691</v>
      </c>
      <c r="D13" s="5">
        <v>0.32291666666666669</v>
      </c>
      <c r="E13" s="10">
        <v>24.7</v>
      </c>
      <c r="F13" s="10">
        <v>34.799999999999997</v>
      </c>
      <c r="G13" s="26">
        <v>5.78</v>
      </c>
      <c r="H13" s="10">
        <v>84.4</v>
      </c>
      <c r="I13" s="26">
        <v>8.07</v>
      </c>
      <c r="J13" s="26">
        <f>AVERAGE(4.73,5.28,5.44)</f>
        <v>5.1500000000000012</v>
      </c>
      <c r="K13" s="26">
        <v>62.865409603066837</v>
      </c>
      <c r="L13" s="26">
        <v>5.0461629529770793</v>
      </c>
      <c r="M13" s="26">
        <v>4.1575395060073594</v>
      </c>
      <c r="N13" s="26">
        <v>140.56625241149629</v>
      </c>
      <c r="O13" s="26">
        <v>6.7666554409947146</v>
      </c>
      <c r="P13" s="27">
        <v>1.5</v>
      </c>
      <c r="Q13" s="1">
        <v>2</v>
      </c>
      <c r="R13" s="3" t="s">
        <v>65</v>
      </c>
      <c r="S13" s="11" t="s">
        <v>91</v>
      </c>
    </row>
    <row r="14" spans="1:19" ht="32">
      <c r="A14" s="1" t="s">
        <v>14</v>
      </c>
      <c r="B14" s="3" t="s">
        <v>94</v>
      </c>
      <c r="C14" s="4">
        <v>42705</v>
      </c>
      <c r="D14" s="5">
        <v>0.30208333333333331</v>
      </c>
      <c r="E14" s="10">
        <v>22.9</v>
      </c>
      <c r="F14" s="10">
        <v>34.9</v>
      </c>
      <c r="G14" s="26">
        <v>6.65</v>
      </c>
      <c r="H14" s="10">
        <v>94.2</v>
      </c>
      <c r="I14" s="26">
        <v>8.02</v>
      </c>
      <c r="J14" s="26">
        <f>AVERAGE(9.92,9.48,9.56)</f>
        <v>9.6533333333333342</v>
      </c>
      <c r="K14" s="26">
        <v>65.588724896844496</v>
      </c>
      <c r="L14" s="26">
        <v>8.1511360861485418</v>
      </c>
      <c r="M14" s="26">
        <v>2.4188782455682674</v>
      </c>
      <c r="N14" s="26">
        <v>226.30152634280603</v>
      </c>
      <c r="O14" s="26">
        <v>4.347641969195486</v>
      </c>
      <c r="P14" s="27">
        <v>1.5</v>
      </c>
      <c r="Q14" s="1">
        <v>2</v>
      </c>
      <c r="R14" s="3" t="s">
        <v>65</v>
      </c>
      <c r="S14" s="11" t="s">
        <v>91</v>
      </c>
    </row>
    <row r="15" spans="1:19" ht="32">
      <c r="A15" s="1" t="s">
        <v>14</v>
      </c>
      <c r="B15" s="3" t="s">
        <v>94</v>
      </c>
      <c r="C15" s="4">
        <v>42719</v>
      </c>
      <c r="D15" s="5">
        <v>0.33680555555555558</v>
      </c>
      <c r="E15" s="10">
        <v>23.4</v>
      </c>
      <c r="F15" s="10">
        <v>33.799999999999997</v>
      </c>
      <c r="G15" s="26">
        <v>6.46</v>
      </c>
      <c r="H15" s="10">
        <v>92.2</v>
      </c>
      <c r="I15" s="26">
        <v>7.82</v>
      </c>
      <c r="J15" s="26">
        <f>AVERAGE(6.34,6.84,7.44)</f>
        <v>6.873333333333334</v>
      </c>
      <c r="K15" s="23">
        <v>78.972420404296813</v>
      </c>
      <c r="L15" s="26">
        <v>8.2881435148677944</v>
      </c>
      <c r="M15" s="26">
        <v>4.9969248261128749</v>
      </c>
      <c r="N15" s="26">
        <v>322.03501752117359</v>
      </c>
      <c r="O15" s="38">
        <v>30.484805195882441</v>
      </c>
      <c r="P15" s="23">
        <v>2.6158873560110321</v>
      </c>
      <c r="Q15" s="1">
        <v>1</v>
      </c>
      <c r="R15" s="3" t="s">
        <v>65</v>
      </c>
      <c r="S15" s="11" t="s">
        <v>91</v>
      </c>
    </row>
    <row r="16" spans="1:19" ht="32">
      <c r="A16" s="1" t="s">
        <v>14</v>
      </c>
      <c r="B16" s="3" t="s">
        <v>94</v>
      </c>
      <c r="C16" s="4">
        <v>42740</v>
      </c>
      <c r="D16" s="5">
        <v>0.29166666666666669</v>
      </c>
      <c r="E16" s="10">
        <v>22.8</v>
      </c>
      <c r="F16" s="10">
        <v>34.799999999999997</v>
      </c>
      <c r="G16" s="26">
        <v>6.34</v>
      </c>
      <c r="H16" s="10">
        <v>93.5</v>
      </c>
      <c r="I16" s="34">
        <v>7.83</v>
      </c>
      <c r="J16" s="26">
        <f>AVERAGE(5.01,4.75,4.72)</f>
        <v>4.8266666666666671</v>
      </c>
      <c r="K16" s="26">
        <v>100.48388303614973</v>
      </c>
      <c r="L16" s="26">
        <v>9.9947607380700614</v>
      </c>
      <c r="M16" s="26">
        <v>5.6603699749888001</v>
      </c>
      <c r="N16" s="26">
        <v>208.25792708942848</v>
      </c>
      <c r="O16" s="38">
        <v>20.096960077631792</v>
      </c>
      <c r="P16" s="27">
        <v>1.5</v>
      </c>
      <c r="Q16" s="1">
        <v>2</v>
      </c>
      <c r="R16" s="3" t="s">
        <v>65</v>
      </c>
      <c r="S16" s="11" t="s">
        <v>91</v>
      </c>
    </row>
    <row r="17" spans="1:19" ht="32">
      <c r="A17" s="1" t="s">
        <v>87</v>
      </c>
      <c r="B17" s="3" t="s">
        <v>94</v>
      </c>
      <c r="C17" s="4">
        <v>42761</v>
      </c>
      <c r="D17" s="5">
        <v>0.30555555555555552</v>
      </c>
      <c r="E17" s="10">
        <v>22.5</v>
      </c>
      <c r="F17" s="10">
        <v>35</v>
      </c>
      <c r="G17" s="26">
        <v>6.16</v>
      </c>
      <c r="H17" s="10">
        <v>86.5</v>
      </c>
      <c r="I17" s="34">
        <v>7.9</v>
      </c>
      <c r="J17" s="26">
        <f>AVERAGE(3.16,3.91,3.74)</f>
        <v>3.6033333333333335</v>
      </c>
      <c r="K17" s="26">
        <v>87.412114007015958</v>
      </c>
      <c r="L17" s="26">
        <v>14.859055417026305</v>
      </c>
      <c r="M17" s="26">
        <v>8.5433361126367977</v>
      </c>
      <c r="N17" s="26">
        <v>146.89410767244414</v>
      </c>
      <c r="O17" s="26">
        <v>6.873297703460679</v>
      </c>
      <c r="P17" s="26">
        <v>4.8476937882062128</v>
      </c>
      <c r="Q17" s="1">
        <v>1</v>
      </c>
      <c r="R17" s="3" t="s">
        <v>65</v>
      </c>
      <c r="S17" s="11" t="s">
        <v>91</v>
      </c>
    </row>
    <row r="18" spans="1:19" ht="32">
      <c r="A18" s="1" t="s">
        <v>87</v>
      </c>
      <c r="B18" s="3" t="s">
        <v>94</v>
      </c>
      <c r="C18" s="4">
        <v>42783</v>
      </c>
      <c r="D18" s="5">
        <v>0.3</v>
      </c>
      <c r="E18" s="10">
        <v>24.8</v>
      </c>
      <c r="F18" s="10">
        <v>35.1</v>
      </c>
      <c r="G18" s="8">
        <v>5.9</v>
      </c>
      <c r="H18" s="10">
        <v>86.3</v>
      </c>
      <c r="I18" s="8">
        <v>8.02</v>
      </c>
      <c r="J18" s="8">
        <f>AVERAGE(3.14,2.73,2.95)</f>
        <v>2.94</v>
      </c>
      <c r="K18" s="23">
        <v>78.991267990298894</v>
      </c>
      <c r="L18" s="26">
        <v>10.763493809313152</v>
      </c>
      <c r="M18" s="26">
        <v>5.8692654094915246</v>
      </c>
      <c r="N18" s="26">
        <v>115.55267643692159</v>
      </c>
      <c r="O18" s="26">
        <v>6.2173449571383177</v>
      </c>
      <c r="P18" s="26">
        <v>5.6404553194340945</v>
      </c>
      <c r="Q18" s="1">
        <v>2</v>
      </c>
      <c r="R18" s="3" t="s">
        <v>29</v>
      </c>
      <c r="S18" s="11" t="s">
        <v>91</v>
      </c>
    </row>
    <row r="19" spans="1:19" ht="32">
      <c r="A19" s="1" t="s">
        <v>87</v>
      </c>
      <c r="B19" s="3" t="s">
        <v>94</v>
      </c>
      <c r="C19" s="4">
        <v>42803</v>
      </c>
      <c r="D19" s="5">
        <v>0.3125</v>
      </c>
      <c r="E19" s="10">
        <v>24.5</v>
      </c>
      <c r="F19" s="10">
        <v>34.299999999999997</v>
      </c>
      <c r="G19" s="26">
        <v>5.97</v>
      </c>
      <c r="H19" s="10">
        <v>86.5</v>
      </c>
      <c r="I19" s="26">
        <v>8.0500000000000007</v>
      </c>
      <c r="J19" s="26">
        <f>AVERAGE(2.34,2.27,2.09)</f>
        <v>2.2333333333333329</v>
      </c>
      <c r="K19" s="26">
        <v>72.609280106569187</v>
      </c>
      <c r="L19" s="26">
        <v>8.5111721545882961</v>
      </c>
      <c r="M19" s="26">
        <v>5.123795205423729</v>
      </c>
      <c r="N19" s="26">
        <v>133.00659660126112</v>
      </c>
      <c r="O19" s="26">
        <v>8.5298563340035933</v>
      </c>
      <c r="P19" s="26">
        <v>5.4316917834013267</v>
      </c>
      <c r="Q19" s="1">
        <v>1</v>
      </c>
      <c r="R19" s="3" t="s">
        <v>73</v>
      </c>
      <c r="S19" s="11" t="s">
        <v>91</v>
      </c>
    </row>
    <row r="20" spans="1:19" ht="32">
      <c r="A20" s="1" t="s">
        <v>87</v>
      </c>
      <c r="B20" s="3" t="s">
        <v>94</v>
      </c>
      <c r="C20" s="4">
        <v>42824</v>
      </c>
      <c r="D20" s="5">
        <v>0.30555555555555552</v>
      </c>
      <c r="E20" s="10">
        <v>25</v>
      </c>
      <c r="F20" s="10">
        <v>34</v>
      </c>
      <c r="G20" s="26">
        <v>6</v>
      </c>
      <c r="H20" s="10">
        <v>87.7</v>
      </c>
      <c r="I20" s="26">
        <v>8.02</v>
      </c>
      <c r="J20" s="26">
        <f>AVERAGE(5.45,5.59,5.77)</f>
        <v>5.6033333333333326</v>
      </c>
      <c r="K20" s="26">
        <v>72.35960282043736</v>
      </c>
      <c r="L20" s="26">
        <v>10.680723948495448</v>
      </c>
      <c r="M20" s="26">
        <v>5.4046096162947377</v>
      </c>
      <c r="N20" s="26">
        <v>165.18825724324319</v>
      </c>
      <c r="O20" s="26">
        <v>5.5170706683569684</v>
      </c>
      <c r="P20" s="26">
        <v>6.6680680365212481</v>
      </c>
      <c r="Q20" s="1">
        <v>1</v>
      </c>
      <c r="R20" s="3" t="s">
        <v>73</v>
      </c>
      <c r="S20" s="11" t="s">
        <v>91</v>
      </c>
    </row>
    <row r="21" spans="1:19" ht="32">
      <c r="A21" s="1" t="s">
        <v>87</v>
      </c>
      <c r="B21" s="3" t="s">
        <v>94</v>
      </c>
      <c r="C21" s="4">
        <v>42845</v>
      </c>
      <c r="D21" s="5">
        <v>0.30208333333333331</v>
      </c>
      <c r="E21" s="10">
        <v>25.7</v>
      </c>
      <c r="F21" s="10">
        <v>33.9</v>
      </c>
      <c r="G21" s="26">
        <v>5.82</v>
      </c>
      <c r="H21" s="10">
        <v>86.1</v>
      </c>
      <c r="I21" s="26">
        <v>8.0399999999999991</v>
      </c>
      <c r="J21" s="26">
        <f>AVERAGE(1.54,1.63,1.66)</f>
        <v>1.61</v>
      </c>
      <c r="K21" s="26">
        <v>95.444274307807476</v>
      </c>
      <c r="L21" s="26">
        <v>9.6276826837001934</v>
      </c>
      <c r="M21" s="26">
        <v>6.1761011139185724</v>
      </c>
      <c r="N21" s="26">
        <v>162.81702358406616</v>
      </c>
      <c r="O21" s="26">
        <v>3.5840566756650918</v>
      </c>
      <c r="P21" s="26">
        <v>4.1856084234802724</v>
      </c>
      <c r="Q21" s="1">
        <v>1</v>
      </c>
      <c r="R21" s="3" t="s">
        <v>73</v>
      </c>
      <c r="S21" s="11" t="s">
        <v>91</v>
      </c>
    </row>
    <row r="22" spans="1:19" ht="32">
      <c r="A22" s="1" t="s">
        <v>87</v>
      </c>
      <c r="B22" s="3" t="s">
        <v>94</v>
      </c>
      <c r="C22" s="4">
        <v>42866</v>
      </c>
      <c r="D22" s="5">
        <v>0.30624999999999997</v>
      </c>
      <c r="E22" s="10">
        <v>24.6</v>
      </c>
      <c r="F22" s="10">
        <v>34.200000000000003</v>
      </c>
      <c r="G22" s="8">
        <v>6.07</v>
      </c>
      <c r="H22" s="10">
        <v>88.2</v>
      </c>
      <c r="I22" s="8">
        <v>8.06</v>
      </c>
      <c r="J22" s="8">
        <f>AVERAGE(2.37,2.54,2.4)</f>
        <v>2.436666666666667</v>
      </c>
      <c r="K22" s="26">
        <v>76.90979616289593</v>
      </c>
      <c r="L22" s="26">
        <v>14.570185241266826</v>
      </c>
      <c r="M22" s="26">
        <v>5.2458745288442845</v>
      </c>
      <c r="N22" s="26">
        <v>220.95208751739227</v>
      </c>
      <c r="O22" s="26">
        <v>4.1524721315349566</v>
      </c>
      <c r="P22" s="26">
        <v>3.161603120476884</v>
      </c>
      <c r="Q22" s="1">
        <v>1</v>
      </c>
      <c r="R22" s="3" t="s">
        <v>27</v>
      </c>
      <c r="S22" s="11" t="s">
        <v>91</v>
      </c>
    </row>
    <row r="23" spans="1:19" ht="32">
      <c r="A23" s="1" t="s">
        <v>87</v>
      </c>
      <c r="B23" s="3" t="s">
        <v>94</v>
      </c>
      <c r="C23" s="4">
        <v>42887</v>
      </c>
      <c r="D23" s="5">
        <v>0.30555555555555552</v>
      </c>
      <c r="E23" s="37">
        <v>25</v>
      </c>
      <c r="F23" s="37">
        <v>34.5</v>
      </c>
      <c r="G23" s="26">
        <v>5.8</v>
      </c>
      <c r="H23" s="37">
        <v>85.1</v>
      </c>
      <c r="I23" s="26">
        <v>8</v>
      </c>
      <c r="J23" s="26">
        <f>AVERAGE(1.9,1.83,1.87)</f>
        <v>1.8666666666666665</v>
      </c>
      <c r="K23" s="26">
        <v>81.282768274590566</v>
      </c>
      <c r="L23" s="26">
        <v>7.2493522117288505</v>
      </c>
      <c r="M23" s="26">
        <v>4.4225732714006218</v>
      </c>
      <c r="N23" s="26">
        <v>211.98927106829271</v>
      </c>
      <c r="O23" s="26">
        <v>11.558182276152658</v>
      </c>
      <c r="P23" s="26">
        <v>2.8120365819369777</v>
      </c>
      <c r="Q23" s="1">
        <v>1</v>
      </c>
      <c r="R23" s="3" t="s">
        <v>21</v>
      </c>
      <c r="S23" s="11" t="s">
        <v>91</v>
      </c>
    </row>
    <row r="24" spans="1:19" ht="32">
      <c r="A24" s="1" t="s">
        <v>87</v>
      </c>
      <c r="B24" s="3" t="s">
        <v>94</v>
      </c>
      <c r="C24" s="4">
        <v>42908</v>
      </c>
      <c r="D24" s="5">
        <v>0.30555555555555552</v>
      </c>
      <c r="E24" s="37">
        <v>26.1</v>
      </c>
      <c r="F24" s="37">
        <v>34.6</v>
      </c>
      <c r="G24" s="26">
        <v>5.82</v>
      </c>
      <c r="H24" s="37">
        <v>87.3</v>
      </c>
      <c r="I24" s="34">
        <v>8.4</v>
      </c>
      <c r="J24" s="26">
        <f>AVERAGE(1.48,1.38,1.42)</f>
        <v>1.4266666666666665</v>
      </c>
      <c r="K24" s="26">
        <v>84.849637298025911</v>
      </c>
      <c r="L24" s="26">
        <v>10.520448477059084</v>
      </c>
      <c r="M24" s="26">
        <v>5.9755081164044421</v>
      </c>
      <c r="N24" s="26">
        <v>199.61290525930133</v>
      </c>
      <c r="O24" s="26">
        <v>5.5677837175341605</v>
      </c>
      <c r="P24" s="26">
        <v>2.0107977039659568</v>
      </c>
      <c r="Q24" s="1">
        <v>1</v>
      </c>
      <c r="R24" s="3" t="s">
        <v>40</v>
      </c>
      <c r="S24" s="11" t="s">
        <v>91</v>
      </c>
    </row>
    <row r="25" spans="1:19" ht="32">
      <c r="A25" s="1" t="s">
        <v>87</v>
      </c>
      <c r="B25" s="3" t="s">
        <v>94</v>
      </c>
      <c r="C25" s="4">
        <v>42929</v>
      </c>
      <c r="D25" s="5">
        <v>0.30416666666666664</v>
      </c>
      <c r="E25" s="37">
        <v>26.6</v>
      </c>
      <c r="F25" s="37">
        <v>34.6</v>
      </c>
      <c r="G25" s="26">
        <v>5.22</v>
      </c>
      <c r="H25" s="37">
        <v>78.8</v>
      </c>
      <c r="I25" s="26">
        <v>8</v>
      </c>
      <c r="J25" s="26">
        <f>AVERAGE(1.34,1.62,1.54)</f>
        <v>1.5</v>
      </c>
      <c r="K25" s="26">
        <v>94.731801057372437</v>
      </c>
      <c r="L25" s="26">
        <v>10.781627914829274</v>
      </c>
      <c r="M25" s="26">
        <v>5.263764318840769</v>
      </c>
      <c r="N25" s="26">
        <v>144.12778260982466</v>
      </c>
      <c r="O25" s="26">
        <v>9.7715281156933056</v>
      </c>
      <c r="P25" s="26">
        <v>2.5632690177926261</v>
      </c>
      <c r="Q25" s="1">
        <v>1</v>
      </c>
      <c r="R25" s="3" t="s">
        <v>34</v>
      </c>
      <c r="S25" s="11" t="s">
        <v>91</v>
      </c>
    </row>
    <row r="26" spans="1:19" ht="32">
      <c r="A26" s="1" t="s">
        <v>87</v>
      </c>
      <c r="B26" s="3" t="s">
        <v>94</v>
      </c>
      <c r="C26" s="4">
        <v>42950</v>
      </c>
      <c r="D26" s="5">
        <v>0.29652777777777778</v>
      </c>
      <c r="E26" s="37">
        <v>27</v>
      </c>
      <c r="F26" s="37">
        <v>34.799999999999997</v>
      </c>
      <c r="G26" s="26">
        <v>5.22</v>
      </c>
      <c r="H26" s="37">
        <v>79.3</v>
      </c>
      <c r="I26" s="26">
        <v>7.94</v>
      </c>
      <c r="J26" s="26">
        <f>AVERAGE(2.31,2.25,2.3)</f>
        <v>2.2866666666666666</v>
      </c>
      <c r="K26" s="26">
        <v>116.30007241664921</v>
      </c>
      <c r="L26" s="26">
        <v>7.2818298786825002</v>
      </c>
      <c r="M26" s="26">
        <v>4.4107770905770645</v>
      </c>
      <c r="N26" s="26">
        <v>234.95196942964432</v>
      </c>
      <c r="O26" s="26">
        <v>6.7978164957378802</v>
      </c>
      <c r="P26" s="26">
        <v>7.335587197852969</v>
      </c>
      <c r="Q26" s="1">
        <v>2</v>
      </c>
      <c r="R26" s="3" t="s">
        <v>101</v>
      </c>
      <c r="S26" s="11" t="s">
        <v>91</v>
      </c>
    </row>
    <row r="27" spans="1:19" ht="32">
      <c r="A27" s="1" t="s">
        <v>87</v>
      </c>
      <c r="B27" s="3" t="s">
        <v>94</v>
      </c>
      <c r="C27" s="4">
        <v>42971</v>
      </c>
      <c r="D27" s="5">
        <v>0.29930555555555555</v>
      </c>
      <c r="E27" s="37">
        <v>25.3</v>
      </c>
      <c r="F27" s="37">
        <v>35.200000000000003</v>
      </c>
      <c r="G27" s="26">
        <v>5.95</v>
      </c>
      <c r="H27" s="37">
        <v>88.4</v>
      </c>
      <c r="I27" s="26">
        <v>8.0299999999999994</v>
      </c>
      <c r="J27" s="26">
        <f>AVERAGE(11.9,12.4,12.4)</f>
        <v>12.233333333333334</v>
      </c>
      <c r="K27" s="26">
        <v>78.467070986053088</v>
      </c>
      <c r="L27" s="26">
        <v>9.8181933578367548</v>
      </c>
      <c r="M27" s="26">
        <v>6.4859153161586098</v>
      </c>
      <c r="N27" s="26">
        <v>143.87223253052107</v>
      </c>
      <c r="O27" s="26">
        <v>4.6523649773574851</v>
      </c>
      <c r="P27" s="26">
        <v>1.8247498064891765</v>
      </c>
      <c r="Q27" s="1">
        <v>1</v>
      </c>
      <c r="R27" s="3" t="s">
        <v>81</v>
      </c>
      <c r="S27" s="11" t="s">
        <v>91</v>
      </c>
    </row>
    <row r="28" spans="1:19" ht="32">
      <c r="A28" s="1" t="s">
        <v>87</v>
      </c>
      <c r="B28" s="3" t="s">
        <v>94</v>
      </c>
      <c r="C28" s="4">
        <v>42992</v>
      </c>
      <c r="D28" s="44">
        <v>0.30208333333333331</v>
      </c>
      <c r="E28" s="10">
        <v>27.6</v>
      </c>
      <c r="F28" s="10">
        <v>34.700000000000003</v>
      </c>
      <c r="G28" s="8">
        <v>5.16</v>
      </c>
      <c r="H28" s="10">
        <v>79.400000000000006</v>
      </c>
      <c r="I28" s="8">
        <v>7.97</v>
      </c>
      <c r="J28" s="8">
        <f>AVERAGE(1.27,1.32,1.3)</f>
        <v>1.2966666666666666</v>
      </c>
      <c r="K28" s="26">
        <v>51.517158803730446</v>
      </c>
      <c r="L28" s="26">
        <v>16.049757033526735</v>
      </c>
      <c r="M28" s="26">
        <v>4.9455916662374459</v>
      </c>
      <c r="N28" s="26">
        <v>227.33541207749889</v>
      </c>
      <c r="O28" s="26">
        <v>5.1187238890058326</v>
      </c>
      <c r="P28" s="26">
        <v>5.2172031802675329</v>
      </c>
      <c r="Q28" s="1">
        <v>1</v>
      </c>
      <c r="R28" s="3" t="s">
        <v>53</v>
      </c>
      <c r="S28" s="11" t="s">
        <v>91</v>
      </c>
    </row>
    <row r="29" spans="1:19" ht="32">
      <c r="A29" s="1" t="s">
        <v>14</v>
      </c>
      <c r="B29" s="3" t="s">
        <v>94</v>
      </c>
      <c r="C29" s="4">
        <v>43013</v>
      </c>
      <c r="D29" s="44">
        <v>0.2986111111111111</v>
      </c>
      <c r="E29" s="10">
        <v>26</v>
      </c>
      <c r="F29" s="10">
        <v>34.700000000000003</v>
      </c>
      <c r="G29" s="8">
        <v>5.8</v>
      </c>
      <c r="H29" s="10">
        <v>87</v>
      </c>
      <c r="I29" s="8">
        <v>8.1</v>
      </c>
      <c r="J29" s="8">
        <f>AVERAGE(3.05,2.57,2.6)</f>
        <v>2.7399999999999998</v>
      </c>
      <c r="K29" s="26">
        <v>62.196364276607248</v>
      </c>
      <c r="L29" s="26">
        <v>11.637774514399853</v>
      </c>
      <c r="M29" s="26">
        <v>5.2210342898632609</v>
      </c>
      <c r="N29" s="26">
        <v>135.61540911007285</v>
      </c>
      <c r="O29" s="26">
        <v>3.5584622253348508</v>
      </c>
      <c r="P29" s="26">
        <v>3.6505484625521194</v>
      </c>
      <c r="Q29" s="1">
        <v>1</v>
      </c>
      <c r="R29" s="3" t="s">
        <v>98</v>
      </c>
      <c r="S29" s="11" t="s">
        <v>91</v>
      </c>
    </row>
    <row r="30" spans="1:19" ht="32">
      <c r="A30" s="1" t="s">
        <v>14</v>
      </c>
      <c r="B30" s="3" t="s">
        <v>94</v>
      </c>
      <c r="C30" s="4">
        <v>43034</v>
      </c>
      <c r="D30" s="44">
        <v>0.29236111111111113</v>
      </c>
      <c r="E30" s="37">
        <v>26</v>
      </c>
      <c r="F30" s="37">
        <v>34.700000000000003</v>
      </c>
      <c r="G30" s="26">
        <v>5.78</v>
      </c>
      <c r="H30" s="37">
        <v>86.6</v>
      </c>
      <c r="I30" s="26">
        <v>7.96</v>
      </c>
      <c r="J30" s="26">
        <f>AVERAGE(6.06,6.52,6.32)</f>
        <v>6.3</v>
      </c>
      <c r="K30" s="26">
        <v>62.196364276607248</v>
      </c>
      <c r="L30" s="26">
        <v>11.436536874860034</v>
      </c>
      <c r="M30" s="26">
        <v>6.4145307378995593</v>
      </c>
      <c r="N30" s="26">
        <v>179.13713218479566</v>
      </c>
      <c r="O30" s="26">
        <v>8.2511689573667155</v>
      </c>
      <c r="P30" s="26">
        <v>5.3271224110515201</v>
      </c>
      <c r="Q30" s="1">
        <v>3</v>
      </c>
      <c r="R30" s="3" t="s">
        <v>49</v>
      </c>
      <c r="S30" s="11" t="s">
        <v>90</v>
      </c>
    </row>
    <row r="31" spans="1:19" ht="32">
      <c r="A31" s="1" t="s">
        <v>87</v>
      </c>
      <c r="B31" s="3" t="s">
        <v>94</v>
      </c>
      <c r="C31" s="4">
        <v>43055</v>
      </c>
      <c r="D31" s="44">
        <v>0.29930555555555555</v>
      </c>
      <c r="E31" s="37">
        <v>23.8</v>
      </c>
      <c r="F31" s="37">
        <v>34.799999999999997</v>
      </c>
      <c r="G31" s="26">
        <v>5.99</v>
      </c>
      <c r="H31" s="37">
        <v>86.6</v>
      </c>
      <c r="I31" s="26">
        <v>8.1</v>
      </c>
      <c r="J31" s="26">
        <f>AVERAGE(3.64,3.22,3.61)</f>
        <v>3.49</v>
      </c>
      <c r="K31" s="26">
        <v>69.527038554407099</v>
      </c>
      <c r="L31" s="26">
        <v>13.157883932453455</v>
      </c>
      <c r="M31" s="26">
        <v>5.1556218961045728</v>
      </c>
      <c r="N31" s="26">
        <v>163.31823798132999</v>
      </c>
      <c r="O31" s="26">
        <v>3.3382457198470248</v>
      </c>
      <c r="P31" s="26">
        <v>3.9345120283991548</v>
      </c>
      <c r="Q31" s="1">
        <v>1</v>
      </c>
      <c r="R31" s="3" t="s">
        <v>66</v>
      </c>
      <c r="S31" s="11" t="s">
        <v>90</v>
      </c>
    </row>
    <row r="32" spans="1:19" ht="32">
      <c r="A32" s="1" t="s">
        <v>87</v>
      </c>
      <c r="B32" s="3" t="s">
        <v>94</v>
      </c>
      <c r="C32" s="4">
        <v>43076</v>
      </c>
      <c r="D32" s="44">
        <v>0.29722222222222222</v>
      </c>
      <c r="E32" s="37">
        <v>23.3</v>
      </c>
      <c r="F32" s="37">
        <v>34.799999999999997</v>
      </c>
      <c r="G32" s="26">
        <v>6.27</v>
      </c>
      <c r="H32" s="37">
        <v>89.5</v>
      </c>
      <c r="I32" s="26">
        <v>8.09</v>
      </c>
      <c r="J32" s="26">
        <f>AVERAGE(6.48,6.56,6.95)</f>
        <v>6.6633333333333331</v>
      </c>
      <c r="K32" s="26"/>
      <c r="O32" s="26"/>
      <c r="P32" s="26"/>
      <c r="Q32" s="1">
        <v>3</v>
      </c>
      <c r="R32" s="3" t="s">
        <v>89</v>
      </c>
      <c r="S32" s="11" t="s">
        <v>90</v>
      </c>
    </row>
    <row r="33" spans="1:19" ht="32">
      <c r="A33" s="1" t="s">
        <v>87</v>
      </c>
      <c r="B33" s="3" t="s">
        <v>94</v>
      </c>
      <c r="C33" s="4">
        <v>43090</v>
      </c>
      <c r="D33" s="44">
        <v>0.34791666666666665</v>
      </c>
      <c r="E33" s="37">
        <v>23.5</v>
      </c>
      <c r="F33" s="37">
        <v>34.700000000000003</v>
      </c>
      <c r="G33" s="26">
        <v>6.46</v>
      </c>
      <c r="H33" s="37">
        <v>92.8</v>
      </c>
      <c r="I33" s="26">
        <v>8.0299999999999994</v>
      </c>
      <c r="J33" s="26">
        <f>AVERAGE(9.07,10.4,10.4)</f>
        <v>9.9566666666666652</v>
      </c>
      <c r="K33" s="26"/>
      <c r="O33" s="26"/>
      <c r="P33" s="26"/>
      <c r="Q33" s="1">
        <v>1</v>
      </c>
      <c r="R33" s="3" t="s">
        <v>41</v>
      </c>
      <c r="S33" s="11" t="s">
        <v>90</v>
      </c>
    </row>
    <row r="34" spans="1:19" ht="32">
      <c r="A34" s="1" t="s">
        <v>87</v>
      </c>
      <c r="B34" s="3" t="s">
        <v>94</v>
      </c>
      <c r="C34" s="4">
        <v>43111</v>
      </c>
      <c r="D34" s="44">
        <v>0.30138888888888887</v>
      </c>
      <c r="E34" s="37">
        <v>23.1</v>
      </c>
      <c r="F34" s="37">
        <v>34.299999999999997</v>
      </c>
      <c r="G34" s="26">
        <v>5.88</v>
      </c>
      <c r="H34" s="37">
        <v>83.4</v>
      </c>
      <c r="I34" s="26">
        <v>8.06</v>
      </c>
      <c r="J34" s="26">
        <f>AVERAGE(2.66,2.53,2.48)</f>
        <v>2.5566666666666666</v>
      </c>
      <c r="K34" s="26"/>
      <c r="O34" s="26"/>
      <c r="P34" s="26"/>
      <c r="Q34" s="1">
        <v>3</v>
      </c>
      <c r="R34" s="3" t="s">
        <v>103</v>
      </c>
      <c r="S34" s="11" t="s">
        <v>90</v>
      </c>
    </row>
    <row r="35" spans="1:19">
      <c r="E35" s="37"/>
      <c r="F35" s="37"/>
      <c r="G35" s="26"/>
      <c r="H35" s="37"/>
      <c r="I35" s="26"/>
      <c r="J35" s="26"/>
      <c r="K35" s="26"/>
      <c r="O35" s="26"/>
      <c r="P35" s="26"/>
    </row>
    <row r="36" spans="1:19">
      <c r="E36" s="37"/>
      <c r="F36" s="37"/>
      <c r="G36" s="26"/>
      <c r="H36" s="37"/>
      <c r="I36" s="26"/>
      <c r="J36" s="26"/>
      <c r="K36" s="26"/>
      <c r="O36" s="26"/>
      <c r="P36" s="26"/>
    </row>
    <row r="37" spans="1:19">
      <c r="E37" s="37"/>
      <c r="F37" s="37"/>
      <c r="G37" s="26"/>
      <c r="H37" s="37"/>
      <c r="I37" s="26"/>
      <c r="J37" s="26"/>
      <c r="K37" s="26"/>
      <c r="O37" s="26"/>
      <c r="P37" s="26"/>
    </row>
    <row r="41" spans="1:19">
      <c r="I41" s="19">
        <f t="shared" ref="I41:P41" si="0">GEOMEAN(I4:I39)</f>
        <v>8.0151775727016421</v>
      </c>
      <c r="J41" s="21">
        <f t="shared" si="0"/>
        <v>3.4345684701455386</v>
      </c>
      <c r="K41" s="19">
        <f t="shared" si="0"/>
        <v>75.794908184170993</v>
      </c>
      <c r="L41" s="19">
        <f t="shared" si="0"/>
        <v>10.912499240874089</v>
      </c>
      <c r="M41" s="19">
        <f t="shared" si="0"/>
        <v>5.1533900303381639</v>
      </c>
      <c r="N41" s="19">
        <f t="shared" si="0"/>
        <v>172.73209715106972</v>
      </c>
      <c r="O41" s="28">
        <f t="shared" si="0"/>
        <v>5.6180551354942434</v>
      </c>
      <c r="P41" s="27">
        <f t="shared" si="0"/>
        <v>3.2316496267155772</v>
      </c>
      <c r="S41" s="11" t="s">
        <v>95</v>
      </c>
    </row>
    <row r="42" spans="1:19">
      <c r="D42" s="39">
        <f>AVERAGE(D2:D38)</f>
        <v>0.30627240143369172</v>
      </c>
      <c r="E42" s="26">
        <f>AVERAGE(E2:E38)</f>
        <v>25.241935483870964</v>
      </c>
      <c r="F42" s="26">
        <f t="shared" ref="F42:H42" si="1">AVERAGE(F2:F38)</f>
        <v>34.961290322580645</v>
      </c>
      <c r="G42" s="26">
        <f t="shared" si="1"/>
        <v>5.8964516129032267</v>
      </c>
      <c r="H42" s="26">
        <f t="shared" si="1"/>
        <v>87.187096774193535</v>
      </c>
      <c r="I42" s="16">
        <f>AVERAGE(I4:I38)</f>
        <v>8.0158064516129031</v>
      </c>
      <c r="J42" s="8">
        <f>AVERAGE(J2:J38)</f>
        <v>4.4653225806451609</v>
      </c>
      <c r="K42" s="23">
        <f t="shared" ref="K42:P42" si="2">AVERAGE(K2:K38)</f>
        <v>77.030327125046412</v>
      </c>
      <c r="L42" s="26">
        <f t="shared" ref="L42:M42" si="3">AVERAGE(L2:L38)</f>
        <v>11.315274335865157</v>
      </c>
      <c r="M42" s="26">
        <f t="shared" si="3"/>
        <v>5.2609496685303627</v>
      </c>
      <c r="N42" s="26">
        <f>AVERAGE(N2:N38)</f>
        <v>178.71230451685753</v>
      </c>
      <c r="O42" s="23">
        <f t="shared" si="2"/>
        <v>6.8183208111033347</v>
      </c>
      <c r="P42" s="23">
        <f t="shared" si="2"/>
        <v>3.7543477446877129</v>
      </c>
      <c r="S42" s="11" t="s">
        <v>96</v>
      </c>
    </row>
    <row r="43" spans="1:19">
      <c r="E43" s="26">
        <f>STDEV(E4:E38)</f>
        <v>1.5090337291456621</v>
      </c>
      <c r="F43" s="26">
        <f t="shared" ref="F43:H43" si="4">STDEV(F4:F38)</f>
        <v>0.77402731190178842</v>
      </c>
      <c r="G43" s="26">
        <f t="shared" si="4"/>
        <v>0.37270675145566734</v>
      </c>
      <c r="H43" s="26">
        <f t="shared" si="4"/>
        <v>4.3833580685348759</v>
      </c>
      <c r="I43" s="16">
        <f>STDEV(I4:I38)</f>
        <v>0.10262469467429784</v>
      </c>
      <c r="J43" s="8">
        <f>STDEV(J2:J38)</f>
        <v>3.2442467144662372</v>
      </c>
      <c r="K43" s="23">
        <f t="shared" ref="K43:P43" si="5">STDEV(K2:K38)</f>
        <v>14.39967539229767</v>
      </c>
      <c r="L43" s="26">
        <f t="shared" ref="L43:M43" si="6">STDEV(L2:L38)</f>
        <v>3.0120616424503042</v>
      </c>
      <c r="M43" s="26">
        <f t="shared" si="6"/>
        <v>1.0532566353144985</v>
      </c>
      <c r="N43" s="26">
        <f>STDEV(N2:N38)</f>
        <v>50.396115603371456</v>
      </c>
      <c r="O43" s="23">
        <f t="shared" si="5"/>
        <v>5.8156071098014808</v>
      </c>
      <c r="P43" s="23">
        <f t="shared" si="5"/>
        <v>2.2489270448755732</v>
      </c>
      <c r="S43" s="11" t="s">
        <v>97</v>
      </c>
    </row>
    <row r="45" spans="1:19">
      <c r="J45" s="8">
        <f>J41/0.2</f>
        <v>17.172842350727691</v>
      </c>
      <c r="K45" s="23">
        <f>K41/110</f>
        <v>0.68904461985609988</v>
      </c>
      <c r="L45" s="26">
        <f>L41/16</f>
        <v>0.68203120255463057</v>
      </c>
      <c r="M45" s="26">
        <f>M41/6</f>
        <v>0.85889833838969398</v>
      </c>
      <c r="N45" s="26">
        <f>N41</f>
        <v>172.73209715106972</v>
      </c>
      <c r="O45" s="23">
        <f>O41/3.5</f>
        <v>1.6051586101412123</v>
      </c>
      <c r="P45" s="23">
        <f>P41/2</f>
        <v>1.6158248133577886</v>
      </c>
      <c r="S45" s="11" t="s">
        <v>100</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5"/>
  <sheetViews>
    <sheetView workbookViewId="0">
      <pane xSplit="3" ySplit="1" topLeftCell="K23" activePane="bottomRight" state="frozen"/>
      <selection pane="topRight" activeCell="D1" sqref="D1"/>
      <selection pane="bottomLeft" activeCell="A2" sqref="A2"/>
      <selection pane="bottomRight" activeCell="A26" sqref="A26:XFD26"/>
    </sheetView>
  </sheetViews>
  <sheetFormatPr baseColWidth="10" defaultRowHeight="16"/>
  <cols>
    <col min="1" max="1" width="17.42578125" style="1" customWidth="1"/>
    <col min="2" max="2" width="10.7109375" style="3"/>
    <col min="3" max="4" width="10.7109375" style="1"/>
    <col min="5" max="5" width="13.140625" style="7" customWidth="1"/>
    <col min="6" max="6" width="10.7109375" style="7"/>
    <col min="7" max="7" width="10.7109375" style="6"/>
    <col min="8" max="8" width="10.7109375" style="7"/>
    <col min="9" max="10" width="10.7109375" style="6"/>
    <col min="11" max="11" width="10.7109375" style="12"/>
    <col min="12" max="12" width="10.7109375" style="26"/>
    <col min="13" max="13" width="12.140625" style="26" customWidth="1"/>
    <col min="14" max="14" width="10.7109375" style="26"/>
    <col min="15" max="16" width="10.7109375" style="12"/>
    <col min="17" max="17" width="12.28515625" style="16" customWidth="1"/>
    <col min="18" max="18" width="12.140625" style="36" customWidth="1"/>
    <col min="19" max="19" width="51.42578125" style="11" customWidth="1"/>
    <col min="20" max="16384" width="10.7109375" style="1"/>
  </cols>
  <sheetData>
    <row r="1" spans="1:19" s="2" customFormat="1" ht="32">
      <c r="A1" s="2" t="s">
        <v>24</v>
      </c>
      <c r="B1" s="2" t="s">
        <v>26</v>
      </c>
      <c r="C1" s="2" t="s">
        <v>45</v>
      </c>
      <c r="D1" s="2" t="s">
        <v>46</v>
      </c>
      <c r="E1" s="9" t="s">
        <v>47</v>
      </c>
      <c r="F1" s="9" t="s">
        <v>50</v>
      </c>
      <c r="G1" s="15" t="s">
        <v>51</v>
      </c>
      <c r="H1" s="9" t="s">
        <v>52</v>
      </c>
      <c r="I1" s="15" t="s">
        <v>55</v>
      </c>
      <c r="J1" s="15" t="s">
        <v>56</v>
      </c>
      <c r="K1" s="2" t="s">
        <v>57</v>
      </c>
      <c r="L1" s="2" t="s">
        <v>60</v>
      </c>
      <c r="M1" s="2" t="s">
        <v>61</v>
      </c>
      <c r="N1" s="2" t="s">
        <v>62</v>
      </c>
      <c r="O1" s="2" t="s">
        <v>58</v>
      </c>
      <c r="P1" s="2" t="s">
        <v>59</v>
      </c>
      <c r="Q1" s="2" t="s">
        <v>63</v>
      </c>
      <c r="R1" s="2" t="s">
        <v>78</v>
      </c>
      <c r="S1" s="2" t="s">
        <v>79</v>
      </c>
    </row>
    <row r="2" spans="1:19" ht="32">
      <c r="A2" s="1" t="s">
        <v>1</v>
      </c>
      <c r="B2" s="3" t="s">
        <v>2</v>
      </c>
      <c r="C2" s="4">
        <v>42537</v>
      </c>
      <c r="D2" s="5">
        <v>0.32291666666666669</v>
      </c>
      <c r="E2" s="7">
        <v>25.3</v>
      </c>
      <c r="F2" s="7">
        <v>29.3</v>
      </c>
      <c r="G2" s="6">
        <v>6.86</v>
      </c>
      <c r="H2" s="7">
        <v>101.2</v>
      </c>
      <c r="I2" s="6">
        <v>7.96</v>
      </c>
      <c r="J2" s="6">
        <v>23.3</v>
      </c>
      <c r="K2" s="12">
        <v>78.22</v>
      </c>
      <c r="L2" s="26">
        <v>10.8</v>
      </c>
      <c r="M2" s="26">
        <v>7.56</v>
      </c>
      <c r="N2" s="26">
        <v>330.61</v>
      </c>
      <c r="O2" s="12">
        <v>5.91</v>
      </c>
      <c r="P2" s="12">
        <v>2.74</v>
      </c>
      <c r="Q2" s="1">
        <v>1</v>
      </c>
      <c r="R2" s="35" t="s">
        <v>69</v>
      </c>
      <c r="S2" s="11" t="s">
        <v>18</v>
      </c>
    </row>
    <row r="3" spans="1:19" ht="32">
      <c r="A3" s="1" t="s">
        <v>1</v>
      </c>
      <c r="B3" s="3" t="s">
        <v>2</v>
      </c>
      <c r="C3" s="4">
        <v>42551</v>
      </c>
      <c r="D3" s="5">
        <v>0.31458333333333333</v>
      </c>
      <c r="E3" s="7">
        <v>27.7</v>
      </c>
      <c r="F3" s="7">
        <v>30.3</v>
      </c>
      <c r="G3" s="6">
        <v>6.43</v>
      </c>
      <c r="H3" s="7">
        <v>98.9</v>
      </c>
      <c r="I3" s="6">
        <v>8.01</v>
      </c>
      <c r="J3" s="6">
        <v>7.4</v>
      </c>
      <c r="K3" s="12">
        <v>84.09</v>
      </c>
      <c r="L3" s="26">
        <v>14.15</v>
      </c>
      <c r="M3" s="26">
        <v>5.29</v>
      </c>
      <c r="N3" s="26">
        <v>354.48</v>
      </c>
      <c r="O3" s="12">
        <v>1.74</v>
      </c>
      <c r="P3" s="12">
        <v>4</v>
      </c>
      <c r="Q3" s="1">
        <v>1</v>
      </c>
      <c r="R3" s="35" t="s">
        <v>69</v>
      </c>
      <c r="S3" s="11" t="s">
        <v>18</v>
      </c>
    </row>
    <row r="4" spans="1:19" ht="32">
      <c r="A4" s="1" t="s">
        <v>1</v>
      </c>
      <c r="B4" s="3" t="s">
        <v>2</v>
      </c>
      <c r="C4" s="4">
        <v>42565</v>
      </c>
      <c r="D4" s="5">
        <v>0.34166666666666662</v>
      </c>
      <c r="E4" s="7">
        <v>28.2</v>
      </c>
      <c r="F4" s="7">
        <v>37.4</v>
      </c>
      <c r="G4" s="6">
        <v>6.22</v>
      </c>
      <c r="H4" s="7">
        <v>98.1</v>
      </c>
      <c r="I4" s="6">
        <v>8.02</v>
      </c>
      <c r="J4" s="6">
        <v>22.8</v>
      </c>
      <c r="K4" s="16">
        <v>67.218630177752104</v>
      </c>
      <c r="L4" s="26">
        <v>14.862160114963395</v>
      </c>
      <c r="M4" s="26">
        <v>7.3621309856215804</v>
      </c>
      <c r="N4" s="26">
        <v>595.45293244427444</v>
      </c>
      <c r="O4" s="16">
        <v>1.4935064419705053</v>
      </c>
      <c r="P4" s="18">
        <v>1.5</v>
      </c>
      <c r="Q4" s="1">
        <v>1</v>
      </c>
      <c r="R4" s="35" t="s">
        <v>69</v>
      </c>
      <c r="S4" s="11" t="s">
        <v>19</v>
      </c>
    </row>
    <row r="5" spans="1:19" ht="32">
      <c r="A5" s="1" t="s">
        <v>1</v>
      </c>
      <c r="B5" s="3" t="s">
        <v>2</v>
      </c>
      <c r="C5" s="4">
        <v>42579</v>
      </c>
      <c r="D5" s="5">
        <v>0.3298611111111111</v>
      </c>
      <c r="E5" s="7">
        <v>26.6</v>
      </c>
      <c r="F5" s="7">
        <v>35.5</v>
      </c>
      <c r="G5" s="6">
        <v>6.47</v>
      </c>
      <c r="H5" s="7">
        <v>98.1</v>
      </c>
      <c r="I5" s="6">
        <v>8.0500000000000007</v>
      </c>
      <c r="J5" s="6">
        <f>AVERAGE(11.9,12.9,12.5)</f>
        <v>12.433333333333332</v>
      </c>
      <c r="K5" s="16">
        <v>64.435589366237934</v>
      </c>
      <c r="L5" s="26">
        <v>9.9719489804719323</v>
      </c>
      <c r="M5" s="26">
        <v>6.9503658147108469</v>
      </c>
      <c r="N5" s="26">
        <v>559.99658876749913</v>
      </c>
      <c r="O5" s="16">
        <v>1.6460648709292629</v>
      </c>
      <c r="P5" s="38">
        <v>42.037418280131895</v>
      </c>
      <c r="Q5" s="1">
        <v>1</v>
      </c>
      <c r="R5" s="3" t="s">
        <v>68</v>
      </c>
      <c r="S5" s="11" t="s">
        <v>22</v>
      </c>
    </row>
    <row r="6" spans="1:19" ht="32">
      <c r="A6" s="1" t="s">
        <v>1</v>
      </c>
      <c r="B6" s="3" t="s">
        <v>2</v>
      </c>
      <c r="C6" s="4">
        <v>42593</v>
      </c>
      <c r="D6" s="5">
        <v>0.33333333333333331</v>
      </c>
      <c r="E6" s="7">
        <v>27.2</v>
      </c>
      <c r="F6" s="7">
        <v>35.6</v>
      </c>
      <c r="G6" s="6">
        <v>6.18</v>
      </c>
      <c r="H6" s="7">
        <v>94.7</v>
      </c>
      <c r="I6" s="6">
        <v>8.06</v>
      </c>
      <c r="J6" s="6">
        <f>AVERAGE(3.44,3.09,3.3)</f>
        <v>3.276666666666666</v>
      </c>
      <c r="K6" s="12">
        <v>48.571535605616006</v>
      </c>
      <c r="L6" s="26">
        <v>13.294340641511427</v>
      </c>
      <c r="M6" s="26">
        <v>3.8919728176825896</v>
      </c>
      <c r="N6" s="26">
        <v>256.82499036691331</v>
      </c>
      <c r="O6" s="12">
        <v>2.4418386058849566</v>
      </c>
      <c r="P6" s="12">
        <v>1.5484851334845575</v>
      </c>
      <c r="Q6" s="1">
        <v>1</v>
      </c>
      <c r="R6" s="3" t="s">
        <v>68</v>
      </c>
      <c r="S6" s="11" t="s">
        <v>83</v>
      </c>
    </row>
    <row r="7" spans="1:19" ht="32">
      <c r="A7" s="1" t="s">
        <v>1</v>
      </c>
      <c r="B7" s="3" t="s">
        <v>2</v>
      </c>
      <c r="C7" s="4">
        <v>42607</v>
      </c>
      <c r="D7" s="5">
        <v>0.32291666666666669</v>
      </c>
      <c r="E7" s="7">
        <v>28.2</v>
      </c>
      <c r="F7" s="7">
        <v>36.5</v>
      </c>
      <c r="G7" s="6">
        <v>5.49</v>
      </c>
      <c r="H7" s="7">
        <v>85.7</v>
      </c>
      <c r="I7" s="6">
        <v>7.99</v>
      </c>
      <c r="J7" s="6">
        <f>AVERAGE(2.64,2.69,2.7)</f>
        <v>2.6766666666666672</v>
      </c>
      <c r="K7" s="12">
        <v>66.513276955409012</v>
      </c>
      <c r="L7" s="26">
        <v>13.807520783757182</v>
      </c>
      <c r="M7" s="26">
        <v>4.9469731526809877</v>
      </c>
      <c r="N7" s="26">
        <v>238.91798445031816</v>
      </c>
      <c r="O7" s="12">
        <v>5.1629943596201251</v>
      </c>
      <c r="P7" s="18">
        <v>1.5</v>
      </c>
      <c r="Q7" s="1">
        <v>2</v>
      </c>
      <c r="R7" s="35" t="s">
        <v>69</v>
      </c>
      <c r="S7" s="11" t="s">
        <v>83</v>
      </c>
    </row>
    <row r="8" spans="1:19" ht="32">
      <c r="A8" s="1" t="s">
        <v>1</v>
      </c>
      <c r="B8" s="3" t="s">
        <v>2</v>
      </c>
      <c r="C8" s="4">
        <v>42621</v>
      </c>
      <c r="D8" s="5">
        <v>0.31597222222222221</v>
      </c>
      <c r="E8" s="7">
        <v>25.8</v>
      </c>
      <c r="F8" s="7">
        <v>36</v>
      </c>
      <c r="G8" s="6">
        <v>6.53</v>
      </c>
      <c r="H8" s="7">
        <v>98</v>
      </c>
      <c r="I8" s="6">
        <v>8.1199999999999992</v>
      </c>
      <c r="J8" s="6">
        <f>AVERAGE(34.1,34.7,35)</f>
        <v>34.6</v>
      </c>
      <c r="K8" s="12">
        <v>92.155711370448088</v>
      </c>
      <c r="L8" s="26">
        <v>12.978251423461504</v>
      </c>
      <c r="M8" s="26">
        <v>5.254049444815819</v>
      </c>
      <c r="N8" s="26">
        <v>259.76889348791298</v>
      </c>
      <c r="O8" s="12">
        <v>4.7110134057400685</v>
      </c>
      <c r="P8" s="12">
        <v>4.2935627580992266</v>
      </c>
      <c r="Q8" s="17">
        <v>2</v>
      </c>
      <c r="R8" s="3" t="s">
        <v>68</v>
      </c>
      <c r="S8" s="11" t="s">
        <v>39</v>
      </c>
    </row>
    <row r="9" spans="1:19" ht="32">
      <c r="A9" s="1" t="s">
        <v>1</v>
      </c>
      <c r="B9" s="3" t="s">
        <v>2</v>
      </c>
      <c r="C9" s="4">
        <v>42635</v>
      </c>
      <c r="D9" s="5">
        <v>0.32777777777777778</v>
      </c>
      <c r="E9" s="7">
        <v>26.6</v>
      </c>
      <c r="F9" s="7">
        <v>36.700000000000003</v>
      </c>
      <c r="G9" s="6">
        <v>6.44</v>
      </c>
      <c r="H9" s="7">
        <v>98.6</v>
      </c>
      <c r="I9" s="6">
        <v>7.86</v>
      </c>
      <c r="J9" s="6">
        <f>AVERAGE(25.9,25.6,26.7)</f>
        <v>26.066666666666666</v>
      </c>
      <c r="K9" s="12">
        <v>62.807573318632876</v>
      </c>
      <c r="L9" s="26">
        <v>14.250045689027074</v>
      </c>
      <c r="M9" s="26">
        <v>7.2195968505902464</v>
      </c>
      <c r="N9" s="26">
        <v>915.02198044782517</v>
      </c>
      <c r="O9" s="12">
        <v>4.4427645469332058</v>
      </c>
      <c r="P9" s="12">
        <v>4.8570580759611461</v>
      </c>
      <c r="Q9" s="20">
        <v>1</v>
      </c>
      <c r="R9" s="35" t="s">
        <v>69</v>
      </c>
      <c r="S9" s="11" t="s">
        <v>39</v>
      </c>
    </row>
    <row r="10" spans="1:19" ht="32">
      <c r="A10" s="1" t="s">
        <v>1</v>
      </c>
      <c r="B10" s="3" t="s">
        <v>2</v>
      </c>
      <c r="C10" s="4">
        <v>42649</v>
      </c>
      <c r="D10" s="5">
        <v>0.3298611111111111</v>
      </c>
      <c r="E10" s="7">
        <v>26.8</v>
      </c>
      <c r="F10" s="7">
        <v>34.9</v>
      </c>
      <c r="G10" s="6">
        <v>6.23</v>
      </c>
      <c r="H10" s="7">
        <v>94.5</v>
      </c>
      <c r="I10" s="6">
        <v>8.06</v>
      </c>
      <c r="J10" s="6">
        <f>AVERAGE(9.32,9.08,8.93)</f>
        <v>9.11</v>
      </c>
      <c r="K10" s="12">
        <v>61.488265217581692</v>
      </c>
      <c r="L10" s="26">
        <v>12.189887726678171</v>
      </c>
      <c r="M10" s="26">
        <v>5.138733875195566</v>
      </c>
      <c r="N10" s="26">
        <v>330.12557851650985</v>
      </c>
      <c r="O10" s="12">
        <v>3.2289078388163053</v>
      </c>
      <c r="P10" s="12">
        <v>3.2680012795905307</v>
      </c>
      <c r="Q10" s="20">
        <v>2</v>
      </c>
      <c r="R10" s="3" t="s">
        <v>68</v>
      </c>
      <c r="S10" s="11" t="s">
        <v>39</v>
      </c>
    </row>
    <row r="11" spans="1:19" ht="32">
      <c r="A11" s="1" t="s">
        <v>1</v>
      </c>
      <c r="B11" s="3" t="s">
        <v>2</v>
      </c>
      <c r="C11" s="4">
        <v>42663</v>
      </c>
      <c r="D11" s="5">
        <v>0.31944444444444448</v>
      </c>
      <c r="E11" s="7">
        <v>25.7</v>
      </c>
      <c r="F11" s="7">
        <v>36.6</v>
      </c>
      <c r="G11" s="6">
        <v>5.95</v>
      </c>
      <c r="H11" s="7">
        <v>89.7</v>
      </c>
      <c r="I11" s="6">
        <v>8.01</v>
      </c>
      <c r="J11" s="6">
        <f>AVERAGE(2.43,2.72,2.47)</f>
        <v>2.5400000000000005</v>
      </c>
      <c r="K11" s="12">
        <v>61.116723578141041</v>
      </c>
      <c r="L11" s="26">
        <v>13.010094735999409</v>
      </c>
      <c r="M11" s="26">
        <v>5.0304029119592482</v>
      </c>
      <c r="N11" s="26">
        <v>191.77521671730585</v>
      </c>
      <c r="O11" s="12">
        <v>1.5045626243457517</v>
      </c>
      <c r="P11" s="12">
        <v>3.3145508086448308</v>
      </c>
      <c r="Q11" s="33">
        <v>1</v>
      </c>
      <c r="R11" s="35" t="s">
        <v>69</v>
      </c>
      <c r="S11" s="11" t="s">
        <v>39</v>
      </c>
    </row>
    <row r="12" spans="1:19" ht="32">
      <c r="A12" s="1" t="s">
        <v>1</v>
      </c>
      <c r="B12" s="3" t="s">
        <v>2</v>
      </c>
      <c r="C12" s="4">
        <v>42677</v>
      </c>
      <c r="D12" s="5">
        <v>0.31736111111111115</v>
      </c>
      <c r="E12" s="7">
        <v>25.1</v>
      </c>
      <c r="F12" s="7">
        <v>34.9</v>
      </c>
      <c r="G12" s="6">
        <v>6.08</v>
      </c>
      <c r="H12" s="7">
        <v>89.4</v>
      </c>
      <c r="I12" s="6">
        <v>8.11</v>
      </c>
      <c r="J12" s="6">
        <f>AVERAGE(1.29,1.29,1.25)</f>
        <v>1.2766666666666666</v>
      </c>
      <c r="K12" s="12">
        <v>58.506267624452946</v>
      </c>
      <c r="L12" s="26">
        <v>16.204494985744184</v>
      </c>
      <c r="M12" s="26">
        <v>4.7696056498225943</v>
      </c>
      <c r="N12" s="26">
        <v>113.51111792907157</v>
      </c>
      <c r="O12" s="12">
        <v>3.9201434146490786</v>
      </c>
      <c r="P12" s="12">
        <v>3.0969175286462862</v>
      </c>
      <c r="Q12" s="1">
        <v>2</v>
      </c>
      <c r="R12" s="3" t="s">
        <v>68</v>
      </c>
      <c r="S12" s="11" t="s">
        <v>93</v>
      </c>
    </row>
    <row r="13" spans="1:19" ht="32">
      <c r="A13" s="1" t="s">
        <v>1</v>
      </c>
      <c r="B13" s="3" t="s">
        <v>2</v>
      </c>
      <c r="C13" s="4">
        <v>42691</v>
      </c>
      <c r="D13" s="5">
        <v>0.33680555555555558</v>
      </c>
      <c r="E13" s="10">
        <v>25</v>
      </c>
      <c r="F13" s="10">
        <v>34.799999999999997</v>
      </c>
      <c r="G13" s="26">
        <v>6.02</v>
      </c>
      <c r="H13" s="10">
        <v>88.4</v>
      </c>
      <c r="I13" s="26">
        <v>8.0500000000000007</v>
      </c>
      <c r="J13" s="26">
        <f>AVERAGE(0.68,0.68,0.7)</f>
        <v>0.68666666666666665</v>
      </c>
      <c r="K13" s="26">
        <v>62.817311026579404</v>
      </c>
      <c r="L13" s="26">
        <v>5.1443313524887051</v>
      </c>
      <c r="M13" s="26">
        <v>3.4835002951289091</v>
      </c>
      <c r="N13" s="26">
        <v>107.67538287811492</v>
      </c>
      <c r="O13" s="26">
        <v>6.7561987275728494</v>
      </c>
      <c r="P13" s="26">
        <v>1.5615064165558699</v>
      </c>
      <c r="Q13" s="1">
        <v>2</v>
      </c>
      <c r="R13" s="3" t="s">
        <v>68</v>
      </c>
      <c r="S13" s="11" t="s">
        <v>93</v>
      </c>
    </row>
    <row r="14" spans="1:19" ht="32">
      <c r="A14" s="1" t="s">
        <v>1</v>
      </c>
      <c r="B14" s="3" t="s">
        <v>2</v>
      </c>
      <c r="C14" s="4">
        <v>42705</v>
      </c>
      <c r="D14" s="5">
        <v>0.31944444444444448</v>
      </c>
      <c r="E14" s="10">
        <v>23.5</v>
      </c>
      <c r="F14" s="10">
        <v>34.700000000000003</v>
      </c>
      <c r="G14" s="26">
        <v>6.53</v>
      </c>
      <c r="H14" s="10">
        <v>93.5</v>
      </c>
      <c r="I14" s="26">
        <v>8.06</v>
      </c>
      <c r="J14" s="26">
        <f>AVERAGE(3.56,3.7,3.74)</f>
        <v>3.6666666666666665</v>
      </c>
      <c r="K14" s="26">
        <v>61.553665559994812</v>
      </c>
      <c r="L14" s="26">
        <v>6.4988664840868351</v>
      </c>
      <c r="M14" s="26">
        <v>3.1604416732236258</v>
      </c>
      <c r="N14" s="26">
        <v>291.07169104739609</v>
      </c>
      <c r="O14" s="26">
        <v>5.076507779312502</v>
      </c>
      <c r="P14" s="26">
        <v>2.1402205672353594</v>
      </c>
      <c r="Q14" s="1">
        <v>2</v>
      </c>
      <c r="R14" s="3" t="s">
        <v>68</v>
      </c>
      <c r="S14" s="11" t="s">
        <v>93</v>
      </c>
    </row>
    <row r="15" spans="1:19" ht="32">
      <c r="A15" s="1" t="s">
        <v>1</v>
      </c>
      <c r="B15" s="3" t="s">
        <v>2</v>
      </c>
      <c r="C15" s="4">
        <v>42719</v>
      </c>
      <c r="D15" s="5">
        <v>0.35069444444444442</v>
      </c>
      <c r="E15" s="10">
        <v>24.8</v>
      </c>
      <c r="F15" s="10">
        <v>34.4</v>
      </c>
      <c r="G15" s="26">
        <v>6.08</v>
      </c>
      <c r="H15" s="10">
        <v>89.2</v>
      </c>
      <c r="I15" s="34">
        <v>7.85</v>
      </c>
      <c r="J15" s="26">
        <f>AVERAGE(1.28,1.47,1.81)</f>
        <v>1.5200000000000002</v>
      </c>
      <c r="K15" s="26">
        <v>60.622813474340148</v>
      </c>
      <c r="L15" s="26">
        <v>7.9051121366054531</v>
      </c>
      <c r="M15" s="26">
        <v>3.7996608992043268</v>
      </c>
      <c r="N15" s="26">
        <v>217.09442234421599</v>
      </c>
      <c r="O15" s="38">
        <v>14.940319765753959</v>
      </c>
      <c r="P15" s="26">
        <v>3.1556952787842731</v>
      </c>
      <c r="Q15" s="1">
        <v>1</v>
      </c>
      <c r="R15" s="3" t="s">
        <v>68</v>
      </c>
      <c r="S15" s="11" t="s">
        <v>93</v>
      </c>
    </row>
    <row r="16" spans="1:19" ht="32">
      <c r="A16" s="1" t="s">
        <v>1</v>
      </c>
      <c r="B16" s="3" t="s">
        <v>2</v>
      </c>
      <c r="C16" s="4">
        <v>42740</v>
      </c>
      <c r="D16" s="5">
        <v>0.30208333333333331</v>
      </c>
      <c r="E16" s="10">
        <v>23.3</v>
      </c>
      <c r="F16" s="10">
        <v>34.9</v>
      </c>
      <c r="G16" s="26">
        <v>6.63</v>
      </c>
      <c r="H16" s="10">
        <v>94.5</v>
      </c>
      <c r="I16" s="34">
        <v>7.87</v>
      </c>
      <c r="J16" s="26">
        <f>AVERAGE(8.24,7.87,7.87)</f>
        <v>7.9933333333333332</v>
      </c>
      <c r="K16" s="26">
        <v>77.667802087255666</v>
      </c>
      <c r="L16" s="26">
        <v>9.5379564872314138</v>
      </c>
      <c r="M16" s="26">
        <v>5.6334660663658571</v>
      </c>
      <c r="N16" s="26">
        <v>360.47798482953357</v>
      </c>
      <c r="O16" s="38">
        <v>12.582070267897224</v>
      </c>
      <c r="P16" s="27">
        <v>1.5</v>
      </c>
      <c r="Q16" s="1">
        <v>2</v>
      </c>
      <c r="R16" s="3" t="s">
        <v>68</v>
      </c>
      <c r="S16" s="11" t="s">
        <v>93</v>
      </c>
    </row>
    <row r="17" spans="1:19" ht="32">
      <c r="A17" s="1" t="s">
        <v>1</v>
      </c>
      <c r="B17" s="3" t="s">
        <v>2</v>
      </c>
      <c r="C17" s="4">
        <v>42761</v>
      </c>
      <c r="D17" s="5">
        <v>0.3263888888888889</v>
      </c>
      <c r="E17" s="10">
        <v>22.6</v>
      </c>
      <c r="F17" s="10">
        <v>35.1</v>
      </c>
      <c r="G17" s="26">
        <v>6.56</v>
      </c>
      <c r="H17" s="10">
        <v>92.3</v>
      </c>
      <c r="I17" s="34">
        <v>8.02</v>
      </c>
      <c r="J17" s="26">
        <f>AVERAGE(2.46,2.4,2.47)</f>
        <v>2.4433333333333334</v>
      </c>
      <c r="K17" s="26">
        <v>76.548257505506328</v>
      </c>
      <c r="L17" s="26">
        <v>10.03282934874785</v>
      </c>
      <c r="M17" s="26">
        <v>6.3088016830241376</v>
      </c>
      <c r="N17" s="26">
        <v>264.46529515069591</v>
      </c>
      <c r="O17" s="26">
        <v>6.3421118636892748</v>
      </c>
      <c r="P17" s="26">
        <v>6.7994528815470483</v>
      </c>
      <c r="Q17" s="1">
        <v>1</v>
      </c>
      <c r="R17" s="3" t="s">
        <v>68</v>
      </c>
      <c r="S17" s="11" t="s">
        <v>93</v>
      </c>
    </row>
    <row r="18" spans="1:19" ht="32">
      <c r="A18" s="1" t="s">
        <v>1</v>
      </c>
      <c r="B18" s="3" t="s">
        <v>2</v>
      </c>
      <c r="C18" s="4">
        <v>42783</v>
      </c>
      <c r="D18" s="5">
        <v>0.31944444444444448</v>
      </c>
      <c r="E18" s="10">
        <v>25.6</v>
      </c>
      <c r="F18" s="37">
        <v>35.1</v>
      </c>
      <c r="G18" s="26">
        <v>6.18</v>
      </c>
      <c r="H18" s="10">
        <v>91.6</v>
      </c>
      <c r="I18" s="19">
        <v>8.08</v>
      </c>
      <c r="J18" s="26">
        <f>AVERAGE(2.46,2.68,2.75)</f>
        <v>2.6300000000000003</v>
      </c>
      <c r="K18" s="26">
        <v>99.69351980217067</v>
      </c>
      <c r="L18" s="26">
        <v>11.063259403616161</v>
      </c>
      <c r="M18" s="26">
        <v>5.982135898135593</v>
      </c>
      <c r="N18" s="26">
        <v>161.35740045264282</v>
      </c>
      <c r="O18" s="26">
        <v>7.0944192507143571</v>
      </c>
      <c r="P18" s="26">
        <v>8.7539115033710662</v>
      </c>
      <c r="Q18" s="1">
        <v>2</v>
      </c>
      <c r="R18" s="3" t="s">
        <v>31</v>
      </c>
      <c r="S18" s="11" t="s">
        <v>93</v>
      </c>
    </row>
    <row r="19" spans="1:19" ht="32">
      <c r="A19" s="1" t="s">
        <v>1</v>
      </c>
      <c r="B19" s="3" t="s">
        <v>2</v>
      </c>
      <c r="C19" s="4">
        <v>42803</v>
      </c>
      <c r="D19" s="5">
        <v>0.3263888888888889</v>
      </c>
      <c r="E19" s="10">
        <v>25.4</v>
      </c>
      <c r="F19" s="10">
        <v>34.5</v>
      </c>
      <c r="G19" s="26">
        <v>6.26</v>
      </c>
      <c r="H19" s="10">
        <v>92.1</v>
      </c>
      <c r="I19" s="19">
        <v>8.09</v>
      </c>
      <c r="J19" s="26">
        <f>AVERAGE(4.73,4.49,4.59)</f>
        <v>4.6033333333333335</v>
      </c>
      <c r="K19" s="26">
        <v>89.824963868539484</v>
      </c>
      <c r="L19" s="26">
        <v>10.295187273443485</v>
      </c>
      <c r="M19" s="26">
        <v>6.0831943588983055</v>
      </c>
      <c r="N19" s="26">
        <v>153.48551917714551</v>
      </c>
      <c r="O19" s="26">
        <v>8.3655593184463921</v>
      </c>
      <c r="P19" s="26">
        <v>7.6938966523081316</v>
      </c>
      <c r="Q19" s="1">
        <v>1</v>
      </c>
      <c r="R19" s="3" t="s">
        <v>73</v>
      </c>
      <c r="S19" s="11" t="s">
        <v>93</v>
      </c>
    </row>
    <row r="20" spans="1:19" ht="32">
      <c r="A20" s="1" t="s">
        <v>1</v>
      </c>
      <c r="B20" s="3" t="s">
        <v>2</v>
      </c>
      <c r="C20" s="4">
        <v>42824</v>
      </c>
      <c r="D20" s="5">
        <v>0.32083333333333336</v>
      </c>
      <c r="E20" s="10">
        <v>26</v>
      </c>
      <c r="F20" s="10">
        <v>34.5</v>
      </c>
      <c r="G20" s="26">
        <v>6.41</v>
      </c>
      <c r="H20" s="10">
        <v>95.3</v>
      </c>
      <c r="I20" s="19">
        <v>8.08</v>
      </c>
      <c r="J20" s="26">
        <f>AVERAGE(7.42,7.59,8.21)</f>
        <v>7.7399999999999993</v>
      </c>
      <c r="K20" s="26">
        <v>62.049023975649163</v>
      </c>
      <c r="L20" s="26">
        <v>8.5013910858975539</v>
      </c>
      <c r="M20" s="26">
        <v>4.7657044456620286</v>
      </c>
      <c r="N20" s="26">
        <v>179.25180290637294</v>
      </c>
      <c r="O20" s="26">
        <v>3.8569940151537487</v>
      </c>
      <c r="P20" s="26">
        <v>8.6471360176513201</v>
      </c>
      <c r="Q20" s="1">
        <v>1</v>
      </c>
      <c r="R20" s="3" t="s">
        <v>73</v>
      </c>
      <c r="S20" s="11" t="s">
        <v>93</v>
      </c>
    </row>
    <row r="21" spans="1:19" ht="32">
      <c r="A21" s="1" t="s">
        <v>1</v>
      </c>
      <c r="B21" s="3" t="s">
        <v>2</v>
      </c>
      <c r="C21" s="4">
        <v>42845</v>
      </c>
      <c r="D21" s="5">
        <v>0.3125</v>
      </c>
      <c r="E21" s="37">
        <v>27.1</v>
      </c>
      <c r="F21" s="37">
        <v>34.299999999999997</v>
      </c>
      <c r="G21" s="26">
        <v>6.16</v>
      </c>
      <c r="H21" s="37">
        <v>93.6</v>
      </c>
      <c r="I21" s="19">
        <v>8.09</v>
      </c>
      <c r="J21" s="26">
        <f>AVERAGE(13.2,13.3,13.5)</f>
        <v>13.333333333333334</v>
      </c>
      <c r="K21" s="26">
        <v>92.193769083176775</v>
      </c>
      <c r="L21" s="26">
        <v>8.6545770643247906</v>
      </c>
      <c r="M21" s="26">
        <v>6.7522127714409512</v>
      </c>
      <c r="N21" s="26">
        <v>492.01326170516398</v>
      </c>
      <c r="O21" s="26">
        <v>4.9614631504111095</v>
      </c>
      <c r="P21" s="26">
        <v>4.6579183471868442</v>
      </c>
      <c r="Q21" s="1">
        <v>1</v>
      </c>
      <c r="R21" s="3" t="s">
        <v>73</v>
      </c>
      <c r="S21" s="11" t="s">
        <v>93</v>
      </c>
    </row>
    <row r="22" spans="1:19" ht="32">
      <c r="A22" s="1" t="s">
        <v>1</v>
      </c>
      <c r="B22" s="3" t="s">
        <v>2</v>
      </c>
      <c r="C22" s="4">
        <v>42866</v>
      </c>
      <c r="D22" s="5">
        <v>0.32222222222222224</v>
      </c>
      <c r="E22" s="7">
        <v>25.1</v>
      </c>
      <c r="F22" s="7">
        <v>34.299999999999997</v>
      </c>
      <c r="G22" s="6">
        <v>6.46</v>
      </c>
      <c r="H22" s="7">
        <v>94.8</v>
      </c>
      <c r="I22" s="6">
        <v>8.11</v>
      </c>
      <c r="J22" s="6">
        <f>AVERAGE(1.9,1.8,1.86)</f>
        <v>1.8533333333333335</v>
      </c>
      <c r="K22" s="26">
        <v>64.662503234103355</v>
      </c>
      <c r="L22" s="26">
        <v>9.2549010860124135</v>
      </c>
      <c r="M22" s="26">
        <v>4.8596953404102941</v>
      </c>
      <c r="N22" s="26">
        <v>286.26760584069967</v>
      </c>
      <c r="O22" s="26">
        <v>5.2705703538699913</v>
      </c>
      <c r="P22" s="26">
        <v>1.8560163731967394</v>
      </c>
      <c r="Q22" s="1">
        <v>1</v>
      </c>
      <c r="R22" s="3" t="s">
        <v>27</v>
      </c>
      <c r="S22" s="11" t="s">
        <v>93</v>
      </c>
    </row>
    <row r="23" spans="1:19" ht="32">
      <c r="A23" s="1" t="s">
        <v>1</v>
      </c>
      <c r="B23" s="3" t="s">
        <v>2</v>
      </c>
      <c r="C23" s="4">
        <v>42887</v>
      </c>
      <c r="D23" s="5">
        <v>0.32291666666666669</v>
      </c>
      <c r="E23" s="7">
        <v>25.8</v>
      </c>
      <c r="F23" s="7">
        <v>34.6</v>
      </c>
      <c r="G23" s="6">
        <v>6.45</v>
      </c>
      <c r="H23" s="7">
        <v>96.1</v>
      </c>
      <c r="I23" s="6">
        <v>8.09</v>
      </c>
      <c r="J23" s="6">
        <f>AVERAGE(6,5.96,5.59)</f>
        <v>5.8500000000000005</v>
      </c>
      <c r="K23" s="26">
        <v>62.098938536916911</v>
      </c>
      <c r="L23" s="26">
        <v>7.9333255272359624</v>
      </c>
      <c r="M23" s="26">
        <v>5.0086790255176927</v>
      </c>
      <c r="N23" s="26">
        <v>360.91909310996698</v>
      </c>
      <c r="O23" s="26">
        <v>8.7059987909569791</v>
      </c>
      <c r="P23" s="26">
        <v>2.9060248331403091</v>
      </c>
      <c r="Q23" s="1">
        <v>1</v>
      </c>
      <c r="R23" s="3" t="s">
        <v>21</v>
      </c>
      <c r="S23" s="11" t="s">
        <v>93</v>
      </c>
    </row>
    <row r="24" spans="1:19" ht="32">
      <c r="A24" s="1" t="s">
        <v>1</v>
      </c>
      <c r="B24" s="3" t="s">
        <v>2</v>
      </c>
      <c r="C24" s="4">
        <v>42908</v>
      </c>
      <c r="D24" s="5">
        <v>0.32291666666666669</v>
      </c>
      <c r="E24" s="37">
        <v>26</v>
      </c>
      <c r="F24" s="37">
        <v>34.299999999999997</v>
      </c>
      <c r="G24" s="26">
        <v>6.38</v>
      </c>
      <c r="H24" s="37">
        <v>95.5</v>
      </c>
      <c r="I24" s="34">
        <v>8.1999999999999993</v>
      </c>
      <c r="J24" s="26">
        <f>AVERAGE(14.6,15.4,15)</f>
        <v>15</v>
      </c>
      <c r="K24" s="26">
        <v>75.227523622916493</v>
      </c>
      <c r="L24" s="26">
        <v>8.7752671233298383</v>
      </c>
      <c r="M24" s="26">
        <v>8.0763045574559271</v>
      </c>
      <c r="N24" s="26">
        <v>659.60425229703822</v>
      </c>
      <c r="O24" s="26">
        <v>8.1136476478564727</v>
      </c>
      <c r="P24" s="26">
        <v>3.3701295236143576</v>
      </c>
      <c r="Q24" s="1">
        <v>1</v>
      </c>
      <c r="R24" s="3" t="s">
        <v>40</v>
      </c>
      <c r="S24" s="11" t="s">
        <v>93</v>
      </c>
    </row>
    <row r="25" spans="1:19" ht="32">
      <c r="A25" s="1" t="s">
        <v>1</v>
      </c>
      <c r="B25" s="3" t="s">
        <v>2</v>
      </c>
      <c r="C25" s="4">
        <v>42929</v>
      </c>
      <c r="D25" s="5">
        <v>0.31875000000000003</v>
      </c>
      <c r="E25" s="7">
        <v>26.9</v>
      </c>
      <c r="F25" s="7">
        <v>34.5</v>
      </c>
      <c r="G25" s="6">
        <v>6.13</v>
      </c>
      <c r="H25" s="7">
        <v>93.1</v>
      </c>
      <c r="I25" s="6">
        <v>8.08</v>
      </c>
      <c r="J25" s="6">
        <f>AVERAGE(2.47,2.46,2.67)</f>
        <v>2.5333333333333332</v>
      </c>
      <c r="K25" s="26">
        <v>71.988715476290395</v>
      </c>
      <c r="L25" s="26">
        <v>7.7786213002540014</v>
      </c>
      <c r="M25" s="26">
        <v>4.712786234591392</v>
      </c>
      <c r="N25" s="26">
        <v>219.15381274776254</v>
      </c>
      <c r="O25" s="26">
        <v>7.6692879460905585</v>
      </c>
      <c r="P25" s="26">
        <v>3.1926426915730044</v>
      </c>
      <c r="Q25" s="1">
        <v>1</v>
      </c>
      <c r="R25" s="3" t="s">
        <v>34</v>
      </c>
      <c r="S25" s="11" t="s">
        <v>93</v>
      </c>
    </row>
    <row r="26" spans="1:19" ht="32">
      <c r="A26" s="1" t="s">
        <v>1</v>
      </c>
      <c r="B26" s="3" t="s">
        <v>2</v>
      </c>
      <c r="C26" s="4">
        <v>42950</v>
      </c>
      <c r="D26" s="5">
        <v>0.31805555555555554</v>
      </c>
      <c r="E26" s="37">
        <v>27.8</v>
      </c>
      <c r="F26" s="37">
        <v>34.4</v>
      </c>
      <c r="G26" s="26">
        <v>6.22</v>
      </c>
      <c r="H26" s="37">
        <v>95.7</v>
      </c>
      <c r="I26" s="26">
        <v>8.0399999999999991</v>
      </c>
      <c r="J26" s="26">
        <f>AVERAGE(6.26,6.19,6.42)</f>
        <v>6.2899999999999991</v>
      </c>
      <c r="K26" s="26">
        <v>70.152256334272977</v>
      </c>
      <c r="L26" s="26">
        <v>7.4061060402446239</v>
      </c>
      <c r="M26" s="26">
        <v>5.3847048174006567</v>
      </c>
      <c r="N26" s="26">
        <v>404.68558119221052</v>
      </c>
      <c r="O26" s="26">
        <v>5.4953875033297823</v>
      </c>
      <c r="P26" s="26">
        <v>1.7620452197864023</v>
      </c>
      <c r="Q26" s="1">
        <v>2</v>
      </c>
      <c r="R26" s="3" t="s">
        <v>101</v>
      </c>
      <c r="S26" s="11" t="s">
        <v>93</v>
      </c>
    </row>
    <row r="27" spans="1:19" ht="32">
      <c r="A27" s="1" t="s">
        <v>1</v>
      </c>
      <c r="B27" s="3" t="s">
        <v>2</v>
      </c>
      <c r="C27" s="4">
        <v>42971</v>
      </c>
      <c r="D27" s="5">
        <v>0.3263888888888889</v>
      </c>
      <c r="E27" s="37">
        <v>25.8</v>
      </c>
      <c r="F27" s="37">
        <v>35.299999999999997</v>
      </c>
      <c r="G27" s="26">
        <v>6.49</v>
      </c>
      <c r="H27" s="37">
        <v>97.2</v>
      </c>
      <c r="I27" s="26">
        <v>8.07</v>
      </c>
      <c r="J27" s="26">
        <f>AVERAGE(4.86,2.82,2.91)</f>
        <v>3.53</v>
      </c>
      <c r="K27" s="26">
        <v>94.781474841441437</v>
      </c>
      <c r="L27" s="26">
        <v>8.0274868480552435</v>
      </c>
      <c r="M27" s="26">
        <v>5.5849249080839209</v>
      </c>
      <c r="N27" s="26">
        <v>258.22374666968676</v>
      </c>
      <c r="O27" s="26">
        <v>3.6822477690463504</v>
      </c>
      <c r="P27" s="26">
        <v>2.5682470488220677</v>
      </c>
      <c r="Q27" s="1">
        <v>1</v>
      </c>
      <c r="R27" s="3" t="s">
        <v>81</v>
      </c>
      <c r="S27" s="11" t="s">
        <v>93</v>
      </c>
    </row>
    <row r="28" spans="1:19" ht="32">
      <c r="A28" s="1" t="s">
        <v>1</v>
      </c>
      <c r="B28" s="3" t="s">
        <v>2</v>
      </c>
      <c r="C28" s="4">
        <v>42992</v>
      </c>
      <c r="D28" s="44">
        <v>0.31736111111111115</v>
      </c>
      <c r="E28" s="37">
        <v>28.5</v>
      </c>
      <c r="F28" s="37">
        <v>34.700000000000003</v>
      </c>
      <c r="G28" s="26">
        <v>6.13</v>
      </c>
      <c r="H28" s="37">
        <v>95.7</v>
      </c>
      <c r="I28" s="26">
        <v>8.02</v>
      </c>
      <c r="J28" s="26">
        <f>AVERAGE(4.41,4.44,4.94)</f>
        <v>4.5966666666666676</v>
      </c>
      <c r="K28" s="26">
        <v>46.813562266979162</v>
      </c>
      <c r="L28" s="26">
        <v>13.236269121524925</v>
      </c>
      <c r="M28" s="26">
        <v>5.2240785767018627</v>
      </c>
      <c r="N28" s="26">
        <v>523.57585901650509</v>
      </c>
      <c r="O28" s="26">
        <v>4.4827857505479134</v>
      </c>
      <c r="P28" s="26">
        <v>3.5698014331138261</v>
      </c>
      <c r="Q28" s="1">
        <v>1</v>
      </c>
      <c r="R28" s="3" t="s">
        <v>53</v>
      </c>
      <c r="S28" s="11" t="s">
        <v>93</v>
      </c>
    </row>
    <row r="29" spans="1:19" ht="32">
      <c r="A29" s="1" t="s">
        <v>1</v>
      </c>
      <c r="B29" s="3" t="s">
        <v>2</v>
      </c>
      <c r="C29" s="4">
        <v>43013</v>
      </c>
      <c r="D29" s="44">
        <v>0.31597222222222221</v>
      </c>
      <c r="E29" s="37">
        <v>26</v>
      </c>
      <c r="F29" s="37">
        <v>34.6</v>
      </c>
      <c r="G29" s="26">
        <v>6.19</v>
      </c>
      <c r="H29" s="37">
        <v>92.6</v>
      </c>
      <c r="I29" s="26">
        <v>8.07</v>
      </c>
      <c r="J29" s="26">
        <f>AVERAGE(6.71,6.81,7)</f>
        <v>6.84</v>
      </c>
      <c r="K29" s="26">
        <v>57.018992356887132</v>
      </c>
      <c r="L29" s="26">
        <v>12.774175302389422</v>
      </c>
      <c r="M29" s="26">
        <v>7.1350033932433501</v>
      </c>
      <c r="N29" s="26">
        <v>444.21068329767024</v>
      </c>
      <c r="O29" s="26">
        <v>5.2040364177536551</v>
      </c>
      <c r="P29" s="26">
        <v>2.7079104126696754</v>
      </c>
      <c r="Q29" s="1">
        <v>1</v>
      </c>
      <c r="R29" s="3" t="s">
        <v>98</v>
      </c>
      <c r="S29" s="11" t="s">
        <v>93</v>
      </c>
    </row>
    <row r="30" spans="1:19" ht="32">
      <c r="A30" s="1" t="s">
        <v>1</v>
      </c>
      <c r="B30" s="3" t="s">
        <v>2</v>
      </c>
      <c r="C30" s="4">
        <v>43034</v>
      </c>
      <c r="D30" s="44">
        <v>0.31319444444444444</v>
      </c>
      <c r="E30" s="37">
        <v>26.7</v>
      </c>
      <c r="F30" s="37">
        <v>34.5</v>
      </c>
      <c r="G30" s="26">
        <v>6.25</v>
      </c>
      <c r="H30" s="37">
        <v>94.7</v>
      </c>
      <c r="I30" s="26">
        <v>8.01</v>
      </c>
      <c r="J30" s="26">
        <f>AVERAGE(4.72,4.81,4.73)</f>
        <v>4.753333333333333</v>
      </c>
      <c r="K30" s="26">
        <v>57.517284020522162</v>
      </c>
      <c r="L30" s="26">
        <v>10.525048742826733</v>
      </c>
      <c r="M30" s="26">
        <v>6.5813194740512531</v>
      </c>
      <c r="N30" s="26">
        <v>389.13379178835106</v>
      </c>
      <c r="O30" s="26">
        <v>7.0666498292917792</v>
      </c>
      <c r="P30" s="26">
        <v>5.5958264308058325</v>
      </c>
      <c r="Q30" s="1">
        <v>3</v>
      </c>
      <c r="R30" s="3" t="s">
        <v>49</v>
      </c>
      <c r="S30" s="11" t="s">
        <v>48</v>
      </c>
    </row>
    <row r="31" spans="1:19" ht="32">
      <c r="A31" s="1" t="s">
        <v>1</v>
      </c>
      <c r="B31" s="3" t="s">
        <v>2</v>
      </c>
      <c r="C31" s="4">
        <v>43055</v>
      </c>
      <c r="D31" s="44">
        <v>0.31597222222222221</v>
      </c>
      <c r="E31" s="37">
        <v>23.8</v>
      </c>
      <c r="F31" s="37">
        <v>35.1</v>
      </c>
      <c r="G31" s="26">
        <v>6.33</v>
      </c>
      <c r="H31" s="37">
        <v>91.5</v>
      </c>
      <c r="I31" s="26">
        <v>8.1199999999999992</v>
      </c>
      <c r="J31" s="26">
        <f>AVERAGE(2.15,2.24,2.28)</f>
        <v>2.2233333333333332</v>
      </c>
      <c r="K31" s="26">
        <v>66.055024485892176</v>
      </c>
      <c r="L31" s="26">
        <v>8.2890942522638653</v>
      </c>
      <c r="M31" s="26">
        <v>4.0205253608757134</v>
      </c>
      <c r="N31" s="26">
        <v>238.64443295666857</v>
      </c>
      <c r="O31" s="26">
        <v>3.7696064589530245</v>
      </c>
      <c r="P31" s="26">
        <v>5.0587424392189195</v>
      </c>
      <c r="Q31" s="1">
        <v>1</v>
      </c>
      <c r="R31" s="3" t="s">
        <v>66</v>
      </c>
      <c r="S31" s="11" t="s">
        <v>48</v>
      </c>
    </row>
    <row r="32" spans="1:19" ht="32">
      <c r="A32" s="1" t="s">
        <v>1</v>
      </c>
      <c r="B32" s="3" t="s">
        <v>2</v>
      </c>
      <c r="C32" s="4">
        <v>43076</v>
      </c>
      <c r="D32" s="44">
        <v>0.3125</v>
      </c>
      <c r="E32" s="7">
        <v>23.7</v>
      </c>
      <c r="F32" s="7">
        <v>34.9</v>
      </c>
      <c r="G32" s="6">
        <v>6.38</v>
      </c>
      <c r="H32" s="7">
        <v>91.6</v>
      </c>
      <c r="I32" s="6">
        <v>8.1300000000000008</v>
      </c>
      <c r="J32" s="6">
        <f>AVERAGE(3.59,3.59,3.52)</f>
        <v>3.5666666666666664</v>
      </c>
      <c r="Q32" s="1">
        <v>3</v>
      </c>
      <c r="R32" s="3" t="s">
        <v>89</v>
      </c>
      <c r="S32" s="11" t="s">
        <v>90</v>
      </c>
    </row>
    <row r="33" spans="1:19" ht="32">
      <c r="A33" s="1" t="s">
        <v>1</v>
      </c>
      <c r="B33" s="3" t="s">
        <v>2</v>
      </c>
      <c r="C33" s="4">
        <v>43090</v>
      </c>
      <c r="D33" s="44">
        <v>0.36458333333333331</v>
      </c>
      <c r="E33" s="37">
        <v>24.1</v>
      </c>
      <c r="F33" s="37">
        <v>34.799999999999997</v>
      </c>
      <c r="G33" s="26">
        <v>5.91</v>
      </c>
      <c r="H33" s="37">
        <v>85.9</v>
      </c>
      <c r="I33" s="26">
        <v>8.02</v>
      </c>
      <c r="J33" s="26">
        <f>AVERAGE(2.35,2.23,2.65)</f>
        <v>2.41</v>
      </c>
      <c r="K33" s="26"/>
      <c r="O33" s="26"/>
      <c r="P33" s="26"/>
      <c r="Q33" s="1">
        <v>1</v>
      </c>
      <c r="R33" s="3" t="s">
        <v>41</v>
      </c>
      <c r="S33" s="11" t="s">
        <v>90</v>
      </c>
    </row>
    <row r="34" spans="1:19" ht="32">
      <c r="A34" s="1" t="s">
        <v>1</v>
      </c>
      <c r="B34" s="3" t="s">
        <v>2</v>
      </c>
      <c r="C34" s="4">
        <v>43111</v>
      </c>
      <c r="D34" s="44">
        <v>0.31527777777777777</v>
      </c>
      <c r="E34" s="37">
        <v>24.1</v>
      </c>
      <c r="F34" s="37">
        <v>34.6</v>
      </c>
      <c r="G34" s="26">
        <v>6.47</v>
      </c>
      <c r="H34" s="37">
        <v>93.4</v>
      </c>
      <c r="I34" s="26">
        <v>8.1</v>
      </c>
      <c r="J34" s="26">
        <f>AVERAGE(1.1,0.9,0.83)</f>
        <v>0.94333333333333336</v>
      </c>
      <c r="K34" s="26"/>
      <c r="O34" s="26"/>
      <c r="P34" s="26"/>
      <c r="Q34" s="1">
        <v>3</v>
      </c>
      <c r="R34" s="3" t="s">
        <v>103</v>
      </c>
      <c r="S34" s="11" t="s">
        <v>90</v>
      </c>
    </row>
    <row r="35" spans="1:19">
      <c r="E35" s="37"/>
      <c r="F35" s="37"/>
      <c r="G35" s="26"/>
      <c r="H35" s="37"/>
      <c r="I35" s="26"/>
      <c r="J35" s="26"/>
      <c r="K35" s="26"/>
      <c r="O35" s="26"/>
      <c r="P35" s="26"/>
      <c r="Q35" s="1"/>
      <c r="R35" s="3"/>
    </row>
    <row r="36" spans="1:19">
      <c r="E36" s="37"/>
      <c r="F36" s="37"/>
      <c r="G36" s="26"/>
      <c r="H36" s="37"/>
      <c r="I36" s="26"/>
      <c r="J36" s="26"/>
      <c r="K36" s="26"/>
      <c r="O36" s="26"/>
      <c r="P36" s="26"/>
      <c r="Q36" s="1"/>
      <c r="R36" s="3"/>
    </row>
    <row r="37" spans="1:19">
      <c r="E37" s="37"/>
      <c r="F37" s="37"/>
      <c r="G37" s="26"/>
      <c r="H37" s="37"/>
      <c r="I37" s="26"/>
      <c r="J37" s="26"/>
      <c r="K37" s="26"/>
      <c r="O37" s="26"/>
      <c r="P37" s="26"/>
      <c r="Q37" s="26"/>
    </row>
    <row r="41" spans="1:19">
      <c r="I41" s="19">
        <f t="shared" ref="I41:P41" si="0">GEOMEAN(I2:I39)</f>
        <v>8.0451038717333123</v>
      </c>
      <c r="J41" s="21">
        <f>GEOMEAN(J2:J39)</f>
        <v>4.7795503607267893</v>
      </c>
      <c r="K41" s="19">
        <f t="shared" si="0"/>
        <v>68.593776371483415</v>
      </c>
      <c r="L41" s="19">
        <f t="shared" ref="L41" si="1">GEOMEAN(L2:L39)</f>
        <v>10.205452948645878</v>
      </c>
      <c r="M41" s="19">
        <f>GEOMEAN(M2:M39)</f>
        <v>5.3889978435431409</v>
      </c>
      <c r="N41" s="19">
        <f t="shared" ref="N41" si="2">GEOMEAN(N2:N39)</f>
        <v>299.48866835997075</v>
      </c>
      <c r="O41" s="27">
        <f t="shared" si="0"/>
        <v>4.7591878658752158</v>
      </c>
      <c r="P41" s="27">
        <f t="shared" si="0"/>
        <v>3.5134345661862953</v>
      </c>
      <c r="S41" s="11" t="s">
        <v>95</v>
      </c>
    </row>
    <row r="42" spans="1:19">
      <c r="D42" s="40">
        <f>AVERAGE(D2:D38)</f>
        <v>0.32352693602693611</v>
      </c>
      <c r="E42" s="26">
        <f>AVERAGE(E2:E38)</f>
        <v>25.781818181818185</v>
      </c>
      <c r="F42" s="26">
        <f t="shared" ref="F42:H42" si="3">AVERAGE(F2:F38)</f>
        <v>34.745454545454542</v>
      </c>
      <c r="G42" s="26">
        <f t="shared" si="3"/>
        <v>6.2878787878787872</v>
      </c>
      <c r="H42" s="26">
        <f t="shared" si="3"/>
        <v>93.793939393939354</v>
      </c>
      <c r="I42" s="16">
        <f>AVERAGE(I2:I38)</f>
        <v>8.0454545454545467</v>
      </c>
      <c r="J42" s="16">
        <f>AVERAGE(J2:J38)</f>
        <v>7.5905050505050502</v>
      </c>
      <c r="K42" s="16">
        <f t="shared" ref="K42:P42" si="4">AVERAGE(K2:K38)</f>
        <v>69.813699159123559</v>
      </c>
      <c r="L42" s="26">
        <f t="shared" ref="L42:M42" si="5">AVERAGE(L2:L38)</f>
        <v>10.571751702073119</v>
      </c>
      <c r="M42" s="26">
        <f t="shared" si="5"/>
        <v>5.5323657094165108</v>
      </c>
      <c r="N42" s="26">
        <f>AVERAGE(N2:N38)</f>
        <v>338.59323008451571</v>
      </c>
      <c r="O42" s="16">
        <f t="shared" si="4"/>
        <v>5.5212552905179049</v>
      </c>
      <c r="P42" s="16">
        <f t="shared" si="4"/>
        <v>4.9884372645046513</v>
      </c>
      <c r="S42" s="11" t="s">
        <v>96</v>
      </c>
    </row>
    <row r="43" spans="1:19">
      <c r="E43" s="26">
        <f>STDEV(E2:E38)</f>
        <v>1.5158443491694575</v>
      </c>
      <c r="F43" s="26">
        <f t="shared" ref="F43:H43" si="6">STDEV(F2:F38)</f>
        <v>1.4958465222682962</v>
      </c>
      <c r="G43" s="26">
        <f t="shared" si="6"/>
        <v>0.2525712470739816</v>
      </c>
      <c r="H43" s="26">
        <f t="shared" si="6"/>
        <v>3.6575213083750904</v>
      </c>
      <c r="I43" s="16">
        <f>STDEV(I2:I38)</f>
        <v>7.6038267877445262E-2</v>
      </c>
      <c r="J43" s="16">
        <f>STDEV(J2:J38)</f>
        <v>8.1857676759902116</v>
      </c>
      <c r="K43" s="16">
        <f t="shared" ref="K43:P43" si="7">STDEV(K2:K38)</f>
        <v>13.592669831817144</v>
      </c>
      <c r="L43" s="26">
        <f t="shared" ref="L43:M43" si="8">STDEV(L2:L38)</f>
        <v>2.7872627306844735</v>
      </c>
      <c r="M43" s="26">
        <f t="shared" si="8"/>
        <v>1.2654576438000009</v>
      </c>
      <c r="N43" s="26">
        <f>STDEV(N2:N38)</f>
        <v>178.39550152294501</v>
      </c>
      <c r="O43" s="16">
        <f t="shared" si="7"/>
        <v>3.0356995493687613</v>
      </c>
      <c r="P43" s="16">
        <f t="shared" si="7"/>
        <v>7.2923555683715495</v>
      </c>
      <c r="S43" s="11" t="s">
        <v>97</v>
      </c>
    </row>
    <row r="44" spans="1:19">
      <c r="J44" s="16"/>
      <c r="K44" s="16"/>
      <c r="O44" s="16"/>
      <c r="P44" s="16"/>
    </row>
    <row r="45" spans="1:19">
      <c r="J45" s="16">
        <f>J41/0.2</f>
        <v>23.897751803633945</v>
      </c>
      <c r="K45" s="16">
        <f>K41/110</f>
        <v>0.62357978519530377</v>
      </c>
      <c r="L45" s="26">
        <f>L41/16</f>
        <v>0.63784080929036735</v>
      </c>
      <c r="M45" s="26">
        <f>M41/6</f>
        <v>0.89816630725719016</v>
      </c>
      <c r="N45" s="26">
        <f>N41</f>
        <v>299.48866835997075</v>
      </c>
      <c r="O45" s="16">
        <f>O41/3.5</f>
        <v>1.3597679616786331</v>
      </c>
      <c r="P45" s="16">
        <f>P41/2</f>
        <v>1.7567172830931477</v>
      </c>
      <c r="S45" s="11" t="s">
        <v>100</v>
      </c>
    </row>
  </sheetData>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5"/>
  <sheetViews>
    <sheetView workbookViewId="0">
      <pane xSplit="3" ySplit="1" topLeftCell="K23" activePane="bottomRight" state="frozen"/>
      <selection pane="topRight" activeCell="D1" sqref="D1"/>
      <selection pane="bottomLeft" activeCell="A2" sqref="A2"/>
      <selection pane="bottomRight" activeCell="A26" sqref="A26:XFD26"/>
    </sheetView>
  </sheetViews>
  <sheetFormatPr baseColWidth="10" defaultRowHeight="16"/>
  <cols>
    <col min="1" max="1" width="19.42578125" style="1" customWidth="1"/>
    <col min="2" max="2" width="10.7109375" style="3"/>
    <col min="3" max="4" width="10.7109375" style="1"/>
    <col min="5" max="5" width="13.140625" style="7" customWidth="1"/>
    <col min="6" max="6" width="10.7109375" style="7"/>
    <col min="7" max="7" width="10.7109375" style="6"/>
    <col min="8" max="8" width="10.7109375" style="7"/>
    <col min="9" max="10" width="10.7109375" style="6"/>
    <col min="11" max="12" width="10.7109375" style="26"/>
    <col min="13" max="13" width="12.140625" style="26" customWidth="1"/>
    <col min="14" max="16" width="10.7109375" style="26"/>
    <col min="17" max="17" width="12.140625" style="1" customWidth="1"/>
    <col min="18" max="18" width="12" style="3" customWidth="1"/>
    <col min="19" max="19" width="51.42578125" style="11" customWidth="1"/>
    <col min="20" max="16384" width="10.7109375" style="1"/>
  </cols>
  <sheetData>
    <row r="1" spans="1:19" s="2" customFormat="1" ht="32">
      <c r="A1" s="2" t="s">
        <v>24</v>
      </c>
      <c r="B1" s="2" t="s">
        <v>26</v>
      </c>
      <c r="C1" s="2" t="s">
        <v>45</v>
      </c>
      <c r="D1" s="2" t="s">
        <v>46</v>
      </c>
      <c r="E1" s="9" t="s">
        <v>47</v>
      </c>
      <c r="F1" s="9" t="s">
        <v>50</v>
      </c>
      <c r="G1" s="15" t="s">
        <v>51</v>
      </c>
      <c r="H1" s="9" t="s">
        <v>52</v>
      </c>
      <c r="I1" s="15" t="s">
        <v>55</v>
      </c>
      <c r="J1" s="15" t="s">
        <v>56</v>
      </c>
      <c r="K1" s="25" t="s">
        <v>57</v>
      </c>
      <c r="L1" s="25" t="s">
        <v>60</v>
      </c>
      <c r="M1" s="25" t="s">
        <v>61</v>
      </c>
      <c r="N1" s="25" t="s">
        <v>62</v>
      </c>
      <c r="O1" s="25" t="s">
        <v>58</v>
      </c>
      <c r="P1" s="25" t="s">
        <v>59</v>
      </c>
      <c r="Q1" s="2" t="s">
        <v>63</v>
      </c>
      <c r="R1" s="2" t="s">
        <v>78</v>
      </c>
      <c r="S1" s="2" t="s">
        <v>79</v>
      </c>
    </row>
    <row r="2" spans="1:19" ht="32">
      <c r="A2" s="1" t="s">
        <v>3</v>
      </c>
      <c r="B2" s="3" t="s">
        <v>4</v>
      </c>
      <c r="C2" s="4">
        <v>42537</v>
      </c>
      <c r="D2" s="5">
        <v>0.34722222222222227</v>
      </c>
      <c r="E2" s="7">
        <v>25.4</v>
      </c>
      <c r="F2" s="7">
        <v>27.7</v>
      </c>
      <c r="G2" s="6">
        <v>6.61</v>
      </c>
      <c r="H2" s="7">
        <v>97.8</v>
      </c>
      <c r="I2" s="6">
        <v>7.91</v>
      </c>
      <c r="J2" s="6">
        <v>5.48</v>
      </c>
      <c r="K2" s="26">
        <v>107.57</v>
      </c>
      <c r="L2" s="26">
        <v>15.37</v>
      </c>
      <c r="M2" s="26">
        <v>7.28</v>
      </c>
      <c r="N2" s="26">
        <v>451.55</v>
      </c>
      <c r="O2" s="26">
        <v>7.11</v>
      </c>
      <c r="P2" s="26">
        <v>8.69</v>
      </c>
      <c r="Q2" s="1">
        <v>1</v>
      </c>
      <c r="R2" s="3">
        <v>1</v>
      </c>
      <c r="S2" s="11" t="s">
        <v>18</v>
      </c>
    </row>
    <row r="3" spans="1:19" ht="32">
      <c r="A3" s="1" t="s">
        <v>12</v>
      </c>
      <c r="B3" s="3" t="s">
        <v>4</v>
      </c>
      <c r="C3" s="4">
        <v>42551</v>
      </c>
      <c r="D3" s="5">
        <v>0.33333333333333331</v>
      </c>
      <c r="E3" s="7">
        <v>27.1</v>
      </c>
      <c r="F3" s="7">
        <v>29.1</v>
      </c>
      <c r="G3" s="6">
        <v>6.08</v>
      </c>
      <c r="H3" s="7">
        <v>92.7</v>
      </c>
      <c r="I3" s="6">
        <v>8.01</v>
      </c>
      <c r="J3" s="6">
        <v>2.61</v>
      </c>
      <c r="K3" s="26">
        <v>62.48</v>
      </c>
      <c r="L3" s="26">
        <v>15.76</v>
      </c>
      <c r="M3" s="26">
        <v>5.35</v>
      </c>
      <c r="N3" s="26">
        <v>396.39</v>
      </c>
      <c r="O3" s="26">
        <v>2.73</v>
      </c>
      <c r="P3" s="26">
        <v>3.12</v>
      </c>
      <c r="Q3" s="1">
        <v>1</v>
      </c>
      <c r="R3" s="3" t="s">
        <v>72</v>
      </c>
      <c r="S3" s="11" t="s">
        <v>18</v>
      </c>
    </row>
    <row r="4" spans="1:19" ht="32">
      <c r="A4" s="1" t="s">
        <v>15</v>
      </c>
      <c r="B4" s="3" t="s">
        <v>4</v>
      </c>
      <c r="C4" s="4">
        <v>42565</v>
      </c>
      <c r="D4" s="5">
        <v>0.35902777777777778</v>
      </c>
      <c r="E4" s="7">
        <v>27.6</v>
      </c>
      <c r="F4" s="7">
        <v>36.9</v>
      </c>
      <c r="G4" s="6">
        <v>5.92</v>
      </c>
      <c r="H4" s="7">
        <v>92.1</v>
      </c>
      <c r="I4" s="6">
        <v>7.96</v>
      </c>
      <c r="J4" s="6">
        <v>4.21</v>
      </c>
      <c r="K4" s="26">
        <v>65.68499853940709</v>
      </c>
      <c r="L4" s="26">
        <v>15.899204343339061</v>
      </c>
      <c r="M4" s="26">
        <v>6.5778354470034364</v>
      </c>
      <c r="N4" s="26">
        <v>452.21689285767621</v>
      </c>
      <c r="O4" s="26">
        <v>3.8328498656395169</v>
      </c>
      <c r="P4" s="26">
        <v>3.0840915903855488</v>
      </c>
      <c r="Q4" s="1">
        <v>1</v>
      </c>
      <c r="R4" s="3" t="s">
        <v>72</v>
      </c>
      <c r="S4" s="11" t="s">
        <v>19</v>
      </c>
    </row>
    <row r="5" spans="1:19" ht="32">
      <c r="A5" s="1" t="s">
        <v>15</v>
      </c>
      <c r="B5" s="3" t="s">
        <v>4</v>
      </c>
      <c r="C5" s="4">
        <v>42579</v>
      </c>
      <c r="D5" s="5">
        <v>0.34375</v>
      </c>
      <c r="E5" s="7">
        <v>26.8</v>
      </c>
      <c r="F5" s="7">
        <v>35.4</v>
      </c>
      <c r="G5" s="6">
        <v>5.83</v>
      </c>
      <c r="H5" s="7">
        <v>88.6</v>
      </c>
      <c r="I5" s="6">
        <v>7.99</v>
      </c>
      <c r="J5" s="6">
        <f>AVERAGE(3.13,3.33,3.07)</f>
        <v>3.1766666666666663</v>
      </c>
      <c r="K5" s="26">
        <v>70.455414620035981</v>
      </c>
      <c r="L5" s="26">
        <v>10.007934361716618</v>
      </c>
      <c r="M5" s="26">
        <v>6.4166672613817157</v>
      </c>
      <c r="N5" s="26">
        <v>261.27708222051831</v>
      </c>
      <c r="O5" s="26">
        <v>3.3333496496235377</v>
      </c>
      <c r="P5" s="26">
        <v>6.3049963836345073</v>
      </c>
      <c r="Q5" s="1">
        <v>1</v>
      </c>
      <c r="R5" s="3" t="s">
        <v>71</v>
      </c>
      <c r="S5" s="11" t="s">
        <v>22</v>
      </c>
    </row>
    <row r="6" spans="1:19" ht="32">
      <c r="A6" s="1" t="s">
        <v>84</v>
      </c>
      <c r="B6" s="3" t="s">
        <v>4</v>
      </c>
      <c r="C6" s="4">
        <v>42593</v>
      </c>
      <c r="D6" s="5">
        <v>0.35416666666666669</v>
      </c>
      <c r="E6" s="7">
        <v>26.6</v>
      </c>
      <c r="F6" s="7">
        <v>35.4</v>
      </c>
      <c r="G6" s="6">
        <v>6.12</v>
      </c>
      <c r="H6" s="7">
        <v>92.7</v>
      </c>
      <c r="I6" s="6">
        <v>8.0399999999999991</v>
      </c>
      <c r="J6" s="6">
        <f>AVERAGE(5.87,5.86,5.88)</f>
        <v>5.87</v>
      </c>
      <c r="K6" s="26">
        <v>74.310623267572566</v>
      </c>
      <c r="L6" s="26">
        <v>12.792316589314492</v>
      </c>
      <c r="M6" s="26">
        <v>5.4175270568657794</v>
      </c>
      <c r="N6" s="26">
        <v>302.70841784769675</v>
      </c>
      <c r="O6" s="26">
        <v>3.5014633050056525</v>
      </c>
      <c r="P6" s="26">
        <v>3.2637648810562441</v>
      </c>
      <c r="Q6" s="1">
        <v>1</v>
      </c>
      <c r="R6" s="3" t="s">
        <v>71</v>
      </c>
      <c r="S6" s="11" t="s">
        <v>83</v>
      </c>
    </row>
    <row r="7" spans="1:19" ht="32">
      <c r="A7" s="1" t="s">
        <v>28</v>
      </c>
      <c r="B7" s="3" t="s">
        <v>4</v>
      </c>
      <c r="C7" s="4">
        <v>42607</v>
      </c>
      <c r="D7" s="5">
        <v>0.33333333333333331</v>
      </c>
      <c r="E7" s="7">
        <v>27.4</v>
      </c>
      <c r="F7" s="7">
        <v>36</v>
      </c>
      <c r="G7" s="6">
        <v>5.6</v>
      </c>
      <c r="H7" s="7">
        <v>86.2</v>
      </c>
      <c r="I7" s="6">
        <v>7.94</v>
      </c>
      <c r="J7" s="6">
        <f>AVERAGE(3.55,3.66,3.67)</f>
        <v>3.6266666666666665</v>
      </c>
      <c r="K7" s="26">
        <v>62.231992823566422</v>
      </c>
      <c r="L7" s="26">
        <v>12.751410925802148</v>
      </c>
      <c r="M7" s="26">
        <v>5.1231857085051944</v>
      </c>
      <c r="N7" s="26">
        <v>280.1076095835391</v>
      </c>
      <c r="O7" s="26">
        <v>5.6333485230075011</v>
      </c>
      <c r="P7" s="26">
        <v>1.6575316611411619</v>
      </c>
      <c r="Q7" s="1">
        <v>2</v>
      </c>
      <c r="R7" s="3" t="s">
        <v>72</v>
      </c>
      <c r="S7" s="11" t="s">
        <v>83</v>
      </c>
    </row>
    <row r="8" spans="1:19" ht="32">
      <c r="A8" s="1" t="s">
        <v>28</v>
      </c>
      <c r="B8" s="3" t="s">
        <v>4</v>
      </c>
      <c r="C8" s="4">
        <v>42621</v>
      </c>
      <c r="D8" s="5">
        <v>0.33333333333333331</v>
      </c>
      <c r="E8" s="7">
        <v>26.6</v>
      </c>
      <c r="F8" s="7">
        <v>35.9</v>
      </c>
      <c r="G8" s="6">
        <v>6.31</v>
      </c>
      <c r="H8" s="7">
        <v>96</v>
      </c>
      <c r="I8" s="6">
        <v>8.09</v>
      </c>
      <c r="J8" s="6">
        <f>AVERAGE(9.13,9.64,9.4)</f>
        <v>9.39</v>
      </c>
      <c r="K8" s="26">
        <v>59.114804075004308</v>
      </c>
      <c r="L8" s="26">
        <v>11.33830618628485</v>
      </c>
      <c r="M8" s="26">
        <v>5.1465079585407523</v>
      </c>
      <c r="N8" s="26">
        <v>189.13283049096952</v>
      </c>
      <c r="O8" s="26">
        <v>4.1451185529146315</v>
      </c>
      <c r="P8" s="26">
        <v>2.1015659716163553</v>
      </c>
      <c r="Q8" s="1">
        <v>2</v>
      </c>
      <c r="R8" s="3" t="s">
        <v>71</v>
      </c>
      <c r="S8" s="11" t="s">
        <v>39</v>
      </c>
    </row>
    <row r="9" spans="1:19" ht="32">
      <c r="A9" s="1" t="s">
        <v>36</v>
      </c>
      <c r="B9" s="3" t="s">
        <v>4</v>
      </c>
      <c r="C9" s="4">
        <v>42635</v>
      </c>
      <c r="D9" s="5">
        <v>0.34791666666666665</v>
      </c>
      <c r="E9" s="7">
        <v>27</v>
      </c>
      <c r="F9" s="7">
        <v>36.1</v>
      </c>
      <c r="G9" s="6">
        <v>6.4</v>
      </c>
      <c r="H9" s="7">
        <v>98</v>
      </c>
      <c r="I9" s="6">
        <v>7.93</v>
      </c>
      <c r="J9" s="6">
        <f>AVERAGE(13.6,13.8,14)</f>
        <v>13.799999999999999</v>
      </c>
      <c r="K9" s="26">
        <v>74.952968484192354</v>
      </c>
      <c r="L9" s="26">
        <v>13.513743745804902</v>
      </c>
      <c r="M9" s="26">
        <v>6.5406602384440369</v>
      </c>
      <c r="N9" s="26">
        <v>270.21762950407253</v>
      </c>
      <c r="O9" s="26">
        <v>6.2813103782989641</v>
      </c>
      <c r="P9" s="26">
        <v>13.769300023265281</v>
      </c>
      <c r="Q9" s="20">
        <v>1</v>
      </c>
      <c r="R9" s="3" t="s">
        <v>72</v>
      </c>
      <c r="S9" s="11" t="s">
        <v>39</v>
      </c>
    </row>
    <row r="10" spans="1:19" ht="32">
      <c r="A10" s="1" t="s">
        <v>10</v>
      </c>
      <c r="B10" s="3" t="s">
        <v>4</v>
      </c>
      <c r="C10" s="4">
        <v>42649</v>
      </c>
      <c r="D10" s="5">
        <v>0.34375</v>
      </c>
      <c r="E10" s="7">
        <v>26.7</v>
      </c>
      <c r="F10" s="7">
        <v>35</v>
      </c>
      <c r="G10" s="6">
        <v>6.08</v>
      </c>
      <c r="H10" s="7">
        <v>92.1</v>
      </c>
      <c r="I10" s="6">
        <v>8.02</v>
      </c>
      <c r="J10" s="6">
        <f>AVERAGE(6.76,6.78,6.62)</f>
        <v>6.72</v>
      </c>
      <c r="K10" s="26">
        <v>59.981408415890868</v>
      </c>
      <c r="L10" s="26">
        <v>13.138155380827937</v>
      </c>
      <c r="M10" s="26">
        <v>5.3110593893471805</v>
      </c>
      <c r="N10" s="26">
        <v>250.58667092825758</v>
      </c>
      <c r="O10" s="26">
        <v>5.0686785508158865</v>
      </c>
      <c r="P10" s="26">
        <v>2.8690465945442907</v>
      </c>
      <c r="Q10" s="20">
        <v>2</v>
      </c>
      <c r="R10" s="3" t="s">
        <v>71</v>
      </c>
      <c r="S10" s="11" t="s">
        <v>39</v>
      </c>
    </row>
    <row r="11" spans="1:19" ht="32">
      <c r="A11" s="1" t="s">
        <v>80</v>
      </c>
      <c r="B11" s="3" t="s">
        <v>4</v>
      </c>
      <c r="C11" s="4">
        <v>42663</v>
      </c>
      <c r="D11" s="5">
        <v>0.33333333333333331</v>
      </c>
      <c r="E11" s="7">
        <v>25.4</v>
      </c>
      <c r="F11" s="7">
        <v>36.6</v>
      </c>
      <c r="G11" s="6">
        <v>5.86</v>
      </c>
      <c r="H11" s="7">
        <v>87.8</v>
      </c>
      <c r="I11" s="6">
        <v>8.01</v>
      </c>
      <c r="J11" s="6">
        <f>AVERAGE(5.56,5.38,5.46)</f>
        <v>5.4666666666666659</v>
      </c>
      <c r="K11" s="26">
        <v>83.492937788225106</v>
      </c>
      <c r="L11" s="26">
        <v>12.003683490815614</v>
      </c>
      <c r="M11" s="26">
        <v>6.1086244285540738</v>
      </c>
      <c r="N11" s="26">
        <v>291.77934294671627</v>
      </c>
      <c r="O11" s="26">
        <v>4.9490926356707794</v>
      </c>
      <c r="P11" s="26">
        <v>7.4833797794837063</v>
      </c>
      <c r="Q11" s="1">
        <v>1</v>
      </c>
      <c r="R11" s="3" t="s">
        <v>72</v>
      </c>
      <c r="S11" s="11" t="s">
        <v>39</v>
      </c>
    </row>
    <row r="12" spans="1:19" ht="32">
      <c r="A12" s="1" t="s">
        <v>25</v>
      </c>
      <c r="B12" s="3" t="s">
        <v>4</v>
      </c>
      <c r="C12" s="4">
        <v>42677</v>
      </c>
      <c r="D12" s="5">
        <v>0.33333333333333331</v>
      </c>
      <c r="E12" s="7">
        <v>24.9</v>
      </c>
      <c r="F12" s="7">
        <v>34.799999999999997</v>
      </c>
      <c r="G12" s="6">
        <v>6</v>
      </c>
      <c r="H12" s="7">
        <v>87.9</v>
      </c>
      <c r="I12" s="6">
        <v>8.08</v>
      </c>
      <c r="J12" s="6">
        <f>AVERAGE(3.25,3.34,3.15)</f>
        <v>3.2466666666666666</v>
      </c>
      <c r="K12" s="26">
        <v>57.793766705328665</v>
      </c>
      <c r="L12" s="26">
        <v>14.478308609511217</v>
      </c>
      <c r="M12" s="26">
        <v>5.1303103208374692</v>
      </c>
      <c r="N12" s="26">
        <v>216.37250490789376</v>
      </c>
      <c r="O12" s="26">
        <v>3.1643557130176627</v>
      </c>
      <c r="P12" s="26">
        <v>3.0832272714701578</v>
      </c>
      <c r="Q12" s="1">
        <v>2</v>
      </c>
      <c r="R12" s="3" t="s">
        <v>71</v>
      </c>
      <c r="S12" s="11" t="s">
        <v>93</v>
      </c>
    </row>
    <row r="13" spans="1:19" ht="32">
      <c r="A13" s="1" t="s">
        <v>25</v>
      </c>
      <c r="B13" s="3" t="s">
        <v>4</v>
      </c>
      <c r="C13" s="4">
        <v>42691</v>
      </c>
      <c r="D13" s="5">
        <v>0.35069444444444442</v>
      </c>
      <c r="E13" s="10">
        <v>24.5</v>
      </c>
      <c r="F13" s="10">
        <v>34.4</v>
      </c>
      <c r="G13" s="26">
        <v>6</v>
      </c>
      <c r="H13" s="10">
        <v>87.1</v>
      </c>
      <c r="I13" s="26">
        <v>8.0399999999999991</v>
      </c>
      <c r="J13" s="26">
        <f>AVERAGE(4.18,4.36,4.29)</f>
        <v>4.2766666666666664</v>
      </c>
      <c r="K13" s="26">
        <v>58.758993635452029</v>
      </c>
      <c r="L13" s="26">
        <v>4.5768937832220411</v>
      </c>
      <c r="M13" s="26">
        <v>3.6156657935538785</v>
      </c>
      <c r="N13" s="26">
        <v>365.30523232304114</v>
      </c>
      <c r="O13" s="26">
        <v>7.9796341979312677</v>
      </c>
      <c r="P13" s="27">
        <v>1.5</v>
      </c>
      <c r="Q13" s="1">
        <v>2</v>
      </c>
      <c r="R13" s="3" t="s">
        <v>71</v>
      </c>
      <c r="S13" s="11" t="s">
        <v>93</v>
      </c>
    </row>
    <row r="14" spans="1:19" ht="32">
      <c r="A14" s="1" t="s">
        <v>88</v>
      </c>
      <c r="B14" s="3" t="s">
        <v>4</v>
      </c>
      <c r="C14" s="4">
        <v>42705</v>
      </c>
      <c r="D14" s="5">
        <v>0.33333333333333331</v>
      </c>
      <c r="E14" s="10">
        <v>23.4</v>
      </c>
      <c r="F14" s="10">
        <v>34.6</v>
      </c>
      <c r="G14" s="26">
        <v>6.12</v>
      </c>
      <c r="H14" s="10">
        <v>87.4</v>
      </c>
      <c r="I14" s="26">
        <v>8.07</v>
      </c>
      <c r="J14" s="26">
        <f>AVERAGE(4.57,4.5,4.48)</f>
        <v>4.5166666666666666</v>
      </c>
      <c r="K14" s="26">
        <v>74.999924784987343</v>
      </c>
      <c r="L14" s="26">
        <v>7.8650540702438638</v>
      </c>
      <c r="M14" s="26">
        <v>3.9710786714690252</v>
      </c>
      <c r="N14" s="26">
        <v>272.05025917155513</v>
      </c>
      <c r="O14" s="26">
        <v>6.5841283782022879</v>
      </c>
      <c r="P14" s="26">
        <v>4.132156122957932</v>
      </c>
      <c r="Q14" s="1">
        <v>2</v>
      </c>
      <c r="R14" s="3" t="s">
        <v>71</v>
      </c>
      <c r="S14" s="11" t="s">
        <v>93</v>
      </c>
    </row>
    <row r="15" spans="1:19" ht="32">
      <c r="A15" s="1" t="s">
        <v>20</v>
      </c>
      <c r="B15" s="3" t="s">
        <v>4</v>
      </c>
      <c r="C15" s="4">
        <v>42719</v>
      </c>
      <c r="D15" s="5">
        <v>0.36458333333333331</v>
      </c>
      <c r="E15" s="10">
        <v>25.1</v>
      </c>
      <c r="F15" s="10">
        <v>34.299999999999997</v>
      </c>
      <c r="G15" s="26">
        <v>5.96</v>
      </c>
      <c r="H15" s="10">
        <v>87.9</v>
      </c>
      <c r="I15" s="26">
        <v>7.97</v>
      </c>
      <c r="J15" s="26">
        <f>AVERAGE(1.75,1.71,1.79)</f>
        <v>1.75</v>
      </c>
      <c r="K15" s="26">
        <v>62.180004888120877</v>
      </c>
      <c r="L15" s="26">
        <v>9.8376795451109036</v>
      </c>
      <c r="M15" s="26">
        <v>3.8657436484168115</v>
      </c>
      <c r="N15" s="26">
        <v>320.26382951337712</v>
      </c>
      <c r="O15" s="38">
        <v>12.406309546521561</v>
      </c>
      <c r="P15" s="26">
        <v>4.0430999837758899</v>
      </c>
      <c r="Q15" s="1">
        <v>1</v>
      </c>
      <c r="R15" s="3" t="s">
        <v>71</v>
      </c>
      <c r="S15" s="11" t="s">
        <v>93</v>
      </c>
    </row>
    <row r="16" spans="1:19" ht="32">
      <c r="A16" s="1" t="s">
        <v>70</v>
      </c>
      <c r="B16" s="3" t="s">
        <v>4</v>
      </c>
      <c r="C16" s="4">
        <v>42740</v>
      </c>
      <c r="D16" s="5">
        <v>0.3125</v>
      </c>
      <c r="E16" s="10">
        <v>23.6</v>
      </c>
      <c r="F16" s="10">
        <v>35.200000000000003</v>
      </c>
      <c r="G16" s="26">
        <v>6.16</v>
      </c>
      <c r="H16" s="10">
        <v>88.6</v>
      </c>
      <c r="I16" s="34">
        <v>7.72</v>
      </c>
      <c r="J16" s="26">
        <f>AVERAGE(5.62,6.17,5.71)</f>
        <v>5.833333333333333</v>
      </c>
      <c r="K16" s="26">
        <v>75.420340508072087</v>
      </c>
      <c r="L16" s="26">
        <v>9.6761998789325823</v>
      </c>
      <c r="M16" s="26">
        <v>5.2143314899242039</v>
      </c>
      <c r="N16" s="26">
        <v>273.04862283729597</v>
      </c>
      <c r="O16" s="26">
        <v>9.8263138743985898</v>
      </c>
      <c r="P16" s="26">
        <v>2.2711566708569433</v>
      </c>
      <c r="Q16" s="1">
        <v>2</v>
      </c>
      <c r="R16" s="3" t="s">
        <v>71</v>
      </c>
      <c r="S16" s="11" t="s">
        <v>93</v>
      </c>
    </row>
    <row r="17" spans="1:19" ht="32">
      <c r="A17" s="1" t="s">
        <v>70</v>
      </c>
      <c r="B17" s="3" t="s">
        <v>4</v>
      </c>
      <c r="C17" s="4">
        <v>42761</v>
      </c>
      <c r="D17" s="5">
        <v>0.34166666666666662</v>
      </c>
      <c r="E17" s="10">
        <v>22.6</v>
      </c>
      <c r="F17" s="10">
        <v>35</v>
      </c>
      <c r="G17" s="26">
        <v>6.27</v>
      </c>
      <c r="H17" s="10">
        <v>88.2</v>
      </c>
      <c r="I17" s="34">
        <v>8.0500000000000007</v>
      </c>
      <c r="J17" s="26">
        <f>AVERAGE(2.99,2.75,2.8)</f>
        <v>2.8466666666666662</v>
      </c>
      <c r="K17" s="26">
        <v>73.140107076104357</v>
      </c>
      <c r="L17" s="26">
        <v>15.068891333038414</v>
      </c>
      <c r="M17" s="26">
        <v>7.6400424977570127</v>
      </c>
      <c r="N17" s="26">
        <v>201.91133903241547</v>
      </c>
      <c r="O17" s="26">
        <v>7.8319028468620973</v>
      </c>
      <c r="P17" s="26">
        <v>7.3789516626035239</v>
      </c>
      <c r="Q17" s="1">
        <v>1</v>
      </c>
      <c r="R17" s="3" t="s">
        <v>71</v>
      </c>
      <c r="S17" s="11" t="s">
        <v>93</v>
      </c>
    </row>
    <row r="18" spans="1:19" ht="32">
      <c r="A18" s="1" t="s">
        <v>36</v>
      </c>
      <c r="B18" s="3" t="s">
        <v>4</v>
      </c>
      <c r="C18" s="4">
        <v>42783</v>
      </c>
      <c r="D18" s="5">
        <v>0.33333333333333331</v>
      </c>
      <c r="E18" s="7">
        <v>25.6</v>
      </c>
      <c r="F18" s="7">
        <v>35.1</v>
      </c>
      <c r="G18" s="6">
        <v>5.63</v>
      </c>
      <c r="H18" s="7">
        <v>83.3</v>
      </c>
      <c r="I18" s="6">
        <v>8.0500000000000007</v>
      </c>
      <c r="J18" s="6">
        <f>AVERAGE(2.12,2.12,2.18)</f>
        <v>2.14</v>
      </c>
      <c r="K18" s="26">
        <v>88.268675707856815</v>
      </c>
      <c r="L18" s="26">
        <v>10.181256789609227</v>
      </c>
      <c r="M18" s="26">
        <v>5.9348877866101688</v>
      </c>
      <c r="N18" s="26">
        <v>168.5933437211676</v>
      </c>
      <c r="O18" s="26">
        <v>9.1561614985712723</v>
      </c>
      <c r="P18" s="26">
        <v>8.6657269062537772</v>
      </c>
      <c r="Q18" s="1">
        <v>2</v>
      </c>
      <c r="R18" s="3" t="s">
        <v>31</v>
      </c>
      <c r="S18" s="11" t="s">
        <v>93</v>
      </c>
    </row>
    <row r="19" spans="1:19" ht="32">
      <c r="A19" s="1" t="s">
        <v>36</v>
      </c>
      <c r="B19" s="3" t="s">
        <v>4</v>
      </c>
      <c r="C19" s="4">
        <v>42803</v>
      </c>
      <c r="D19" s="5">
        <v>0.33680555555555558</v>
      </c>
      <c r="E19" s="10">
        <v>25.4</v>
      </c>
      <c r="F19" s="10">
        <v>34.4</v>
      </c>
      <c r="G19" s="26">
        <v>5.83</v>
      </c>
      <c r="H19" s="10">
        <v>85.8</v>
      </c>
      <c r="I19" s="26">
        <v>8.06</v>
      </c>
      <c r="J19" s="26">
        <f>AVERAGE(2.37,2.39,2.38)</f>
        <v>2.38</v>
      </c>
      <c r="K19" s="26">
        <v>69.95514525889331</v>
      </c>
      <c r="L19" s="26">
        <v>7.8979169574818231</v>
      </c>
      <c r="M19" s="26">
        <v>5.185480239915254</v>
      </c>
      <c r="N19" s="26">
        <v>189.55351668070685</v>
      </c>
      <c r="O19" s="26">
        <v>8.4915615409037954</v>
      </c>
      <c r="P19" s="26">
        <v>7.2691708376207753</v>
      </c>
      <c r="Q19" s="1">
        <v>1</v>
      </c>
      <c r="R19" s="3" t="s">
        <v>73</v>
      </c>
      <c r="S19" s="11" t="s">
        <v>93</v>
      </c>
    </row>
    <row r="20" spans="1:19" ht="32">
      <c r="A20" s="1" t="s">
        <v>80</v>
      </c>
      <c r="B20" s="3" t="s">
        <v>4</v>
      </c>
      <c r="C20" s="4">
        <v>42824</v>
      </c>
      <c r="D20" s="5">
        <v>0.33680555555555558</v>
      </c>
      <c r="E20" s="10">
        <v>25.9</v>
      </c>
      <c r="F20" s="10">
        <v>34.200000000000003</v>
      </c>
      <c r="G20" s="26">
        <v>6.27</v>
      </c>
      <c r="H20" s="10">
        <v>92.9</v>
      </c>
      <c r="I20" s="26">
        <v>8.0299999999999994</v>
      </c>
      <c r="J20" s="26">
        <f>AVERAGE(6.32,6.45,6.26)</f>
        <v>6.3433333333333337</v>
      </c>
      <c r="K20" s="26">
        <v>64.892918027049319</v>
      </c>
      <c r="L20" s="26">
        <v>7.345010383294591</v>
      </c>
      <c r="M20" s="26">
        <v>5.6416228247552587</v>
      </c>
      <c r="N20" s="26">
        <v>256.49284483253427</v>
      </c>
      <c r="O20" s="26">
        <v>6.9352740352015099</v>
      </c>
      <c r="P20" s="26">
        <v>5.7511904971819732</v>
      </c>
      <c r="Q20" s="1">
        <v>1</v>
      </c>
      <c r="R20" s="3" t="s">
        <v>73</v>
      </c>
      <c r="S20" s="11" t="s">
        <v>93</v>
      </c>
    </row>
    <row r="21" spans="1:19" ht="32">
      <c r="A21" s="1" t="s">
        <v>30</v>
      </c>
      <c r="B21" s="3" t="s">
        <v>4</v>
      </c>
      <c r="C21" s="4">
        <v>42845</v>
      </c>
      <c r="D21" s="5">
        <v>0.3263888888888889</v>
      </c>
      <c r="E21" s="10">
        <v>26.3</v>
      </c>
      <c r="F21" s="10">
        <v>33.9</v>
      </c>
      <c r="G21" s="26">
        <v>6.19</v>
      </c>
      <c r="H21" s="10">
        <v>92.5</v>
      </c>
      <c r="I21" s="26">
        <v>8.02</v>
      </c>
      <c r="J21" s="26">
        <f>AVERAGE(12.8,12.4,12.6)</f>
        <v>12.600000000000001</v>
      </c>
      <c r="K21" s="26">
        <v>88.27574939277369</v>
      </c>
      <c r="L21" s="26">
        <v>9.5321631137001539</v>
      </c>
      <c r="M21" s="26">
        <v>7.3796220423043648</v>
      </c>
      <c r="N21" s="26">
        <v>527.83626265958333</v>
      </c>
      <c r="O21" s="26">
        <v>7.4264780905475289</v>
      </c>
      <c r="P21" s="26">
        <v>5.5630293796891728</v>
      </c>
      <c r="Q21" s="1">
        <v>1</v>
      </c>
      <c r="R21" s="3" t="s">
        <v>73</v>
      </c>
      <c r="S21" s="11" t="s">
        <v>93</v>
      </c>
    </row>
    <row r="22" spans="1:19" ht="32">
      <c r="A22" s="1" t="s">
        <v>28</v>
      </c>
      <c r="B22" s="3" t="s">
        <v>4</v>
      </c>
      <c r="C22" s="4">
        <v>42866</v>
      </c>
      <c r="D22" s="5">
        <v>0.33680555555555558</v>
      </c>
      <c r="E22" s="37">
        <v>24.9</v>
      </c>
      <c r="F22" s="37">
        <v>33.9</v>
      </c>
      <c r="G22" s="26">
        <v>6.47</v>
      </c>
      <c r="H22" s="37">
        <v>94.7</v>
      </c>
      <c r="I22" s="26">
        <v>8.1</v>
      </c>
      <c r="J22" s="26">
        <f>AVERAGE(2.06,2.18,2.42)</f>
        <v>2.2200000000000002</v>
      </c>
      <c r="K22" s="26">
        <v>60.933832495356036</v>
      </c>
      <c r="L22" s="26">
        <v>8.6926518351294497</v>
      </c>
      <c r="M22" s="26">
        <v>5.3499511895569913</v>
      </c>
      <c r="N22" s="26">
        <v>355.93812735539188</v>
      </c>
      <c r="O22" s="26">
        <v>3.8925633342377779</v>
      </c>
      <c r="P22" s="26">
        <v>2.595010797551319</v>
      </c>
      <c r="Q22" s="1">
        <v>1</v>
      </c>
      <c r="R22" s="3" t="s">
        <v>27</v>
      </c>
      <c r="S22" s="11" t="s">
        <v>93</v>
      </c>
    </row>
    <row r="23" spans="1:19" ht="32">
      <c r="A23" s="1" t="s">
        <v>43</v>
      </c>
      <c r="B23" s="3" t="s">
        <v>4</v>
      </c>
      <c r="C23" s="4">
        <v>42887</v>
      </c>
      <c r="D23" s="5">
        <v>0.33680555555555558</v>
      </c>
      <c r="E23" s="7">
        <v>26</v>
      </c>
      <c r="F23" s="7">
        <v>34.700000000000003</v>
      </c>
      <c r="G23" s="6">
        <v>5.87</v>
      </c>
      <c r="H23" s="7">
        <v>87.7</v>
      </c>
      <c r="I23" s="6">
        <v>8.06</v>
      </c>
      <c r="J23" s="6">
        <f>AVERAGE(3.9,4.17,4.13)</f>
        <v>4.0666666666666664</v>
      </c>
      <c r="K23" s="26">
        <v>62.548879106457221</v>
      </c>
      <c r="L23" s="26">
        <v>6.5306005920434123</v>
      </c>
      <c r="M23" s="26">
        <v>4.9608336578346668</v>
      </c>
      <c r="N23" s="26">
        <v>233.74422028790855</v>
      </c>
      <c r="O23" s="26">
        <v>4.7354858131201834</v>
      </c>
      <c r="P23" s="26">
        <v>3.3730592360269647</v>
      </c>
      <c r="Q23" s="1">
        <v>1</v>
      </c>
      <c r="R23" s="3" t="s">
        <v>21</v>
      </c>
      <c r="S23" s="11" t="s">
        <v>93</v>
      </c>
    </row>
    <row r="24" spans="1:19" ht="32">
      <c r="A24" s="1" t="s">
        <v>44</v>
      </c>
      <c r="B24" s="3" t="s">
        <v>4</v>
      </c>
      <c r="C24" s="4">
        <v>42908</v>
      </c>
      <c r="D24" s="5">
        <v>0.34027777777777773</v>
      </c>
      <c r="E24" s="37">
        <v>25.7</v>
      </c>
      <c r="F24" s="37">
        <v>33.9</v>
      </c>
      <c r="G24" s="26">
        <v>6.2</v>
      </c>
      <c r="H24" s="37">
        <v>92.1</v>
      </c>
      <c r="I24" s="26">
        <v>8.01</v>
      </c>
      <c r="J24" s="26">
        <f>AVERAGE(5.32,4.64,5.06)</f>
        <v>5.0066666666666668</v>
      </c>
      <c r="K24" s="26">
        <v>72.344493308276967</v>
      </c>
      <c r="L24" s="26">
        <v>10.180782307541312</v>
      </c>
      <c r="M24" s="26">
        <v>8.0205552667872482</v>
      </c>
      <c r="N24" s="26">
        <v>514.51588453387558</v>
      </c>
      <c r="O24" s="26">
        <v>8.1428684677166991</v>
      </c>
      <c r="P24" s="26">
        <v>3.9868555822491198</v>
      </c>
      <c r="Q24" s="1">
        <v>1</v>
      </c>
      <c r="R24" s="3" t="s">
        <v>40</v>
      </c>
      <c r="S24" s="11" t="s">
        <v>93</v>
      </c>
    </row>
    <row r="25" spans="1:19" ht="32">
      <c r="A25" s="1" t="s">
        <v>33</v>
      </c>
      <c r="B25" s="3" t="s">
        <v>4</v>
      </c>
      <c r="C25" s="4">
        <v>42929</v>
      </c>
      <c r="D25" s="5">
        <v>0.3298611111111111</v>
      </c>
      <c r="E25" s="37">
        <v>26.9</v>
      </c>
      <c r="F25" s="37">
        <v>34.4</v>
      </c>
      <c r="G25" s="26">
        <v>5.77</v>
      </c>
      <c r="H25" s="37">
        <v>87.6</v>
      </c>
      <c r="I25" s="26">
        <v>8.0399999999999991</v>
      </c>
      <c r="J25" s="26">
        <f>AVERAGE(3.58,3.7,4.03)</f>
        <v>3.77</v>
      </c>
      <c r="K25" s="26">
        <v>58.955591843825069</v>
      </c>
      <c r="L25" s="26">
        <v>7.976736319965565</v>
      </c>
      <c r="M25" s="26">
        <v>4.9889622818086607</v>
      </c>
      <c r="N25" s="26">
        <v>256.8035183749422</v>
      </c>
      <c r="O25" s="26">
        <v>7.6527905456564556</v>
      </c>
      <c r="P25" s="26">
        <v>1.9172891784771444</v>
      </c>
      <c r="Q25" s="1">
        <v>1</v>
      </c>
      <c r="R25" s="3" t="s">
        <v>34</v>
      </c>
      <c r="S25" s="11" t="s">
        <v>93</v>
      </c>
    </row>
    <row r="26" spans="1:19" ht="32">
      <c r="A26" s="1" t="s">
        <v>102</v>
      </c>
      <c r="B26" s="3" t="s">
        <v>4</v>
      </c>
      <c r="C26" s="4">
        <v>42950</v>
      </c>
      <c r="D26" s="5">
        <v>0.33194444444444443</v>
      </c>
      <c r="E26" s="37">
        <v>27.8</v>
      </c>
      <c r="F26" s="37">
        <v>34.4</v>
      </c>
      <c r="G26" s="26">
        <v>5.56</v>
      </c>
      <c r="H26" s="37">
        <v>85.6</v>
      </c>
      <c r="I26" s="26">
        <v>8.01</v>
      </c>
      <c r="J26" s="26">
        <f>AVERAGE(3.47,3.64,3.56)</f>
        <v>3.5566666666666666</v>
      </c>
      <c r="K26" s="26">
        <v>76.611404196814618</v>
      </c>
      <c r="L26" s="26">
        <v>7.7393921098885015</v>
      </c>
      <c r="M26" s="26">
        <v>5.5491713204619089</v>
      </c>
      <c r="N26" s="26">
        <v>284.5409286715452</v>
      </c>
      <c r="O26" s="26">
        <v>4.9007243107352156</v>
      </c>
      <c r="P26" s="26">
        <v>2.4383589763663216</v>
      </c>
      <c r="Q26" s="1">
        <v>2</v>
      </c>
      <c r="R26" s="3" t="s">
        <v>101</v>
      </c>
      <c r="S26" s="11" t="s">
        <v>93</v>
      </c>
    </row>
    <row r="27" spans="1:19" ht="32">
      <c r="A27" s="1" t="s">
        <v>82</v>
      </c>
      <c r="B27" s="3" t="s">
        <v>4</v>
      </c>
      <c r="C27" s="4">
        <v>42971</v>
      </c>
      <c r="D27" s="5">
        <v>0.34097222222222223</v>
      </c>
      <c r="E27" s="37">
        <v>25.9</v>
      </c>
      <c r="F27" s="37">
        <v>35.200000000000003</v>
      </c>
      <c r="G27" s="26">
        <v>6.05</v>
      </c>
      <c r="H27" s="37">
        <v>90.7</v>
      </c>
      <c r="I27" s="26">
        <v>8.0399999999999991</v>
      </c>
      <c r="J27" s="26">
        <f>AVERAGE(4.34,4.08,3.98)</f>
        <v>4.1333333333333337</v>
      </c>
      <c r="K27" s="26">
        <v>70.6934924811342</v>
      </c>
      <c r="L27" s="26">
        <v>7.6772540291074387</v>
      </c>
      <c r="M27" s="26">
        <v>5.7422406936207713</v>
      </c>
      <c r="N27" s="26">
        <v>255.03332263349859</v>
      </c>
      <c r="O27" s="26">
        <v>4.2897370305007998</v>
      </c>
      <c r="P27" s="26">
        <v>2.3380316376418833</v>
      </c>
      <c r="Q27" s="1">
        <v>1</v>
      </c>
      <c r="R27" s="3" t="s">
        <v>81</v>
      </c>
      <c r="S27" s="11" t="s">
        <v>93</v>
      </c>
    </row>
    <row r="28" spans="1:19" ht="32">
      <c r="A28" s="1" t="s">
        <v>54</v>
      </c>
      <c r="B28" s="3" t="s">
        <v>4</v>
      </c>
      <c r="C28" s="4">
        <v>42992</v>
      </c>
      <c r="D28" s="44">
        <v>0.32777777777777778</v>
      </c>
      <c r="E28" s="37">
        <v>28.5</v>
      </c>
      <c r="F28" s="37">
        <v>34.799999999999997</v>
      </c>
      <c r="G28" s="26">
        <v>5.63</v>
      </c>
      <c r="H28" s="37">
        <v>88</v>
      </c>
      <c r="I28" s="26">
        <v>7.98</v>
      </c>
      <c r="J28" s="26">
        <f>AVERAGE(3.94,3.95,3.94)</f>
        <v>3.9433333333333334</v>
      </c>
      <c r="K28" s="26">
        <v>46.441160475773373</v>
      </c>
      <c r="L28" s="26">
        <v>15.631083237097894</v>
      </c>
      <c r="M28" s="26">
        <v>5.5963274117950039</v>
      </c>
      <c r="N28" s="26">
        <v>350.7522214853264</v>
      </c>
      <c r="O28" s="26">
        <v>3.8202538353908442</v>
      </c>
      <c r="P28" s="26">
        <v>3.8179089117408496</v>
      </c>
      <c r="Q28" s="1">
        <v>1</v>
      </c>
      <c r="R28" s="3" t="s">
        <v>53</v>
      </c>
      <c r="S28" s="11" t="s">
        <v>93</v>
      </c>
    </row>
    <row r="29" spans="1:19" ht="32">
      <c r="A29" s="1" t="s">
        <v>99</v>
      </c>
      <c r="B29" s="3" t="s">
        <v>4</v>
      </c>
      <c r="C29" s="4">
        <v>43013</v>
      </c>
      <c r="D29" s="44">
        <v>0.32777777777777778</v>
      </c>
      <c r="E29" s="7">
        <v>25.7</v>
      </c>
      <c r="F29" s="7">
        <v>34.5</v>
      </c>
      <c r="G29" s="6">
        <v>5.99</v>
      </c>
      <c r="H29" s="7">
        <v>89.1</v>
      </c>
      <c r="I29" s="6">
        <v>8.02</v>
      </c>
      <c r="J29" s="6">
        <f>AVERAGE(7.95,7.79,7.83)</f>
        <v>7.8566666666666665</v>
      </c>
      <c r="K29" s="26">
        <v>55.518040638376718</v>
      </c>
      <c r="L29" s="26">
        <v>11.756149596482098</v>
      </c>
      <c r="M29" s="26">
        <v>6.594990681932539</v>
      </c>
      <c r="N29" s="26">
        <v>446.72665425532188</v>
      </c>
      <c r="O29" s="26">
        <v>5.8232726078963486</v>
      </c>
      <c r="P29" s="26">
        <v>2.1800678884273852</v>
      </c>
      <c r="Q29" s="1">
        <v>1</v>
      </c>
      <c r="R29" s="3" t="s">
        <v>98</v>
      </c>
      <c r="S29" s="11" t="s">
        <v>93</v>
      </c>
    </row>
    <row r="30" spans="1:19" ht="32">
      <c r="A30" s="1" t="s">
        <v>9</v>
      </c>
      <c r="B30" s="3" t="s">
        <v>4</v>
      </c>
      <c r="C30" s="4">
        <v>43034</v>
      </c>
      <c r="D30" s="44">
        <v>0.32708333333333334</v>
      </c>
      <c r="E30" s="37">
        <v>26.8</v>
      </c>
      <c r="F30" s="37">
        <v>34.5</v>
      </c>
      <c r="G30" s="26">
        <v>5.45</v>
      </c>
      <c r="H30" s="37">
        <v>82.7</v>
      </c>
      <c r="I30" s="26">
        <v>7.96</v>
      </c>
      <c r="J30" s="26">
        <f>AVERAGE(5.43,5.34,4.99)</f>
        <v>5.253333333333333</v>
      </c>
      <c r="K30" s="26">
        <v>95.679133381839449</v>
      </c>
      <c r="L30" s="26">
        <v>33.359602076492124</v>
      </c>
      <c r="M30" s="26">
        <v>9.8090916548229607</v>
      </c>
      <c r="N30" s="26">
        <v>462.27078028095866</v>
      </c>
      <c r="O30" s="26">
        <v>12.058551869036155</v>
      </c>
      <c r="P30" s="26">
        <v>9.1881122094630037</v>
      </c>
      <c r="Q30" s="1">
        <v>3</v>
      </c>
      <c r="R30" s="3" t="s">
        <v>49</v>
      </c>
      <c r="S30" s="11" t="s">
        <v>48</v>
      </c>
    </row>
    <row r="31" spans="1:19" ht="32">
      <c r="A31" s="1" t="s">
        <v>70</v>
      </c>
      <c r="B31" s="3" t="s">
        <v>4</v>
      </c>
      <c r="C31" s="4">
        <v>43055</v>
      </c>
      <c r="D31" s="44">
        <v>0.3263888888888889</v>
      </c>
      <c r="E31" s="37">
        <v>24</v>
      </c>
      <c r="F31" s="37">
        <v>35</v>
      </c>
      <c r="G31" s="26">
        <v>5.83</v>
      </c>
      <c r="H31" s="37">
        <v>84.5</v>
      </c>
      <c r="I31" s="26">
        <v>8.07</v>
      </c>
      <c r="J31" s="26">
        <f>AVERAGE(3.02,2.29,2.52)</f>
        <v>2.61</v>
      </c>
      <c r="K31" s="26">
        <v>88.46529710994308</v>
      </c>
      <c r="L31" s="26">
        <v>16.095569391174589</v>
      </c>
      <c r="M31" s="26">
        <v>5.8044403890223704</v>
      </c>
      <c r="N31" s="26">
        <v>271.71777748167938</v>
      </c>
      <c r="O31" s="26">
        <v>4.995848560031801</v>
      </c>
      <c r="P31" s="26">
        <v>8.5034287226174108</v>
      </c>
      <c r="Q31" s="1">
        <v>1</v>
      </c>
      <c r="R31" s="3" t="s">
        <v>66</v>
      </c>
      <c r="S31" s="11" t="s">
        <v>48</v>
      </c>
    </row>
    <row r="32" spans="1:19" ht="32">
      <c r="A32" s="1" t="s">
        <v>92</v>
      </c>
      <c r="B32" s="3" t="s">
        <v>4</v>
      </c>
      <c r="C32" s="4">
        <v>43076</v>
      </c>
      <c r="D32" s="44">
        <v>0.32430555555555557</v>
      </c>
      <c r="E32" s="37">
        <v>24.2</v>
      </c>
      <c r="F32" s="37">
        <v>35</v>
      </c>
      <c r="G32" s="26">
        <v>6.07</v>
      </c>
      <c r="H32" s="37">
        <v>87.9</v>
      </c>
      <c r="I32" s="26">
        <v>8.11</v>
      </c>
      <c r="J32" s="26">
        <f>AVERAGE(3.25,3.39,3.32)</f>
        <v>3.3200000000000003</v>
      </c>
      <c r="Q32" s="1">
        <v>3</v>
      </c>
      <c r="R32" s="3" t="s">
        <v>89</v>
      </c>
      <c r="S32" s="11" t="s">
        <v>90</v>
      </c>
    </row>
    <row r="33" spans="1:19" ht="32">
      <c r="A33" s="1" t="s">
        <v>42</v>
      </c>
      <c r="B33" s="3" t="s">
        <v>4</v>
      </c>
      <c r="C33" s="4">
        <v>43090</v>
      </c>
      <c r="D33" s="44">
        <v>0.37777777777777777</v>
      </c>
      <c r="E33" s="37">
        <v>24.2</v>
      </c>
      <c r="F33" s="37">
        <v>34.6</v>
      </c>
      <c r="G33" s="26">
        <v>5.87</v>
      </c>
      <c r="H33" s="37">
        <v>85.4</v>
      </c>
      <c r="I33" s="26">
        <v>8</v>
      </c>
      <c r="J33" s="26">
        <f>AVERAGE(4.36,4.27,4.38)</f>
        <v>4.336666666666666</v>
      </c>
      <c r="Q33" s="1">
        <v>1</v>
      </c>
      <c r="R33" s="3" t="s">
        <v>41</v>
      </c>
      <c r="S33" s="11" t="s">
        <v>90</v>
      </c>
    </row>
    <row r="34" spans="1:19" ht="32">
      <c r="A34" s="1" t="s">
        <v>104</v>
      </c>
      <c r="B34" s="3" t="s">
        <v>4</v>
      </c>
      <c r="C34" s="4">
        <v>43111</v>
      </c>
      <c r="D34" s="44">
        <v>0.32361111111111113</v>
      </c>
      <c r="E34" s="37">
        <v>23.9</v>
      </c>
      <c r="F34" s="37">
        <v>34.4</v>
      </c>
      <c r="G34" s="26">
        <v>6.29</v>
      </c>
      <c r="H34" s="37">
        <v>90.3</v>
      </c>
      <c r="I34" s="26">
        <v>8.09</v>
      </c>
      <c r="J34" s="26">
        <f>AVERAGE(1.14,1.09,1.2)</f>
        <v>1.1433333333333333</v>
      </c>
      <c r="Q34" s="1">
        <v>3</v>
      </c>
      <c r="R34" s="3" t="s">
        <v>103</v>
      </c>
      <c r="S34" s="11" t="s">
        <v>90</v>
      </c>
    </row>
    <row r="35" spans="1:19">
      <c r="C35" s="4"/>
      <c r="D35" s="44"/>
      <c r="E35" s="37"/>
      <c r="F35" s="37"/>
      <c r="G35" s="26"/>
      <c r="H35" s="37"/>
      <c r="I35" s="26"/>
      <c r="J35" s="26"/>
    </row>
    <row r="36" spans="1:19">
      <c r="E36" s="37"/>
      <c r="F36" s="37"/>
      <c r="G36" s="26"/>
      <c r="H36" s="37"/>
      <c r="I36" s="26"/>
      <c r="J36" s="26"/>
    </row>
    <row r="41" spans="1:19">
      <c r="I41" s="26">
        <f t="shared" ref="I41:P41" si="0">GEOMEAN(I2:I39)</f>
        <v>8.0142234127229344</v>
      </c>
      <c r="J41" s="21">
        <f t="shared" si="0"/>
        <v>4.1516423937113798</v>
      </c>
      <c r="K41" s="26">
        <f t="shared" si="0"/>
        <v>69.596455209618313</v>
      </c>
      <c r="L41" s="26">
        <f t="shared" ref="L41:N41" si="1">GEOMEAN(L2:L39)</f>
        <v>10.996473624455229</v>
      </c>
      <c r="M41" s="26">
        <f t="shared" si="1"/>
        <v>5.7155848719161719</v>
      </c>
      <c r="N41" s="26">
        <f t="shared" si="1"/>
        <v>298.2541581716913</v>
      </c>
      <c r="O41" s="28">
        <f t="shared" si="0"/>
        <v>5.7622334567238669</v>
      </c>
      <c r="P41" s="28">
        <f t="shared" si="0"/>
        <v>3.9993220821240052</v>
      </c>
      <c r="S41" s="11" t="s">
        <v>95</v>
      </c>
    </row>
    <row r="42" spans="1:19">
      <c r="D42" s="41">
        <f>AVERAGE(D2:D38)</f>
        <v>0.33787878787878783</v>
      </c>
      <c r="E42" s="26">
        <f>AVERAGE(E2:E38)</f>
        <v>25.709090909090907</v>
      </c>
      <c r="F42" s="26">
        <f t="shared" ref="F42:H42" si="2">AVERAGE(F2:F38)</f>
        <v>34.524242424242431</v>
      </c>
      <c r="G42" s="26">
        <f t="shared" si="2"/>
        <v>6.0087878787878788</v>
      </c>
      <c r="H42" s="26">
        <f t="shared" si="2"/>
        <v>89.451515151515153</v>
      </c>
      <c r="I42" s="16">
        <f>AVERAGE(I2:I38)</f>
        <v>8.0145454545454538</v>
      </c>
      <c r="J42" s="16">
        <f>AVERAGE(J2:J38)</f>
        <v>4.7727272727272725</v>
      </c>
      <c r="K42" s="26">
        <f t="shared" ref="K42:P42" si="3">AVERAGE(K2:K38)</f>
        <v>70.738403301210994</v>
      </c>
      <c r="L42" s="26">
        <f t="shared" ref="L42:M42" si="4">AVERAGE(L2:L38)</f>
        <v>11.822465032765759</v>
      </c>
      <c r="M42" s="26">
        <f t="shared" si="4"/>
        <v>5.8422472450609577</v>
      </c>
      <c r="N42" s="26">
        <f>AVERAGE(N2:N38)</f>
        <v>312.31458891398216</v>
      </c>
      <c r="O42" s="26">
        <f t="shared" si="3"/>
        <v>6.2233142519152116</v>
      </c>
      <c r="P42" s="26">
        <f t="shared" si="3"/>
        <v>4.7446503119366215</v>
      </c>
      <c r="S42" s="11" t="s">
        <v>96</v>
      </c>
    </row>
    <row r="43" spans="1:19">
      <c r="E43" s="26">
        <f>STDEV(E2:E38)</f>
        <v>1.3998579473387527</v>
      </c>
      <c r="F43" s="26">
        <f t="shared" ref="F43:H43" si="5">STDEV(F2:F38)</f>
        <v>1.7480400279723505</v>
      </c>
      <c r="G43" s="26">
        <f t="shared" si="5"/>
        <v>0.27146313718163256</v>
      </c>
      <c r="H43" s="26">
        <f t="shared" si="5"/>
        <v>3.8460305195844779</v>
      </c>
      <c r="I43" s="16">
        <f>STDEV(I2:I38)</f>
        <v>7.2503918389521763E-2</v>
      </c>
      <c r="J43" s="16">
        <f>STDEV(J2:J38)</f>
        <v>2.801715924431333</v>
      </c>
      <c r="K43" s="26">
        <f t="shared" ref="K43:P43" si="6">STDEV(K2:K38)</f>
        <v>13.318367101750221</v>
      </c>
      <c r="L43" s="26">
        <f t="shared" ref="L43:M43" si="7">STDEV(L2:L38)</f>
        <v>5.1798906835323333</v>
      </c>
      <c r="M43" s="26">
        <f t="shared" si="7"/>
        <v>1.2797887891608777</v>
      </c>
      <c r="N43" s="26">
        <f>STDEV(N2:N38)</f>
        <v>98.861550372504254</v>
      </c>
      <c r="O43" s="26">
        <f t="shared" si="6"/>
        <v>2.5224268402711032</v>
      </c>
      <c r="P43" s="26">
        <f t="shared" si="6"/>
        <v>2.9519334334283314</v>
      </c>
      <c r="S43" s="11" t="s">
        <v>97</v>
      </c>
    </row>
    <row r="44" spans="1:19">
      <c r="J44" s="16"/>
    </row>
    <row r="45" spans="1:19">
      <c r="J45" s="16">
        <f>J41/0.2</f>
        <v>20.758211968556896</v>
      </c>
      <c r="K45" s="26">
        <f>K41/110</f>
        <v>0.63269504736016646</v>
      </c>
      <c r="L45" s="26">
        <f>L41/16</f>
        <v>0.6872796015284518</v>
      </c>
      <c r="M45" s="26">
        <f>M41/6</f>
        <v>0.95259747865269528</v>
      </c>
      <c r="N45" s="26">
        <f>N41</f>
        <v>298.2541581716913</v>
      </c>
      <c r="O45" s="26">
        <f>O41/3.5</f>
        <v>1.646352416206819</v>
      </c>
      <c r="P45" s="26">
        <f>P41/2</f>
        <v>1.9996610410620026</v>
      </c>
      <c r="S45" s="11" t="s">
        <v>100</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5"/>
  <sheetViews>
    <sheetView workbookViewId="0">
      <pane xSplit="3" ySplit="1" topLeftCell="K23" activePane="bottomRight" state="frozen"/>
      <selection pane="topRight" activeCell="D1" sqref="D1"/>
      <selection pane="bottomLeft" activeCell="A2" sqref="A2"/>
      <selection pane="bottomRight" activeCell="A26" sqref="A26:XFD26"/>
    </sheetView>
  </sheetViews>
  <sheetFormatPr baseColWidth="10" defaultRowHeight="16"/>
  <cols>
    <col min="1" max="1" width="17.5703125" style="1" customWidth="1"/>
    <col min="2" max="2" width="10.7109375" style="3"/>
    <col min="3" max="4" width="10.7109375" style="1"/>
    <col min="5" max="5" width="13.140625" style="7" customWidth="1"/>
    <col min="6" max="6" width="10.7109375" style="7"/>
    <col min="7" max="7" width="10.7109375" style="6"/>
    <col min="8" max="8" width="10.7109375" style="7"/>
    <col min="9" max="10" width="10.7109375" style="6"/>
    <col min="11" max="11" width="10.7109375" style="13"/>
    <col min="12" max="12" width="10.7109375" style="26"/>
    <col min="13" max="13" width="12.140625" style="26" customWidth="1"/>
    <col min="14" max="14" width="10.7109375" style="26"/>
    <col min="15" max="16" width="10.7109375" style="13"/>
    <col min="17" max="17" width="12.140625" style="31" customWidth="1"/>
    <col min="18" max="18" width="12.5703125" style="35" customWidth="1"/>
    <col min="19" max="19" width="51.42578125" style="11" customWidth="1"/>
    <col min="20" max="16384" width="10.7109375" style="1"/>
  </cols>
  <sheetData>
    <row r="1" spans="1:19" s="2" customFormat="1" ht="32">
      <c r="A1" s="2" t="s">
        <v>24</v>
      </c>
      <c r="B1" s="2" t="s">
        <v>26</v>
      </c>
      <c r="C1" s="2" t="s">
        <v>45</v>
      </c>
      <c r="D1" s="2" t="s">
        <v>46</v>
      </c>
      <c r="E1" s="9" t="s">
        <v>47</v>
      </c>
      <c r="F1" s="9" t="s">
        <v>50</v>
      </c>
      <c r="G1" s="15" t="s">
        <v>51</v>
      </c>
      <c r="H1" s="9" t="s">
        <v>52</v>
      </c>
      <c r="I1" s="15" t="s">
        <v>55</v>
      </c>
      <c r="J1" s="15" t="s">
        <v>56</v>
      </c>
      <c r="K1" s="2" t="s">
        <v>57</v>
      </c>
      <c r="L1" s="2" t="s">
        <v>60</v>
      </c>
      <c r="M1" s="2" t="s">
        <v>61</v>
      </c>
      <c r="N1" s="2" t="s">
        <v>62</v>
      </c>
      <c r="O1" s="2" t="s">
        <v>58</v>
      </c>
      <c r="P1" s="2" t="s">
        <v>59</v>
      </c>
      <c r="Q1" s="32" t="s">
        <v>63</v>
      </c>
      <c r="R1" s="32" t="s">
        <v>78</v>
      </c>
      <c r="S1" s="2" t="s">
        <v>79</v>
      </c>
    </row>
    <row r="2" spans="1:19" ht="32">
      <c r="A2" s="1" t="s">
        <v>13</v>
      </c>
      <c r="B2" s="3" t="s">
        <v>86</v>
      </c>
      <c r="C2" s="4">
        <v>42537</v>
      </c>
      <c r="D2" s="5">
        <v>0.38680555555555557</v>
      </c>
      <c r="E2" s="7">
        <v>25.2</v>
      </c>
      <c r="F2" s="7">
        <v>28.1</v>
      </c>
      <c r="G2" s="6">
        <v>7</v>
      </c>
      <c r="H2" s="7">
        <v>103.1</v>
      </c>
      <c r="I2" s="6">
        <v>8.06</v>
      </c>
      <c r="J2" s="6">
        <v>16.87</v>
      </c>
      <c r="K2" s="13">
        <v>63.47</v>
      </c>
      <c r="L2" s="26">
        <v>16.77</v>
      </c>
      <c r="M2" s="26">
        <v>6.34</v>
      </c>
      <c r="N2" s="26">
        <v>112.01</v>
      </c>
      <c r="O2" s="13">
        <v>2.64</v>
      </c>
      <c r="P2" s="13">
        <v>1.79</v>
      </c>
      <c r="Q2" s="31">
        <v>1</v>
      </c>
      <c r="R2" s="35" t="s">
        <v>75</v>
      </c>
      <c r="S2" s="11" t="s">
        <v>18</v>
      </c>
    </row>
    <row r="3" spans="1:19" ht="32">
      <c r="A3" s="1" t="s">
        <v>13</v>
      </c>
      <c r="B3" s="3" t="s">
        <v>86</v>
      </c>
      <c r="C3" s="4">
        <v>42551</v>
      </c>
      <c r="D3" s="5">
        <v>0.35486111111111113</v>
      </c>
      <c r="E3" s="7">
        <v>26.9</v>
      </c>
      <c r="F3" s="7">
        <v>29.7</v>
      </c>
      <c r="G3" s="6">
        <v>6.81</v>
      </c>
      <c r="H3" s="7">
        <v>103.4</v>
      </c>
      <c r="I3" s="6">
        <v>8.0500000000000007</v>
      </c>
      <c r="J3" s="6">
        <v>10.6</v>
      </c>
      <c r="K3" s="13">
        <v>76.47</v>
      </c>
      <c r="L3" s="26">
        <v>12.3</v>
      </c>
      <c r="M3" s="26">
        <v>4.05</v>
      </c>
      <c r="N3" s="26">
        <v>113.15</v>
      </c>
      <c r="O3" s="38">
        <v>0.12</v>
      </c>
      <c r="P3" s="13">
        <v>2.92</v>
      </c>
      <c r="Q3" s="31">
        <v>1</v>
      </c>
      <c r="R3" s="35" t="s">
        <v>75</v>
      </c>
      <c r="S3" s="11" t="s">
        <v>18</v>
      </c>
    </row>
    <row r="4" spans="1:19" ht="32">
      <c r="A4" s="1" t="s">
        <v>13</v>
      </c>
      <c r="B4" s="3" t="s">
        <v>86</v>
      </c>
      <c r="C4" s="4">
        <v>42565</v>
      </c>
      <c r="D4" s="5">
        <v>0.375</v>
      </c>
      <c r="E4" s="7">
        <v>27.8</v>
      </c>
      <c r="F4" s="7">
        <v>37.200000000000003</v>
      </c>
      <c r="G4" s="6">
        <v>6.65</v>
      </c>
      <c r="H4" s="7">
        <v>103.9</v>
      </c>
      <c r="I4" s="6">
        <v>8.09</v>
      </c>
      <c r="J4" s="6">
        <v>4.1500000000000004</v>
      </c>
      <c r="K4" s="16">
        <v>77.704003009480473</v>
      </c>
      <c r="L4" s="26">
        <v>11.772380631157962</v>
      </c>
      <c r="M4" s="26">
        <v>4.3734000805021847</v>
      </c>
      <c r="N4" s="26">
        <v>74.209724066399033</v>
      </c>
      <c r="O4" s="16">
        <v>1.8729247451895499</v>
      </c>
      <c r="P4" s="16">
        <v>2.1917779310135792</v>
      </c>
      <c r="Q4" s="31">
        <v>1</v>
      </c>
      <c r="R4" s="35" t="s">
        <v>75</v>
      </c>
      <c r="S4" s="11" t="s">
        <v>19</v>
      </c>
    </row>
    <row r="5" spans="1:19" ht="32">
      <c r="A5" s="1" t="s">
        <v>13</v>
      </c>
      <c r="B5" s="3" t="s">
        <v>86</v>
      </c>
      <c r="C5" s="4">
        <v>42579</v>
      </c>
      <c r="D5" s="5">
        <v>0.3611111111111111</v>
      </c>
      <c r="E5" s="7">
        <v>27</v>
      </c>
      <c r="F5" s="7">
        <v>35.6</v>
      </c>
      <c r="G5" s="6">
        <v>6.81</v>
      </c>
      <c r="H5" s="7">
        <v>104</v>
      </c>
      <c r="I5" s="6">
        <v>8.11</v>
      </c>
      <c r="J5" s="6">
        <f>AVERAGE(6.86,7.6,7.93)</f>
        <v>7.4633333333333338</v>
      </c>
      <c r="K5" s="16">
        <v>73.553854088902625</v>
      </c>
      <c r="L5" s="26">
        <v>10.707650108141072</v>
      </c>
      <c r="M5" s="26">
        <v>4.7527835362967741</v>
      </c>
      <c r="N5" s="26">
        <v>76.834078084220948</v>
      </c>
      <c r="O5" s="16">
        <v>1.0873613018251984</v>
      </c>
      <c r="P5" s="38">
        <v>9.6872697516583024</v>
      </c>
      <c r="Q5" s="31">
        <v>1</v>
      </c>
      <c r="R5" s="3" t="s">
        <v>64</v>
      </c>
      <c r="S5" s="11" t="s">
        <v>22</v>
      </c>
    </row>
    <row r="6" spans="1:19" ht="32">
      <c r="A6" s="1" t="s">
        <v>13</v>
      </c>
      <c r="B6" s="3" t="s">
        <v>86</v>
      </c>
      <c r="C6" s="4">
        <v>42593</v>
      </c>
      <c r="D6" s="5">
        <v>0.36805555555555558</v>
      </c>
      <c r="E6" s="7">
        <v>27.2</v>
      </c>
      <c r="F6" s="7">
        <v>35.5</v>
      </c>
      <c r="G6" s="6">
        <v>6.66</v>
      </c>
      <c r="H6" s="7">
        <v>102</v>
      </c>
      <c r="I6" s="6">
        <v>8.08</v>
      </c>
      <c r="J6" s="6">
        <f>AVERAGE(10.2,10.1,11.6)</f>
        <v>10.633333333333333</v>
      </c>
      <c r="K6" s="13">
        <v>54.104344417859245</v>
      </c>
      <c r="L6" s="26">
        <v>13.201373224437921</v>
      </c>
      <c r="M6" s="26">
        <v>3.9796643478546168</v>
      </c>
      <c r="N6" s="26">
        <v>66.184633613952045</v>
      </c>
      <c r="O6" s="13">
        <v>3.157429311784647</v>
      </c>
      <c r="P6" s="13">
        <v>1.921519033909149</v>
      </c>
      <c r="Q6" s="31">
        <v>1</v>
      </c>
      <c r="R6" s="3" t="s">
        <v>64</v>
      </c>
      <c r="S6" s="11" t="s">
        <v>83</v>
      </c>
    </row>
    <row r="7" spans="1:19" ht="32">
      <c r="A7" s="1" t="s">
        <v>13</v>
      </c>
      <c r="B7" s="3" t="s">
        <v>86</v>
      </c>
      <c r="C7" s="4">
        <v>42607</v>
      </c>
      <c r="D7" s="5">
        <v>0.34027777777777773</v>
      </c>
      <c r="E7" s="7">
        <v>27.8</v>
      </c>
      <c r="F7" s="7">
        <v>36.200000000000003</v>
      </c>
      <c r="G7" s="6">
        <v>6.3</v>
      </c>
      <c r="H7" s="7">
        <v>97.6</v>
      </c>
      <c r="I7" s="6">
        <v>7.99</v>
      </c>
      <c r="J7" s="6">
        <f>AVERAGE(14.7,16.1,14.9)</f>
        <v>15.233333333333334</v>
      </c>
      <c r="K7" s="13">
        <v>67.522159620918742</v>
      </c>
      <c r="L7" s="26">
        <v>14.737194954492248</v>
      </c>
      <c r="M7" s="26">
        <v>3.7808606509031466</v>
      </c>
      <c r="N7" s="26">
        <v>90.139903706854966</v>
      </c>
      <c r="O7" s="13">
        <v>4.3986688441156394</v>
      </c>
      <c r="P7" s="18">
        <v>1.5</v>
      </c>
      <c r="Q7" s="31">
        <v>2</v>
      </c>
      <c r="R7" s="35" t="s">
        <v>75</v>
      </c>
      <c r="S7" s="11" t="s">
        <v>83</v>
      </c>
    </row>
    <row r="8" spans="1:19">
      <c r="A8" s="1" t="s">
        <v>13</v>
      </c>
      <c r="B8" s="3" t="s">
        <v>86</v>
      </c>
      <c r="C8" s="4">
        <v>42621</v>
      </c>
      <c r="D8" s="5">
        <v>0.34722222222222227</v>
      </c>
      <c r="S8" s="11" t="s">
        <v>37</v>
      </c>
    </row>
    <row r="9" spans="1:19" ht="32">
      <c r="A9" s="1" t="s">
        <v>13</v>
      </c>
      <c r="B9" s="3" t="s">
        <v>86</v>
      </c>
      <c r="C9" s="4">
        <v>42635</v>
      </c>
      <c r="D9" s="5">
        <v>0.36805555555555558</v>
      </c>
      <c r="E9" s="7">
        <v>27.7</v>
      </c>
      <c r="F9" s="7">
        <v>37.1</v>
      </c>
      <c r="G9" s="6">
        <v>6.43</v>
      </c>
      <c r="H9" s="7">
        <v>100.3</v>
      </c>
      <c r="I9" s="6">
        <v>8.0299999999999994</v>
      </c>
      <c r="J9" s="6">
        <f>AVERAGE(13.5,15.2,15.2)</f>
        <v>14.633333333333333</v>
      </c>
      <c r="K9" s="13">
        <v>68.227084047460806</v>
      </c>
      <c r="L9" s="26">
        <v>13.629023342976049</v>
      </c>
      <c r="M9" s="26">
        <v>4.8459100691935753</v>
      </c>
      <c r="N9" s="26">
        <v>59.53870357396687</v>
      </c>
      <c r="O9" s="13">
        <v>4.8592239624324449</v>
      </c>
      <c r="P9" s="13">
        <v>10.515678057930554</v>
      </c>
      <c r="Q9" s="31">
        <v>1</v>
      </c>
      <c r="R9" s="35" t="s">
        <v>75</v>
      </c>
      <c r="S9" s="11" t="s">
        <v>39</v>
      </c>
    </row>
    <row r="10" spans="1:19" ht="32">
      <c r="A10" s="1" t="s">
        <v>13</v>
      </c>
      <c r="B10" s="3" t="s">
        <v>86</v>
      </c>
      <c r="C10" s="4">
        <v>42649</v>
      </c>
      <c r="D10" s="5">
        <v>0.3576388888888889</v>
      </c>
      <c r="E10" s="7">
        <v>27.2</v>
      </c>
      <c r="F10" s="7">
        <v>34.799999999999997</v>
      </c>
      <c r="G10" s="6">
        <v>6.41</v>
      </c>
      <c r="H10" s="7">
        <v>97.7</v>
      </c>
      <c r="I10" s="6">
        <v>8.09</v>
      </c>
      <c r="J10" s="6">
        <f>AVERAGE(13.2,13.2,13.4)</f>
        <v>13.266666666666666</v>
      </c>
      <c r="K10" s="13">
        <v>61.320118106663401</v>
      </c>
      <c r="L10" s="26">
        <v>12.662162205411583</v>
      </c>
      <c r="M10" s="26">
        <v>4.8070396524676475</v>
      </c>
      <c r="N10" s="26">
        <v>84.83172230827121</v>
      </c>
      <c r="O10" s="13">
        <v>2.9337116060653741</v>
      </c>
      <c r="P10" s="13">
        <v>2.650410411213866</v>
      </c>
      <c r="Q10" s="31">
        <v>2</v>
      </c>
      <c r="R10" s="35" t="s">
        <v>74</v>
      </c>
      <c r="S10" s="11" t="s">
        <v>39</v>
      </c>
    </row>
    <row r="11" spans="1:19" ht="32">
      <c r="A11" s="1" t="s">
        <v>13</v>
      </c>
      <c r="B11" s="3" t="s">
        <v>86</v>
      </c>
      <c r="C11" s="4">
        <v>42663</v>
      </c>
      <c r="D11" s="5">
        <v>0.34930555555555554</v>
      </c>
      <c r="E11" s="7">
        <v>24.8</v>
      </c>
      <c r="F11" s="7">
        <v>36.299999999999997</v>
      </c>
      <c r="G11" s="6">
        <v>6.47</v>
      </c>
      <c r="H11" s="7">
        <v>96</v>
      </c>
      <c r="I11" s="6">
        <v>8.08</v>
      </c>
      <c r="J11" s="6">
        <f>AVERAGE(15.2,15.2,14.5)</f>
        <v>14.966666666666667</v>
      </c>
      <c r="K11" s="13">
        <v>63.966727254638165</v>
      </c>
      <c r="L11" s="26">
        <v>8.4430259841210376</v>
      </c>
      <c r="M11" s="26">
        <v>5.017427923793246</v>
      </c>
      <c r="N11" s="26">
        <v>76.615185643189704</v>
      </c>
      <c r="O11" s="38">
        <v>0.68997782437023836</v>
      </c>
      <c r="P11" s="13">
        <v>6.8486046105374827</v>
      </c>
      <c r="Q11" s="31">
        <v>1</v>
      </c>
      <c r="R11" s="35" t="s">
        <v>75</v>
      </c>
      <c r="S11" s="11" t="s">
        <v>39</v>
      </c>
    </row>
    <row r="12" spans="1:19" ht="32">
      <c r="A12" s="1" t="s">
        <v>13</v>
      </c>
      <c r="B12" s="3" t="s">
        <v>86</v>
      </c>
      <c r="C12" s="4">
        <v>42677</v>
      </c>
      <c r="D12" s="5">
        <v>0.34722222222222227</v>
      </c>
      <c r="E12" s="7">
        <v>25.4</v>
      </c>
      <c r="F12" s="7">
        <v>34.9</v>
      </c>
      <c r="G12" s="6">
        <v>6.61</v>
      </c>
      <c r="H12" s="7">
        <v>97.7</v>
      </c>
      <c r="I12" s="6">
        <v>8.15</v>
      </c>
      <c r="J12" s="6">
        <f>AVERAGE(12.6,12.7,12.5)</f>
        <v>12.6</v>
      </c>
      <c r="K12" s="13">
        <v>64.273839719777939</v>
      </c>
      <c r="L12" s="26">
        <v>11.713862530968379</v>
      </c>
      <c r="M12" s="26">
        <v>4.5308658675681439</v>
      </c>
      <c r="N12" s="26">
        <v>58.71289516260169</v>
      </c>
      <c r="O12" s="13">
        <v>2.4563406537908254</v>
      </c>
      <c r="P12" s="13">
        <v>3.2090100981302343</v>
      </c>
      <c r="Q12" s="1">
        <v>2</v>
      </c>
      <c r="R12" s="3" t="s">
        <v>74</v>
      </c>
      <c r="S12" s="11" t="s">
        <v>93</v>
      </c>
    </row>
    <row r="13" spans="1:19" ht="32">
      <c r="A13" s="1" t="s">
        <v>13</v>
      </c>
      <c r="B13" s="3" t="s">
        <v>86</v>
      </c>
      <c r="C13" s="4">
        <v>42691</v>
      </c>
      <c r="D13" s="5">
        <v>0.36805555555555558</v>
      </c>
      <c r="E13" s="10">
        <v>24.7</v>
      </c>
      <c r="F13" s="10">
        <v>34.6</v>
      </c>
      <c r="G13" s="26">
        <v>6.58</v>
      </c>
      <c r="H13" s="10">
        <v>96.2</v>
      </c>
      <c r="I13" s="26">
        <v>8.0500000000000007</v>
      </c>
      <c r="J13" s="26">
        <f>AVERAGE(3.02,2.94,2.79)</f>
        <v>2.9166666666666665</v>
      </c>
      <c r="K13" s="26">
        <v>58.013465699896777</v>
      </c>
      <c r="L13" s="26">
        <v>4.0950896603895526</v>
      </c>
      <c r="M13" s="26">
        <v>3.3645817722277056</v>
      </c>
      <c r="N13" s="26">
        <v>110.15321066104264</v>
      </c>
      <c r="O13" s="26">
        <v>5.781400665245485</v>
      </c>
      <c r="P13" s="27">
        <v>1.5</v>
      </c>
      <c r="Q13" s="1">
        <v>2</v>
      </c>
      <c r="R13" s="3" t="s">
        <v>74</v>
      </c>
      <c r="S13" s="11" t="s">
        <v>93</v>
      </c>
    </row>
    <row r="14" spans="1:19" ht="32">
      <c r="A14" s="1" t="s">
        <v>13</v>
      </c>
      <c r="B14" s="3" t="s">
        <v>86</v>
      </c>
      <c r="C14" s="4">
        <v>42705</v>
      </c>
      <c r="D14" s="5">
        <v>0.34722222222222227</v>
      </c>
      <c r="E14" s="10">
        <v>23.3</v>
      </c>
      <c r="F14" s="10">
        <v>34.700000000000003</v>
      </c>
      <c r="G14" s="26">
        <v>6.8</v>
      </c>
      <c r="H14" s="10">
        <v>96.9</v>
      </c>
      <c r="I14" s="26">
        <v>8.1300000000000008</v>
      </c>
      <c r="J14" s="26">
        <f>AVERAGE(7.25,7.69,7.31)</f>
        <v>7.416666666666667</v>
      </c>
      <c r="K14" s="26">
        <v>60.425266828899211</v>
      </c>
      <c r="L14" s="26">
        <v>6.4346439907204793</v>
      </c>
      <c r="M14" s="26">
        <v>2.6704103045093643</v>
      </c>
      <c r="N14" s="26">
        <v>148.15311671275239</v>
      </c>
      <c r="O14" s="26">
        <v>1.676756404576373</v>
      </c>
      <c r="P14" s="26">
        <v>1.5827640801044009</v>
      </c>
      <c r="Q14" s="1">
        <v>2</v>
      </c>
      <c r="R14" s="3" t="s">
        <v>74</v>
      </c>
      <c r="S14" s="11" t="s">
        <v>93</v>
      </c>
    </row>
    <row r="15" spans="1:19" ht="32">
      <c r="A15" s="1" t="s">
        <v>13</v>
      </c>
      <c r="B15" s="3" t="s">
        <v>86</v>
      </c>
      <c r="C15" s="4">
        <v>42719</v>
      </c>
      <c r="D15" s="5">
        <v>0.37847222222222227</v>
      </c>
      <c r="E15" s="10">
        <v>25</v>
      </c>
      <c r="F15" s="10">
        <v>34.799999999999997</v>
      </c>
      <c r="G15" s="26">
        <v>6.65</v>
      </c>
      <c r="H15" s="10">
        <v>98.2</v>
      </c>
      <c r="I15" s="26">
        <v>7.89</v>
      </c>
      <c r="J15" s="26">
        <f>AVERAGE(3.31,3.1,3.03)</f>
        <v>3.1466666666666665</v>
      </c>
      <c r="K15" s="26">
        <v>53.714655426332222</v>
      </c>
      <c r="L15" s="26">
        <v>9.1876869032111728</v>
      </c>
      <c r="M15" s="26">
        <v>2.6309032562697916</v>
      </c>
      <c r="N15" s="26">
        <v>80.263265886984826</v>
      </c>
      <c r="O15" s="26">
        <v>7.3789541046973621</v>
      </c>
      <c r="P15" s="26">
        <v>1.6009406792493643</v>
      </c>
      <c r="Q15" s="1">
        <v>1</v>
      </c>
      <c r="R15" s="3" t="s">
        <v>74</v>
      </c>
      <c r="S15" s="11" t="s">
        <v>93</v>
      </c>
    </row>
    <row r="16" spans="1:19" ht="32">
      <c r="A16" s="1" t="s">
        <v>13</v>
      </c>
      <c r="B16" s="3" t="s">
        <v>86</v>
      </c>
      <c r="C16" s="4">
        <v>42740</v>
      </c>
      <c r="D16" s="5">
        <v>0.31944444444444448</v>
      </c>
      <c r="E16" s="10">
        <v>22.9</v>
      </c>
      <c r="F16" s="10">
        <v>35.4</v>
      </c>
      <c r="G16" s="26">
        <v>6.96</v>
      </c>
      <c r="H16" s="10">
        <v>98.9</v>
      </c>
      <c r="I16" s="34">
        <v>8.06</v>
      </c>
      <c r="J16" s="26">
        <f>AVERAGE(12,12.3,12.4)</f>
        <v>12.233333333333334</v>
      </c>
      <c r="K16" s="26">
        <v>75.234086786040308</v>
      </c>
      <c r="L16" s="26">
        <v>12.423035966212344</v>
      </c>
      <c r="M16" s="26">
        <v>5.2752192831234979</v>
      </c>
      <c r="N16" s="26">
        <v>88.843660495053243</v>
      </c>
      <c r="O16" s="26">
        <v>7.8663433538206027</v>
      </c>
      <c r="P16" s="27">
        <v>1.5</v>
      </c>
      <c r="Q16" s="1">
        <v>2</v>
      </c>
      <c r="R16" s="3" t="s">
        <v>74</v>
      </c>
      <c r="S16" s="11" t="s">
        <v>93</v>
      </c>
    </row>
    <row r="17" spans="1:19" ht="32">
      <c r="A17" s="1" t="s">
        <v>13</v>
      </c>
      <c r="B17" s="3" t="s">
        <v>86</v>
      </c>
      <c r="C17" s="4">
        <v>42761</v>
      </c>
      <c r="D17" s="5">
        <v>0.3576388888888889</v>
      </c>
      <c r="E17" s="10">
        <v>23.5</v>
      </c>
      <c r="F17" s="10">
        <v>35.299999999999997</v>
      </c>
      <c r="G17" s="26">
        <v>6.85</v>
      </c>
      <c r="H17" s="10">
        <v>98</v>
      </c>
      <c r="I17" s="34">
        <v>8.06</v>
      </c>
      <c r="J17" s="26">
        <f>AVERAGE(6.29,7.23,6.33)</f>
        <v>6.6166666666666671</v>
      </c>
      <c r="K17" s="26">
        <v>79.413516716065516</v>
      </c>
      <c r="L17" s="26">
        <v>15.488563165062624</v>
      </c>
      <c r="M17" s="26">
        <v>6.8274845233524095</v>
      </c>
      <c r="N17" s="26">
        <v>110.38782856948285</v>
      </c>
      <c r="O17" s="26">
        <v>8.4730318023071192</v>
      </c>
      <c r="P17" s="26">
        <v>5.3192114299353959</v>
      </c>
      <c r="Q17" s="1">
        <v>1</v>
      </c>
      <c r="R17" s="3" t="s">
        <v>74</v>
      </c>
      <c r="S17" s="11" t="s">
        <v>93</v>
      </c>
    </row>
    <row r="18" spans="1:19" ht="32">
      <c r="A18" s="1" t="s">
        <v>13</v>
      </c>
      <c r="B18" s="3" t="s">
        <v>86</v>
      </c>
      <c r="C18" s="4">
        <v>42783</v>
      </c>
      <c r="D18" s="5">
        <v>0.35069444444444442</v>
      </c>
      <c r="E18" s="10">
        <v>25.3</v>
      </c>
      <c r="F18" s="10">
        <v>35.200000000000003</v>
      </c>
      <c r="G18" s="26">
        <v>6.46</v>
      </c>
      <c r="H18" s="10">
        <v>95.3</v>
      </c>
      <c r="I18" s="26">
        <v>8.11</v>
      </c>
      <c r="J18" s="26">
        <f>AVERAGE(2.78,2.76,2.76)</f>
        <v>2.7666666666666662</v>
      </c>
      <c r="K18" s="26">
        <v>95.543418040350218</v>
      </c>
      <c r="L18" s="26">
        <v>9.6681964455136917</v>
      </c>
      <c r="M18" s="26">
        <v>5.1592312890677965</v>
      </c>
      <c r="N18" s="26">
        <v>65.932324379365426</v>
      </c>
      <c r="O18" s="26">
        <v>4.2976640385225906</v>
      </c>
      <c r="P18" s="26">
        <v>8.7278160613669709</v>
      </c>
      <c r="Q18" s="1">
        <v>2</v>
      </c>
      <c r="R18" s="3" t="s">
        <v>31</v>
      </c>
      <c r="S18" s="11" t="s">
        <v>93</v>
      </c>
    </row>
    <row r="19" spans="1:19" ht="32">
      <c r="A19" s="1" t="s">
        <v>13</v>
      </c>
      <c r="B19" s="3" t="s">
        <v>86</v>
      </c>
      <c r="C19" s="4">
        <v>42803</v>
      </c>
      <c r="D19" s="5">
        <v>0.34375</v>
      </c>
      <c r="E19" s="7">
        <v>24.7</v>
      </c>
      <c r="F19" s="7">
        <v>34.5</v>
      </c>
      <c r="G19" s="6">
        <v>6.76</v>
      </c>
      <c r="H19" s="7">
        <v>98.6</v>
      </c>
      <c r="I19" s="6">
        <v>8.11</v>
      </c>
      <c r="J19" s="6">
        <f>AVERAGE(15.5,15.3,15.5)</f>
        <v>15.433333333333332</v>
      </c>
      <c r="K19" s="13">
        <v>75.565021186935496</v>
      </c>
      <c r="L19" s="26">
        <v>10.197623946631092</v>
      </c>
      <c r="M19" s="26">
        <v>5.8653280668644072</v>
      </c>
      <c r="N19" s="26">
        <v>99.456569855036818</v>
      </c>
      <c r="O19" s="13">
        <v>11.689794422690229</v>
      </c>
      <c r="P19" s="13">
        <v>5.9203064388573319</v>
      </c>
      <c r="Q19" s="1">
        <v>1</v>
      </c>
      <c r="R19" s="3" t="s">
        <v>73</v>
      </c>
      <c r="S19" s="11" t="s">
        <v>93</v>
      </c>
    </row>
    <row r="20" spans="1:19" ht="32">
      <c r="A20" s="1" t="s">
        <v>13</v>
      </c>
      <c r="B20" s="3" t="s">
        <v>86</v>
      </c>
      <c r="C20" s="4">
        <v>42824</v>
      </c>
      <c r="D20" s="5">
        <v>0.35416666666666669</v>
      </c>
      <c r="E20" s="10">
        <v>25.7</v>
      </c>
      <c r="F20" s="10">
        <v>34.299999999999997</v>
      </c>
      <c r="G20" s="26">
        <v>6.73</v>
      </c>
      <c r="H20" s="10">
        <v>99.6</v>
      </c>
      <c r="I20" s="26">
        <v>8.11</v>
      </c>
      <c r="J20" s="26">
        <f>AVERAGE(7.64,8.12,7.79)</f>
        <v>7.8499999999999988</v>
      </c>
      <c r="K20" s="26">
        <v>69.217275442655719</v>
      </c>
      <c r="L20" s="26">
        <v>9.6058829108196164</v>
      </c>
      <c r="M20" s="26">
        <v>5.7678581205657542</v>
      </c>
      <c r="N20" s="26">
        <v>59.395325375033686</v>
      </c>
      <c r="O20" s="26">
        <v>3.1962669890032136</v>
      </c>
      <c r="P20" s="26">
        <v>8.8936992005206772</v>
      </c>
      <c r="Q20" s="1">
        <v>1</v>
      </c>
      <c r="R20" s="3" t="s">
        <v>73</v>
      </c>
      <c r="S20" s="11" t="s">
        <v>93</v>
      </c>
    </row>
    <row r="21" spans="1:19" ht="32">
      <c r="A21" s="1" t="s">
        <v>13</v>
      </c>
      <c r="B21" s="3" t="s">
        <v>86</v>
      </c>
      <c r="C21" s="4">
        <v>42845</v>
      </c>
      <c r="D21" s="5">
        <v>0.33680555555555558</v>
      </c>
      <c r="E21" s="37">
        <v>25.9</v>
      </c>
      <c r="F21" s="37">
        <v>34.299999999999997</v>
      </c>
      <c r="G21" s="26">
        <v>6.54</v>
      </c>
      <c r="H21" s="37">
        <v>97.3</v>
      </c>
      <c r="I21" s="26">
        <v>8.1</v>
      </c>
      <c r="J21" s="26">
        <f>AVERAGE(6.81,7.06,7.13)</f>
        <v>7</v>
      </c>
      <c r="K21" s="26">
        <v>83.283902083519408</v>
      </c>
      <c r="L21" s="26">
        <v>10.302289646825473</v>
      </c>
      <c r="M21" s="26">
        <v>5.4421506461160885</v>
      </c>
      <c r="N21" s="26">
        <v>72.890853585950211</v>
      </c>
      <c r="O21" s="26">
        <v>3.0933628351227132</v>
      </c>
      <c r="P21" s="26">
        <v>2.7462304620703195</v>
      </c>
      <c r="Q21" s="1">
        <v>1</v>
      </c>
      <c r="R21" s="3" t="s">
        <v>73</v>
      </c>
      <c r="S21" s="11" t="s">
        <v>93</v>
      </c>
    </row>
    <row r="22" spans="1:19" ht="32">
      <c r="A22" s="1" t="s">
        <v>13</v>
      </c>
      <c r="B22" s="3" t="s">
        <v>86</v>
      </c>
      <c r="C22" s="4">
        <v>42866</v>
      </c>
      <c r="D22" s="5">
        <v>0.35000000000000003</v>
      </c>
      <c r="E22" s="10">
        <v>25.2</v>
      </c>
      <c r="F22" s="10">
        <v>34.6</v>
      </c>
      <c r="G22" s="26">
        <v>6.88</v>
      </c>
      <c r="H22" s="10">
        <v>101.5</v>
      </c>
      <c r="I22" s="26">
        <v>8.16</v>
      </c>
      <c r="J22" s="26">
        <f>AVERAGE(5.28,5.32,5.47)</f>
        <v>5.3566666666666665</v>
      </c>
      <c r="K22" s="26">
        <v>67.653385242200528</v>
      </c>
      <c r="L22" s="26">
        <v>11.573454697900925</v>
      </c>
      <c r="M22" s="26">
        <v>4.9829440175700785</v>
      </c>
      <c r="N22" s="26">
        <v>102.26157384409282</v>
      </c>
      <c r="O22" s="26">
        <v>6.2292905401265664</v>
      </c>
      <c r="P22" s="26">
        <v>1.9960930806078139</v>
      </c>
      <c r="Q22" s="1">
        <v>1</v>
      </c>
      <c r="R22" s="3" t="s">
        <v>27</v>
      </c>
      <c r="S22" s="11" t="s">
        <v>93</v>
      </c>
    </row>
    <row r="23" spans="1:19" ht="32">
      <c r="A23" s="1" t="s">
        <v>13</v>
      </c>
      <c r="B23" s="3" t="s">
        <v>86</v>
      </c>
      <c r="C23" s="4">
        <v>42887</v>
      </c>
      <c r="D23" s="5">
        <v>0.35416666666666669</v>
      </c>
      <c r="E23" s="10">
        <v>25.8</v>
      </c>
      <c r="F23" s="10">
        <v>34.9</v>
      </c>
      <c r="G23" s="26">
        <v>6.84</v>
      </c>
      <c r="H23" s="10">
        <v>101.8</v>
      </c>
      <c r="I23" s="26">
        <v>8.09</v>
      </c>
      <c r="J23" s="26">
        <f>AVERAGE(6.75,7.11,7.56)</f>
        <v>7.14</v>
      </c>
      <c r="K23" s="26">
        <v>63.063096900217602</v>
      </c>
      <c r="L23" s="26">
        <v>7.8000086945523721</v>
      </c>
      <c r="M23" s="26">
        <v>3.5573695391325635</v>
      </c>
      <c r="N23" s="26">
        <v>83.749078567954115</v>
      </c>
      <c r="O23" s="26">
        <v>1.840240943156894</v>
      </c>
      <c r="P23" s="26">
        <v>1.2636528146903467</v>
      </c>
      <c r="Q23" s="1">
        <v>1</v>
      </c>
      <c r="R23" s="3" t="s">
        <v>21</v>
      </c>
      <c r="S23" s="11" t="s">
        <v>93</v>
      </c>
    </row>
    <row r="24" spans="1:19" ht="32">
      <c r="A24" s="1" t="s">
        <v>13</v>
      </c>
      <c r="B24" s="3" t="s">
        <v>86</v>
      </c>
      <c r="C24" s="4">
        <v>42908</v>
      </c>
      <c r="D24" s="5">
        <v>0.35416666666666669</v>
      </c>
      <c r="E24" s="7">
        <v>26.4</v>
      </c>
      <c r="F24" s="7">
        <v>34.6</v>
      </c>
      <c r="G24" s="6">
        <v>6.54</v>
      </c>
      <c r="H24" s="7">
        <v>98.7</v>
      </c>
      <c r="I24" s="6">
        <v>8.1199999999999992</v>
      </c>
      <c r="J24" s="6">
        <f>AVERAGE(4.13,4.2,4.06)</f>
        <v>4.13</v>
      </c>
      <c r="K24" s="26">
        <v>77.407815298362621</v>
      </c>
      <c r="L24" s="26">
        <v>7.9378143260705016</v>
      </c>
      <c r="M24" s="26">
        <v>5.3948996501720901</v>
      </c>
      <c r="N24" s="26">
        <v>89.058065423380583</v>
      </c>
      <c r="O24" s="26">
        <v>4.3539021591738818</v>
      </c>
      <c r="P24" s="26">
        <v>1.1093706319205949</v>
      </c>
      <c r="Q24" s="1">
        <v>1</v>
      </c>
      <c r="R24" s="3" t="s">
        <v>40</v>
      </c>
      <c r="S24" s="11" t="s">
        <v>93</v>
      </c>
    </row>
    <row r="25" spans="1:19" ht="32">
      <c r="A25" s="1" t="s">
        <v>13</v>
      </c>
      <c r="B25" s="3" t="s">
        <v>86</v>
      </c>
      <c r="C25" s="4">
        <v>42929</v>
      </c>
      <c r="D25" s="5">
        <v>0.3430555555555555</v>
      </c>
      <c r="E25" s="37">
        <v>27.1</v>
      </c>
      <c r="F25" s="37">
        <v>34.4</v>
      </c>
      <c r="G25" s="26">
        <v>6.19</v>
      </c>
      <c r="H25" s="37">
        <v>94.3</v>
      </c>
      <c r="I25" s="26">
        <v>8.09</v>
      </c>
      <c r="J25" s="26">
        <f>AVERAGE(2.37,2.32,2.45)</f>
        <v>2.38</v>
      </c>
      <c r="K25" s="26">
        <v>71.013921382361474</v>
      </c>
      <c r="L25" s="26">
        <v>8.8369725897657734</v>
      </c>
      <c r="M25" s="26">
        <v>3.8663959605324996</v>
      </c>
      <c r="N25" s="26">
        <v>52.075234814757451</v>
      </c>
      <c r="O25" s="26">
        <v>7.0871653879158076</v>
      </c>
      <c r="P25" s="26">
        <v>1.2538728653498061</v>
      </c>
      <c r="Q25" s="1">
        <v>1</v>
      </c>
      <c r="R25" s="3" t="s">
        <v>34</v>
      </c>
      <c r="S25" s="11" t="s">
        <v>93</v>
      </c>
    </row>
    <row r="26" spans="1:19" ht="32">
      <c r="A26" s="1" t="s">
        <v>13</v>
      </c>
      <c r="B26" s="3" t="s">
        <v>86</v>
      </c>
      <c r="C26" s="4">
        <v>42950</v>
      </c>
      <c r="D26" s="5">
        <v>0.34583333333333338</v>
      </c>
      <c r="E26" s="37">
        <v>28.1</v>
      </c>
      <c r="F26" s="37">
        <v>34.5</v>
      </c>
      <c r="G26" s="26">
        <v>6.4</v>
      </c>
      <c r="H26" s="37">
        <v>99.1</v>
      </c>
      <c r="I26" s="26">
        <v>8.09</v>
      </c>
      <c r="J26" s="26">
        <f>AVERAGE(7.21,6.75,6.96)</f>
        <v>6.9733333333333336</v>
      </c>
      <c r="K26" s="26">
        <v>74.012281161887643</v>
      </c>
      <c r="L26" s="26">
        <v>11.179582218585475</v>
      </c>
      <c r="M26" s="26">
        <v>5.1944957312515552</v>
      </c>
      <c r="N26" s="26">
        <v>65.69921105052272</v>
      </c>
      <c r="O26" s="26">
        <v>4.7724636221363888</v>
      </c>
      <c r="P26" s="26">
        <v>1.2281604530027839</v>
      </c>
      <c r="Q26" s="1">
        <v>2</v>
      </c>
      <c r="R26" s="3" t="s">
        <v>101</v>
      </c>
      <c r="S26" s="11" t="s">
        <v>93</v>
      </c>
    </row>
    <row r="27" spans="1:19" ht="32">
      <c r="A27" s="1" t="s">
        <v>13</v>
      </c>
      <c r="B27" s="3" t="s">
        <v>86</v>
      </c>
      <c r="C27" s="4">
        <v>42971</v>
      </c>
      <c r="D27" s="5">
        <v>0.35625000000000001</v>
      </c>
      <c r="E27" s="7">
        <v>25.2</v>
      </c>
      <c r="F27" s="7">
        <v>35.299999999999997</v>
      </c>
      <c r="G27" s="6">
        <v>6.33</v>
      </c>
      <c r="H27" s="7">
        <v>93.9</v>
      </c>
      <c r="I27" s="6">
        <v>8.11</v>
      </c>
      <c r="J27" s="6">
        <f>AVERAGE(7.07,7.04,7.26)</f>
        <v>7.1233333333333322</v>
      </c>
      <c r="K27" s="26">
        <v>82.773169561080863</v>
      </c>
      <c r="L27" s="26">
        <v>8.1913054246598609</v>
      </c>
      <c r="M27" s="26">
        <v>4.4865746963357278</v>
      </c>
      <c r="N27" s="26">
        <v>33.9857855233412</v>
      </c>
      <c r="O27" s="26">
        <v>2.2562221130793816</v>
      </c>
      <c r="P27" s="26">
        <v>1.9761365943858735</v>
      </c>
      <c r="Q27" s="1">
        <v>1</v>
      </c>
      <c r="R27" s="3" t="s">
        <v>81</v>
      </c>
      <c r="S27" s="11" t="s">
        <v>93</v>
      </c>
    </row>
    <row r="28" spans="1:19" ht="32">
      <c r="A28" s="1" t="s">
        <v>13</v>
      </c>
      <c r="B28" s="3" t="s">
        <v>86</v>
      </c>
      <c r="C28" s="4">
        <v>42992</v>
      </c>
      <c r="D28" s="44">
        <v>0.33819444444444446</v>
      </c>
      <c r="E28" s="7">
        <v>28.3</v>
      </c>
      <c r="F28" s="7">
        <v>34.9</v>
      </c>
      <c r="G28" s="6">
        <v>6.35</v>
      </c>
      <c r="H28" s="7">
        <v>98.9</v>
      </c>
      <c r="I28" s="6">
        <v>8.08</v>
      </c>
      <c r="J28" s="6">
        <f>AVERAGE(8.11,8.57,8.5)</f>
        <v>8.3933333333333326</v>
      </c>
      <c r="K28" s="26">
        <v>43.729103952861706</v>
      </c>
      <c r="L28" s="26">
        <v>12.890165449810418</v>
      </c>
      <c r="M28" s="26">
        <v>4.4459945454545453</v>
      </c>
      <c r="N28" s="26">
        <v>131.29418768949179</v>
      </c>
      <c r="O28" s="26">
        <v>1.9066581642129248</v>
      </c>
      <c r="P28" s="26">
        <v>3.2913785712462023</v>
      </c>
      <c r="Q28" s="1">
        <v>1</v>
      </c>
      <c r="R28" s="3" t="s">
        <v>53</v>
      </c>
      <c r="S28" s="11" t="s">
        <v>93</v>
      </c>
    </row>
    <row r="29" spans="1:19" ht="32">
      <c r="A29" s="1" t="s">
        <v>13</v>
      </c>
      <c r="B29" s="3" t="s">
        <v>86</v>
      </c>
      <c r="C29" s="4">
        <v>43013</v>
      </c>
      <c r="D29" s="44">
        <v>0.34236111111111112</v>
      </c>
      <c r="E29" s="37">
        <v>25.7</v>
      </c>
      <c r="F29" s="37">
        <v>34.6</v>
      </c>
      <c r="G29" s="26">
        <v>6.61</v>
      </c>
      <c r="H29" s="37">
        <v>98.4</v>
      </c>
      <c r="I29" s="26">
        <v>8.1199999999999992</v>
      </c>
      <c r="J29" s="26">
        <f>AVERAGE(10.5,10.6,10.1)</f>
        <v>10.4</v>
      </c>
      <c r="K29" s="26">
        <v>67.17928091295758</v>
      </c>
      <c r="L29" s="26">
        <v>12.939900417304568</v>
      </c>
      <c r="M29" s="26">
        <v>5.5710172116241905</v>
      </c>
      <c r="N29" s="26">
        <v>146.18248713220967</v>
      </c>
      <c r="O29" s="26">
        <v>5.9348577431497844</v>
      </c>
      <c r="P29" s="26">
        <v>2.4513806850725164</v>
      </c>
      <c r="Q29" s="1">
        <v>1</v>
      </c>
      <c r="R29" s="3" t="s">
        <v>98</v>
      </c>
      <c r="S29" s="11" t="s">
        <v>93</v>
      </c>
    </row>
    <row r="30" spans="1:19" ht="32">
      <c r="A30" s="1" t="s">
        <v>13</v>
      </c>
      <c r="B30" s="3" t="s">
        <v>86</v>
      </c>
      <c r="C30" s="4">
        <v>43034</v>
      </c>
      <c r="D30" s="44">
        <v>0.3430555555555555</v>
      </c>
      <c r="E30" s="37">
        <v>26.8</v>
      </c>
      <c r="F30" s="37">
        <v>34.799999999999997</v>
      </c>
      <c r="G30" s="26">
        <v>6.37</v>
      </c>
      <c r="H30" s="37">
        <v>96.9</v>
      </c>
      <c r="I30" s="26">
        <v>8.06</v>
      </c>
      <c r="J30" s="26">
        <f>AVERAGE(10.5,9.99,10.8)</f>
        <v>10.430000000000001</v>
      </c>
      <c r="K30" s="26">
        <v>57.116219998572021</v>
      </c>
      <c r="L30" s="26">
        <v>10.708530120054217</v>
      </c>
      <c r="M30" s="26">
        <v>5.4794201188195721</v>
      </c>
      <c r="N30" s="26">
        <v>92.688370079885843</v>
      </c>
      <c r="O30" s="26">
        <v>2.7283178674603867</v>
      </c>
      <c r="P30" s="26">
        <v>4.3392655617282214</v>
      </c>
      <c r="Q30" s="1">
        <v>3</v>
      </c>
      <c r="R30" s="3" t="s">
        <v>49</v>
      </c>
      <c r="S30" s="11" t="s">
        <v>48</v>
      </c>
    </row>
    <row r="31" spans="1:19" ht="32">
      <c r="A31" s="1" t="s">
        <v>13</v>
      </c>
      <c r="B31" s="3" t="s">
        <v>86</v>
      </c>
      <c r="C31" s="4">
        <v>43055</v>
      </c>
      <c r="D31" s="44">
        <v>0.34027777777777773</v>
      </c>
      <c r="E31" s="37">
        <v>23.5</v>
      </c>
      <c r="F31" s="37">
        <v>35</v>
      </c>
      <c r="G31" s="26">
        <v>6.73</v>
      </c>
      <c r="H31" s="37">
        <v>96.9</v>
      </c>
      <c r="I31" s="26">
        <v>8.15</v>
      </c>
      <c r="J31" s="26">
        <f>AVERAGE(5.61,5.61,5.71)</f>
        <v>5.6433333333333335</v>
      </c>
      <c r="K31" s="26">
        <v>64.829607755828079</v>
      </c>
      <c r="L31" s="26">
        <v>8.7322088186631426</v>
      </c>
      <c r="M31" s="26">
        <v>3.3327508921926636</v>
      </c>
      <c r="N31" s="26">
        <v>167.70880498900695</v>
      </c>
      <c r="O31" s="26">
        <v>1.5155225967403672</v>
      </c>
      <c r="P31" s="26">
        <v>5.5414784859009698</v>
      </c>
      <c r="Q31" s="1">
        <v>1</v>
      </c>
      <c r="R31" s="3" t="s">
        <v>66</v>
      </c>
      <c r="S31" s="11" t="s">
        <v>48</v>
      </c>
    </row>
    <row r="32" spans="1:19" ht="32">
      <c r="A32" s="1" t="s">
        <v>13</v>
      </c>
      <c r="B32" s="3" t="s">
        <v>86</v>
      </c>
      <c r="C32" s="4">
        <v>43076</v>
      </c>
      <c r="D32" s="44">
        <v>0.33611111111111108</v>
      </c>
      <c r="E32" s="37">
        <v>24.6</v>
      </c>
      <c r="F32" s="37">
        <v>34.9</v>
      </c>
      <c r="G32" s="26">
        <v>6.55</v>
      </c>
      <c r="H32" s="37">
        <v>95.5</v>
      </c>
      <c r="I32" s="26">
        <v>8.14</v>
      </c>
      <c r="J32" s="26">
        <f>AVERAGE(5.75,5.63,5.97)</f>
        <v>5.7833333333333323</v>
      </c>
      <c r="K32" s="26"/>
      <c r="O32" s="26"/>
      <c r="P32" s="26"/>
      <c r="Q32" s="1">
        <v>3</v>
      </c>
      <c r="R32" s="3" t="s">
        <v>89</v>
      </c>
      <c r="S32" s="11" t="s">
        <v>90</v>
      </c>
    </row>
    <row r="33" spans="1:19" ht="32">
      <c r="A33" s="1" t="s">
        <v>13</v>
      </c>
      <c r="B33" s="3" t="s">
        <v>86</v>
      </c>
      <c r="C33" s="4">
        <v>43090</v>
      </c>
      <c r="D33" s="44">
        <v>0.39166666666666666</v>
      </c>
      <c r="E33" s="37">
        <v>24.2</v>
      </c>
      <c r="F33" s="37">
        <v>34.6</v>
      </c>
      <c r="G33" s="26">
        <v>6.63</v>
      </c>
      <c r="H33" s="37">
        <v>96.5</v>
      </c>
      <c r="I33" s="26">
        <v>8.11</v>
      </c>
      <c r="J33" s="26">
        <f>AVERAGE(3.66,3.56,3.52)</f>
        <v>3.58</v>
      </c>
      <c r="K33" s="26"/>
      <c r="O33" s="26"/>
      <c r="P33" s="26"/>
      <c r="Q33" s="1">
        <v>1</v>
      </c>
      <c r="R33" s="3" t="s">
        <v>41</v>
      </c>
      <c r="S33" s="11" t="s">
        <v>90</v>
      </c>
    </row>
    <row r="34" spans="1:19" ht="32">
      <c r="A34" s="1" t="s">
        <v>13</v>
      </c>
      <c r="B34" s="3" t="s">
        <v>86</v>
      </c>
      <c r="C34" s="4">
        <v>43111</v>
      </c>
      <c r="D34" s="44">
        <v>0.33333333333333331</v>
      </c>
      <c r="E34" s="37">
        <v>24.2</v>
      </c>
      <c r="F34" s="37">
        <v>34.6</v>
      </c>
      <c r="G34" s="26">
        <v>6.65</v>
      </c>
      <c r="H34" s="37">
        <v>96</v>
      </c>
      <c r="I34" s="26">
        <v>8.14</v>
      </c>
      <c r="J34" s="26">
        <f>AVERAGE(2.09,2.16,2.1)</f>
        <v>2.1166666666666667</v>
      </c>
      <c r="K34" s="26"/>
      <c r="O34" s="26"/>
      <c r="P34" s="26"/>
      <c r="Q34" s="1">
        <v>3</v>
      </c>
      <c r="R34" s="3" t="s">
        <v>103</v>
      </c>
      <c r="S34" s="11" t="s">
        <v>90</v>
      </c>
    </row>
    <row r="35" spans="1:19">
      <c r="E35" s="37"/>
      <c r="F35" s="37"/>
      <c r="G35" s="26"/>
      <c r="H35" s="37"/>
      <c r="I35" s="26"/>
      <c r="J35" s="26"/>
      <c r="K35" s="26"/>
      <c r="O35" s="26"/>
      <c r="P35" s="26"/>
      <c r="Q35" s="1"/>
      <c r="R35" s="3"/>
    </row>
    <row r="36" spans="1:19">
      <c r="E36" s="37"/>
      <c r="F36" s="37"/>
      <c r="G36" s="26"/>
      <c r="H36" s="37"/>
      <c r="I36" s="26"/>
      <c r="J36" s="26"/>
      <c r="K36" s="26"/>
      <c r="O36" s="26"/>
      <c r="P36" s="26"/>
      <c r="Q36" s="33"/>
    </row>
    <row r="37" spans="1:19">
      <c r="E37" s="37"/>
      <c r="F37" s="37"/>
      <c r="G37" s="26"/>
      <c r="H37" s="37"/>
      <c r="I37" s="26"/>
      <c r="J37" s="26"/>
      <c r="K37" s="26"/>
      <c r="O37" s="26"/>
      <c r="P37" s="26"/>
      <c r="Q37" s="33"/>
    </row>
    <row r="41" spans="1:19">
      <c r="I41" s="26">
        <f t="shared" ref="I41:P41" si="0">GEOMEAN(I2:I38)</f>
        <v>8.0876498415020048</v>
      </c>
      <c r="J41" s="21">
        <f>GEOMEAN(J2:J38)</f>
        <v>7.1058569269637522</v>
      </c>
      <c r="K41" s="16">
        <f t="shared" si="0"/>
        <v>67.800245622201558</v>
      </c>
      <c r="L41" s="26">
        <f t="shared" ref="L41:M41" si="1">GEOMEAN(L2:L38)</f>
        <v>10.446484349003066</v>
      </c>
      <c r="M41" s="26">
        <f t="shared" si="1"/>
        <v>4.566255320244764</v>
      </c>
      <c r="N41" s="26">
        <f>GEOMEAN(N2:N38)</f>
        <v>85.151064288714522</v>
      </c>
      <c r="O41" s="19">
        <f t="shared" si="0"/>
        <v>3.0297494389546631</v>
      </c>
      <c r="P41" s="18">
        <f t="shared" si="0"/>
        <v>2.8280274559579919</v>
      </c>
      <c r="S41" s="11" t="s">
        <v>95</v>
      </c>
    </row>
    <row r="42" spans="1:19">
      <c r="D42" s="42">
        <f>AVERAGE(D2:D38)</f>
        <v>0.35273569023569029</v>
      </c>
      <c r="E42" s="26">
        <f>AVERAGE(E2:E38)</f>
        <v>25.721875000000001</v>
      </c>
      <c r="F42" s="26">
        <f t="shared" ref="F42:H42" si="2">AVERAGE(F2:F38)</f>
        <v>34.693749999999987</v>
      </c>
      <c r="G42" s="26">
        <f t="shared" si="2"/>
        <v>6.6109375000000004</v>
      </c>
      <c r="H42" s="26">
        <f t="shared" si="2"/>
        <v>98.534375000000011</v>
      </c>
      <c r="I42" s="16">
        <f>AVERAGE(I2:I38)</f>
        <v>8.0878125000000001</v>
      </c>
      <c r="J42" s="16">
        <f>AVERAGE(J2:J38)</f>
        <v>8.2889583333333334</v>
      </c>
      <c r="K42" s="16">
        <f t="shared" ref="K42:P42" si="3">AVERAGE(K2:K38)</f>
        <v>68.613814504921621</v>
      </c>
      <c r="L42" s="26">
        <f t="shared" ref="L42:M42" si="4">AVERAGE(L2:L38)</f>
        <v>10.832056150843432</v>
      </c>
      <c r="M42" s="26">
        <f t="shared" si="4"/>
        <v>4.6825166121986772</v>
      </c>
      <c r="N42" s="26">
        <f>AVERAGE(N2:N38)</f>
        <v>90.082958648096607</v>
      </c>
      <c r="O42" s="16">
        <f t="shared" si="3"/>
        <v>4.0101328966452421</v>
      </c>
      <c r="P42" s="16">
        <f t="shared" si="3"/>
        <v>3.637104413462164</v>
      </c>
      <c r="S42" s="11" t="s">
        <v>96</v>
      </c>
    </row>
    <row r="43" spans="1:19">
      <c r="E43" s="26">
        <f>STDEV(E2:E38)</f>
        <v>1.5021993285115967</v>
      </c>
      <c r="F43" s="26">
        <f t="shared" ref="F43:H43" si="5">STDEV(F2:F38)</f>
        <v>1.6955230423376026</v>
      </c>
      <c r="G43" s="26">
        <f t="shared" si="5"/>
        <v>0.20336459194770087</v>
      </c>
      <c r="H43" s="26">
        <f t="shared" si="5"/>
        <v>2.7430392109661672</v>
      </c>
      <c r="I43" s="16">
        <f>STDEV(I2:I38)</f>
        <v>5.1913971952266935E-2</v>
      </c>
      <c r="J43" s="16">
        <f>STDEV(J2:J38)</f>
        <v>4.3416477255897092</v>
      </c>
      <c r="K43" s="16">
        <f t="shared" ref="K43:P43" si="6">STDEV(K2:K38)</f>
        <v>10.630068055689025</v>
      </c>
      <c r="L43" s="26">
        <f t="shared" ref="L43:M43" si="7">STDEV(L2:L38)</f>
        <v>2.7666122601576979</v>
      </c>
      <c r="M43" s="26">
        <f t="shared" si="7"/>
        <v>1.0210791793667207</v>
      </c>
      <c r="N43" s="26">
        <f>STDEV(N2:N38)</f>
        <v>30.81322770808611</v>
      </c>
      <c r="O43" s="16">
        <f t="shared" si="6"/>
        <v>2.6757485041629936</v>
      </c>
      <c r="P43" s="16">
        <f t="shared" si="6"/>
        <v>2.8246470550407703</v>
      </c>
      <c r="S43" s="11" t="s">
        <v>97</v>
      </c>
    </row>
    <row r="44" spans="1:19">
      <c r="J44" s="16"/>
      <c r="K44" s="16"/>
      <c r="O44" s="16"/>
      <c r="P44" s="16"/>
    </row>
    <row r="45" spans="1:19">
      <c r="J45" s="16">
        <f>J41/0.2</f>
        <v>35.529284634818758</v>
      </c>
      <c r="K45" s="16">
        <f>K41/110</f>
        <v>0.6163658692927414</v>
      </c>
      <c r="L45" s="26">
        <f>L41/16</f>
        <v>0.65290527181269165</v>
      </c>
      <c r="M45" s="26">
        <f>M41/6</f>
        <v>0.7610425533741273</v>
      </c>
      <c r="N45" s="26">
        <f>N41</f>
        <v>85.151064288714522</v>
      </c>
      <c r="O45" s="16">
        <f>O41/3.5</f>
        <v>0.86564269684418949</v>
      </c>
      <c r="P45" s="16">
        <f>P41/2</f>
        <v>1.4140137279789959</v>
      </c>
      <c r="S45" s="11" t="s">
        <v>100</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5"/>
  <sheetViews>
    <sheetView workbookViewId="0">
      <pane xSplit="3" ySplit="1" topLeftCell="K22" activePane="bottomRight" state="frozen"/>
      <selection pane="topRight" activeCell="D1" sqref="D1"/>
      <selection pane="bottomLeft" activeCell="A2" sqref="A2"/>
      <selection pane="bottomRight" activeCell="A26" sqref="A26:XFD26"/>
    </sheetView>
  </sheetViews>
  <sheetFormatPr baseColWidth="10" defaultRowHeight="16"/>
  <cols>
    <col min="1" max="1" width="19" style="1" customWidth="1"/>
    <col min="2" max="2" width="10.7109375" style="3"/>
    <col min="3" max="4" width="10.7109375" style="1"/>
    <col min="5" max="5" width="13.140625" style="10" customWidth="1"/>
    <col min="6" max="6" width="10.7109375" style="10"/>
    <col min="7" max="7" width="10.7109375" style="8"/>
    <col min="8" max="8" width="10.7109375" style="10"/>
    <col min="9" max="10" width="10.7109375" style="8"/>
    <col min="11" max="11" width="10.7109375" style="14"/>
    <col min="12" max="12" width="10.7109375" style="26"/>
    <col min="13" max="13" width="12.140625" style="26" customWidth="1"/>
    <col min="14" max="14" width="10.7109375" style="26"/>
    <col min="15" max="16" width="10.7109375" style="14"/>
    <col min="17" max="17" width="12" style="30" customWidth="1"/>
    <col min="18" max="18" width="12.28515625" style="35" customWidth="1"/>
    <col min="19" max="19" width="51.42578125" style="11" customWidth="1"/>
    <col min="20" max="16384" width="10.7109375" style="1"/>
  </cols>
  <sheetData>
    <row r="1" spans="1:19" s="2" customFormat="1" ht="32">
      <c r="A1" s="2" t="s">
        <v>24</v>
      </c>
      <c r="B1" s="2" t="s">
        <v>26</v>
      </c>
      <c r="C1" s="2" t="s">
        <v>45</v>
      </c>
      <c r="D1" s="2" t="s">
        <v>46</v>
      </c>
      <c r="E1" s="9" t="s">
        <v>47</v>
      </c>
      <c r="F1" s="9" t="s">
        <v>50</v>
      </c>
      <c r="G1" s="15" t="s">
        <v>51</v>
      </c>
      <c r="H1" s="9" t="s">
        <v>52</v>
      </c>
      <c r="I1" s="15" t="s">
        <v>55</v>
      </c>
      <c r="J1" s="15" t="s">
        <v>56</v>
      </c>
      <c r="K1" s="2" t="s">
        <v>57</v>
      </c>
      <c r="L1" s="2" t="s">
        <v>60</v>
      </c>
      <c r="M1" s="2" t="s">
        <v>61</v>
      </c>
      <c r="N1" s="2" t="s">
        <v>62</v>
      </c>
      <c r="O1" s="2" t="s">
        <v>58</v>
      </c>
      <c r="P1" s="2" t="s">
        <v>59</v>
      </c>
      <c r="Q1" s="29" t="s">
        <v>63</v>
      </c>
      <c r="R1" s="32" t="s">
        <v>78</v>
      </c>
      <c r="S1" s="2" t="s">
        <v>79</v>
      </c>
    </row>
    <row r="2" spans="1:19" ht="32">
      <c r="A2" s="1" t="s">
        <v>5</v>
      </c>
      <c r="B2" s="3" t="s">
        <v>6</v>
      </c>
      <c r="C2" s="4">
        <v>42537</v>
      </c>
      <c r="D2" s="5">
        <v>0.40277777777777773</v>
      </c>
      <c r="E2" s="10">
        <v>25.6</v>
      </c>
      <c r="F2" s="10">
        <v>28</v>
      </c>
      <c r="G2" s="8">
        <v>7.1</v>
      </c>
      <c r="H2" s="10">
        <v>105.2</v>
      </c>
      <c r="I2" s="8">
        <v>8.08</v>
      </c>
      <c r="J2" s="8">
        <v>10.71</v>
      </c>
      <c r="K2" s="14">
        <v>66.16</v>
      </c>
      <c r="L2" s="26">
        <v>20.47</v>
      </c>
      <c r="M2" s="26">
        <v>5.71</v>
      </c>
      <c r="N2" s="26">
        <v>137.9</v>
      </c>
      <c r="O2" s="14">
        <v>2.84</v>
      </c>
      <c r="P2" s="14">
        <v>1.92</v>
      </c>
      <c r="Q2" s="30">
        <v>1</v>
      </c>
      <c r="R2" s="35" t="s">
        <v>75</v>
      </c>
      <c r="S2" s="11" t="s">
        <v>18</v>
      </c>
    </row>
    <row r="3" spans="1:19" ht="32">
      <c r="A3" s="1" t="s">
        <v>5</v>
      </c>
      <c r="B3" s="3" t="s">
        <v>6</v>
      </c>
      <c r="C3" s="4">
        <v>42551</v>
      </c>
      <c r="D3" s="5">
        <v>0.36805555555555558</v>
      </c>
      <c r="E3" s="10">
        <v>27.4</v>
      </c>
      <c r="F3" s="10">
        <v>29.3</v>
      </c>
      <c r="G3" s="8">
        <v>6.88</v>
      </c>
      <c r="H3" s="10">
        <v>105.2</v>
      </c>
      <c r="I3" s="8">
        <v>8.1</v>
      </c>
      <c r="J3" s="8">
        <v>3.37</v>
      </c>
      <c r="K3" s="14">
        <v>75.58</v>
      </c>
      <c r="L3" s="26">
        <v>12.24</v>
      </c>
      <c r="M3" s="26">
        <v>3.99</v>
      </c>
      <c r="N3" s="26">
        <v>138.61000000000001</v>
      </c>
      <c r="O3" s="14">
        <v>3.41</v>
      </c>
      <c r="P3" s="14">
        <v>3.93</v>
      </c>
      <c r="Q3" s="30">
        <v>1</v>
      </c>
      <c r="R3" s="35" t="s">
        <v>75</v>
      </c>
      <c r="S3" s="11" t="s">
        <v>18</v>
      </c>
    </row>
    <row r="4" spans="1:19" ht="32">
      <c r="A4" s="1" t="s">
        <v>5</v>
      </c>
      <c r="B4" s="3" t="s">
        <v>6</v>
      </c>
      <c r="C4" s="4">
        <v>42565</v>
      </c>
      <c r="D4" s="5">
        <v>0.3923611111111111</v>
      </c>
      <c r="E4" s="10">
        <v>28.1</v>
      </c>
      <c r="F4" s="10">
        <v>37.799999999999997</v>
      </c>
      <c r="G4" s="8">
        <v>6.74</v>
      </c>
      <c r="H4" s="10">
        <v>106.3</v>
      </c>
      <c r="I4" s="8">
        <v>8.1199999999999992</v>
      </c>
      <c r="J4" s="8">
        <v>3.96</v>
      </c>
      <c r="K4" s="16">
        <v>64.966273636991644</v>
      </c>
      <c r="L4" s="26">
        <v>11.631956457339895</v>
      </c>
      <c r="M4" s="26">
        <v>3.2627958989122434</v>
      </c>
      <c r="N4" s="26">
        <v>111.92255834336423</v>
      </c>
      <c r="O4" s="16">
        <v>3.0244713788448019</v>
      </c>
      <c r="P4" s="16">
        <v>2.4271385210918122</v>
      </c>
      <c r="Q4" s="30">
        <v>1</v>
      </c>
      <c r="R4" s="35" t="s">
        <v>75</v>
      </c>
      <c r="S4" s="11" t="s">
        <v>19</v>
      </c>
    </row>
    <row r="5" spans="1:19" ht="32">
      <c r="A5" s="1" t="s">
        <v>5</v>
      </c>
      <c r="B5" s="3" t="s">
        <v>6</v>
      </c>
      <c r="C5" s="4">
        <v>42579</v>
      </c>
      <c r="D5" s="5">
        <v>0.38194444444444442</v>
      </c>
      <c r="E5" s="10">
        <v>26.2</v>
      </c>
      <c r="F5" s="10">
        <v>35.6</v>
      </c>
      <c r="G5" s="8">
        <v>6.99</v>
      </c>
      <c r="H5" s="10">
        <v>105.2</v>
      </c>
      <c r="I5" s="8">
        <v>8.1300000000000008</v>
      </c>
      <c r="J5" s="8">
        <f>AVERAGE(3.42,3.86,3.93)</f>
        <v>3.7366666666666664</v>
      </c>
      <c r="K5" s="16">
        <v>72.913520571874827</v>
      </c>
      <c r="L5" s="26">
        <v>9.3322088694552878</v>
      </c>
      <c r="M5" s="26">
        <v>2.8459372984430709</v>
      </c>
      <c r="N5" s="26">
        <v>55.368083685552115</v>
      </c>
      <c r="O5" s="16">
        <v>1.0165921830720168</v>
      </c>
      <c r="P5" s="16">
        <v>4.3900327855622114</v>
      </c>
      <c r="Q5" s="30">
        <v>1</v>
      </c>
      <c r="R5" s="3" t="s">
        <v>74</v>
      </c>
      <c r="S5" s="11" t="s">
        <v>22</v>
      </c>
    </row>
    <row r="6" spans="1:19" ht="32">
      <c r="A6" s="1" t="s">
        <v>5</v>
      </c>
      <c r="B6" s="3" t="s">
        <v>6</v>
      </c>
      <c r="C6" s="4">
        <v>42593</v>
      </c>
      <c r="D6" s="5">
        <v>0.38541666666666669</v>
      </c>
      <c r="E6" s="10">
        <v>27.4</v>
      </c>
      <c r="F6" s="10">
        <v>35.700000000000003</v>
      </c>
      <c r="G6" s="8">
        <v>6.89</v>
      </c>
      <c r="H6" s="10">
        <v>106</v>
      </c>
      <c r="I6" s="8">
        <v>8.14</v>
      </c>
      <c r="J6" s="8">
        <f>AVERAGE(4.43,3.6,3.41)</f>
        <v>3.813333333333333</v>
      </c>
      <c r="K6" s="14">
        <v>51.971907688140497</v>
      </c>
      <c r="L6" s="26">
        <v>9.4120213045217955</v>
      </c>
      <c r="M6" s="26">
        <v>2.4930841220812163</v>
      </c>
      <c r="N6" s="26">
        <v>61.774868145187313</v>
      </c>
      <c r="O6" s="14">
        <v>2.7331207201454077</v>
      </c>
      <c r="P6" s="18">
        <v>1.5</v>
      </c>
      <c r="Q6" s="30">
        <v>1</v>
      </c>
      <c r="R6" s="3" t="s">
        <v>74</v>
      </c>
      <c r="S6" s="11" t="s">
        <v>83</v>
      </c>
    </row>
    <row r="7" spans="1:19" ht="32">
      <c r="A7" s="1" t="s">
        <v>5</v>
      </c>
      <c r="B7" s="3" t="s">
        <v>6</v>
      </c>
      <c r="C7" s="4">
        <v>42607</v>
      </c>
      <c r="D7" s="5">
        <v>0.35069444444444442</v>
      </c>
      <c r="E7" s="10">
        <v>27.7</v>
      </c>
      <c r="F7" s="10">
        <v>35.9</v>
      </c>
      <c r="G7" s="8">
        <v>6.6</v>
      </c>
      <c r="H7" s="10">
        <v>102.1</v>
      </c>
      <c r="I7" s="8">
        <v>8.0299999999999994</v>
      </c>
      <c r="J7" s="8">
        <f>AVERAGE(5.25,5.98,6.02)</f>
        <v>5.75</v>
      </c>
      <c r="K7" s="14">
        <v>83.509069551303767</v>
      </c>
      <c r="L7" s="26">
        <v>16.053613580253096</v>
      </c>
      <c r="M7" s="26">
        <v>4.1747475403925502</v>
      </c>
      <c r="N7" s="26">
        <v>243.96541307844518</v>
      </c>
      <c r="O7" s="14">
        <v>5.8268796631512654</v>
      </c>
      <c r="P7" s="14">
        <v>3.9994182021753035</v>
      </c>
      <c r="Q7" s="30">
        <v>2</v>
      </c>
      <c r="R7" s="35" t="s">
        <v>75</v>
      </c>
      <c r="S7" s="11" t="s">
        <v>83</v>
      </c>
    </row>
    <row r="8" spans="1:19" ht="32">
      <c r="A8" s="1" t="s">
        <v>5</v>
      </c>
      <c r="B8" s="3" t="s">
        <v>6</v>
      </c>
      <c r="C8" s="4">
        <v>42621</v>
      </c>
      <c r="D8" s="5">
        <v>0.3527777777777778</v>
      </c>
      <c r="E8" s="10">
        <v>26.2</v>
      </c>
      <c r="F8" s="10">
        <v>35.9</v>
      </c>
      <c r="G8" s="8">
        <v>6.65</v>
      </c>
      <c r="H8" s="10">
        <v>100.4</v>
      </c>
      <c r="I8" s="8">
        <v>8.18</v>
      </c>
      <c r="J8" s="8">
        <f>AVERAGE(8.02,7.15,7.44)</f>
        <v>7.5366666666666662</v>
      </c>
      <c r="K8" s="14">
        <v>64.372634889487728</v>
      </c>
      <c r="L8" s="26">
        <v>10.546223792818576</v>
      </c>
      <c r="M8" s="26">
        <v>3.4388009837149798</v>
      </c>
      <c r="N8" s="26">
        <v>74.289860302662774</v>
      </c>
      <c r="O8" s="14">
        <v>3.4199892176924269</v>
      </c>
      <c r="P8" s="14">
        <v>1.9730890391438374</v>
      </c>
      <c r="Q8" s="30">
        <v>2</v>
      </c>
      <c r="R8" s="3" t="s">
        <v>74</v>
      </c>
      <c r="S8" s="11" t="s">
        <v>39</v>
      </c>
    </row>
    <row r="9" spans="1:19" ht="32">
      <c r="A9" s="1" t="s">
        <v>5</v>
      </c>
      <c r="B9" s="3" t="s">
        <v>6</v>
      </c>
      <c r="C9" s="4">
        <v>42635</v>
      </c>
      <c r="D9" s="5">
        <v>0.37986111111111115</v>
      </c>
      <c r="E9" s="10">
        <v>27.5</v>
      </c>
      <c r="F9" s="10">
        <v>36.1</v>
      </c>
      <c r="G9" s="8">
        <v>6.58</v>
      </c>
      <c r="H9" s="10">
        <v>101.8</v>
      </c>
      <c r="I9" s="8">
        <v>8.09</v>
      </c>
      <c r="J9" s="8">
        <f>AVERAGE(12.4,14.8,16)</f>
        <v>14.4</v>
      </c>
      <c r="K9" s="14">
        <v>67.806716270165083</v>
      </c>
      <c r="L9" s="26">
        <v>13.532337229219603</v>
      </c>
      <c r="M9" s="26">
        <v>4.3120896794908301</v>
      </c>
      <c r="N9" s="26">
        <v>56.176855354863832</v>
      </c>
      <c r="O9" s="14">
        <v>4.0116065638281109</v>
      </c>
      <c r="P9" s="14">
        <v>8.8049062729017624</v>
      </c>
      <c r="Q9" s="30">
        <v>1</v>
      </c>
      <c r="R9" s="35" t="s">
        <v>75</v>
      </c>
      <c r="S9" s="11" t="s">
        <v>39</v>
      </c>
    </row>
    <row r="10" spans="1:19" ht="32">
      <c r="A10" s="1" t="s">
        <v>5</v>
      </c>
      <c r="B10" s="3" t="s">
        <v>6</v>
      </c>
      <c r="C10" s="4">
        <v>42649</v>
      </c>
      <c r="D10" s="5">
        <v>0.37638888888888888</v>
      </c>
      <c r="E10" s="10">
        <v>27.7</v>
      </c>
      <c r="F10" s="10">
        <v>35</v>
      </c>
      <c r="G10" s="8">
        <v>6.59</v>
      </c>
      <c r="H10" s="10">
        <v>101.3</v>
      </c>
      <c r="I10" s="8">
        <v>8.11</v>
      </c>
      <c r="J10" s="8">
        <f>AVERAGE(7.24,7.29,7.37)</f>
        <v>7.3000000000000007</v>
      </c>
      <c r="K10" s="14">
        <v>57.252251461755563</v>
      </c>
      <c r="L10" s="26">
        <v>10.654065996623842</v>
      </c>
      <c r="M10" s="26">
        <v>3.8456446787796938</v>
      </c>
      <c r="N10" s="26">
        <v>105.42187857540924</v>
      </c>
      <c r="O10" s="14">
        <v>3.4604102786085296</v>
      </c>
      <c r="P10" s="14">
        <v>3.1338893939393939</v>
      </c>
      <c r="Q10" s="30">
        <v>2</v>
      </c>
      <c r="R10" s="3" t="s">
        <v>74</v>
      </c>
      <c r="S10" s="11" t="s">
        <v>39</v>
      </c>
    </row>
    <row r="11" spans="1:19" ht="32">
      <c r="A11" s="1" t="s">
        <v>5</v>
      </c>
      <c r="B11" s="3" t="s">
        <v>6</v>
      </c>
      <c r="C11" s="4">
        <v>42663</v>
      </c>
      <c r="D11" s="5">
        <v>0.37291666666666662</v>
      </c>
      <c r="E11" s="10">
        <v>25.7</v>
      </c>
      <c r="F11" s="10">
        <v>37</v>
      </c>
      <c r="G11" s="8">
        <v>6.59</v>
      </c>
      <c r="H11" s="10">
        <v>99.4</v>
      </c>
      <c r="I11" s="8">
        <v>8.07</v>
      </c>
      <c r="J11" s="8">
        <f>AVERAGE(9.23,10.1,9.11,9.56)</f>
        <v>9.5</v>
      </c>
      <c r="K11" s="14">
        <v>68.112745534025137</v>
      </c>
      <c r="L11" s="26">
        <v>11.9527259594139</v>
      </c>
      <c r="M11" s="26">
        <v>6.3395792179089216</v>
      </c>
      <c r="N11" s="26">
        <v>67.794945938483949</v>
      </c>
      <c r="O11" s="14">
        <v>4.8008749502617016</v>
      </c>
      <c r="P11" s="14">
        <v>3.181562024462111</v>
      </c>
      <c r="Q11" s="30">
        <v>1</v>
      </c>
      <c r="R11" s="35" t="s">
        <v>75</v>
      </c>
      <c r="S11" s="11" t="s">
        <v>39</v>
      </c>
    </row>
    <row r="12" spans="1:19" ht="32">
      <c r="A12" s="1" t="s">
        <v>5</v>
      </c>
      <c r="B12" s="3" t="s">
        <v>6</v>
      </c>
      <c r="C12" s="4">
        <v>42677</v>
      </c>
      <c r="D12" s="5">
        <v>0.36458333333333331</v>
      </c>
      <c r="E12" s="10">
        <v>25.4</v>
      </c>
      <c r="F12" s="10">
        <v>34.9</v>
      </c>
      <c r="G12" s="8">
        <v>6.68</v>
      </c>
      <c r="H12" s="10">
        <v>98.8</v>
      </c>
      <c r="I12" s="8">
        <v>8.16</v>
      </c>
      <c r="J12" s="8">
        <f>AVERAGE(3.78,3.67,3.7)</f>
        <v>3.7166666666666663</v>
      </c>
      <c r="K12" s="14">
        <v>62.93870173262404</v>
      </c>
      <c r="L12" s="26">
        <v>14.857305249311443</v>
      </c>
      <c r="M12" s="26">
        <v>4.4335534563231249</v>
      </c>
      <c r="N12" s="26">
        <v>53.149309621425424</v>
      </c>
      <c r="O12" s="14">
        <v>2.5771827776927609</v>
      </c>
      <c r="P12" s="14">
        <v>3.1834090909090933</v>
      </c>
      <c r="Q12" s="1">
        <v>2</v>
      </c>
      <c r="R12" s="3" t="s">
        <v>74</v>
      </c>
      <c r="S12" s="11" t="s">
        <v>93</v>
      </c>
    </row>
    <row r="13" spans="1:19" ht="32">
      <c r="A13" s="1" t="s">
        <v>5</v>
      </c>
      <c r="B13" s="3" t="s">
        <v>6</v>
      </c>
      <c r="C13" s="4">
        <v>42691</v>
      </c>
      <c r="D13" s="5">
        <v>0.38541666666666669</v>
      </c>
      <c r="E13" s="10">
        <v>25.8</v>
      </c>
      <c r="F13" s="10">
        <v>34.700000000000003</v>
      </c>
      <c r="G13" s="8">
        <v>6.82</v>
      </c>
      <c r="H13" s="10">
        <v>101.6</v>
      </c>
      <c r="I13" s="8">
        <v>8.11</v>
      </c>
      <c r="J13" s="8">
        <f>AVERAGE(3.13,2.93,2.84)</f>
        <v>2.9666666666666668</v>
      </c>
      <c r="K13" s="14">
        <v>60.454468456634125</v>
      </c>
      <c r="L13" s="26">
        <v>7.2471377872525267</v>
      </c>
      <c r="M13" s="26">
        <v>3.4368536486259784</v>
      </c>
      <c r="N13" s="26">
        <v>81.355345539460373</v>
      </c>
      <c r="O13" s="14">
        <v>8.0876869032905585</v>
      </c>
      <c r="P13" s="27">
        <v>1.5</v>
      </c>
      <c r="Q13" s="1">
        <v>2</v>
      </c>
      <c r="R13" s="3" t="s">
        <v>74</v>
      </c>
      <c r="S13" s="11" t="s">
        <v>93</v>
      </c>
    </row>
    <row r="14" spans="1:19" ht="32">
      <c r="A14" s="1" t="s">
        <v>5</v>
      </c>
      <c r="B14" s="3" t="s">
        <v>6</v>
      </c>
      <c r="C14" s="4">
        <v>42705</v>
      </c>
      <c r="D14" s="5">
        <v>0.3611111111111111</v>
      </c>
      <c r="E14" s="10">
        <v>23.7</v>
      </c>
      <c r="F14" s="10">
        <v>34.700000000000003</v>
      </c>
      <c r="G14" s="26">
        <v>6.79</v>
      </c>
      <c r="H14" s="10">
        <v>97.5</v>
      </c>
      <c r="I14" s="26">
        <v>8.1199999999999992</v>
      </c>
      <c r="J14" s="26">
        <f>AVERAGE(8.91,8.56,8.49)</f>
        <v>8.6533333333333342</v>
      </c>
      <c r="K14" s="26">
        <v>63.455992216606226</v>
      </c>
      <c r="L14" s="26">
        <v>5.9267024522774809</v>
      </c>
      <c r="M14" s="26">
        <v>3.9736852213026119</v>
      </c>
      <c r="N14" s="26">
        <v>219.11132779741141</v>
      </c>
      <c r="O14" s="26">
        <v>7.3567991451877708</v>
      </c>
      <c r="P14" s="26">
        <v>2.1441854071153807</v>
      </c>
      <c r="Q14" s="1">
        <v>2</v>
      </c>
      <c r="R14" s="3" t="s">
        <v>74</v>
      </c>
      <c r="S14" s="11" t="s">
        <v>93</v>
      </c>
    </row>
    <row r="15" spans="1:19" ht="32">
      <c r="A15" s="1" t="s">
        <v>5</v>
      </c>
      <c r="B15" s="3" t="s">
        <v>6</v>
      </c>
      <c r="C15" s="4">
        <v>42719</v>
      </c>
      <c r="D15" s="5">
        <v>0.38750000000000001</v>
      </c>
      <c r="E15" s="10">
        <v>25.1</v>
      </c>
      <c r="F15" s="10">
        <v>35</v>
      </c>
      <c r="G15" s="26">
        <v>6.94</v>
      </c>
      <c r="H15" s="10">
        <v>102.7</v>
      </c>
      <c r="I15" s="26">
        <v>8.07</v>
      </c>
      <c r="J15" s="26">
        <f>AVERAGE(3.75,4.06,4.34)</f>
        <v>4.05</v>
      </c>
      <c r="K15" s="26">
        <v>62.853384958944972</v>
      </c>
      <c r="L15" s="26">
        <v>9.8899110966921331</v>
      </c>
      <c r="M15" s="26">
        <v>4.2998166089301915</v>
      </c>
      <c r="N15" s="26">
        <v>129.3059017090803</v>
      </c>
      <c r="O15" s="38">
        <v>18.818598588219682</v>
      </c>
      <c r="P15" s="26">
        <v>1.8218936725974795</v>
      </c>
      <c r="Q15" s="1">
        <v>1</v>
      </c>
      <c r="R15" s="3" t="s">
        <v>74</v>
      </c>
      <c r="S15" s="11" t="s">
        <v>93</v>
      </c>
    </row>
    <row r="16" spans="1:19" ht="32">
      <c r="A16" s="1" t="s">
        <v>5</v>
      </c>
      <c r="B16" s="3" t="s">
        <v>6</v>
      </c>
      <c r="C16" s="4">
        <v>42740</v>
      </c>
      <c r="D16" s="5">
        <v>0.33333333333333331</v>
      </c>
      <c r="E16" s="10">
        <v>23.7</v>
      </c>
      <c r="F16" s="10">
        <v>35.4</v>
      </c>
      <c r="G16" s="26">
        <v>6.79</v>
      </c>
      <c r="H16" s="10">
        <v>97.8</v>
      </c>
      <c r="I16" s="34">
        <v>8.0500000000000007</v>
      </c>
      <c r="J16" s="26">
        <f>AVERAGE(10.3,10.1,9.91)</f>
        <v>10.103333333333333</v>
      </c>
      <c r="K16" s="26">
        <v>76.140521566595012</v>
      </c>
      <c r="L16" s="26">
        <v>12.573300522409268</v>
      </c>
      <c r="M16" s="26">
        <v>4.2840226496466167</v>
      </c>
      <c r="N16" s="26">
        <v>113.6779509885497</v>
      </c>
      <c r="O16" s="26">
        <v>6.1267443057437179</v>
      </c>
      <c r="P16" s="26">
        <v>1.7866897131818069</v>
      </c>
      <c r="Q16" s="1">
        <v>2</v>
      </c>
      <c r="R16" s="3" t="s">
        <v>74</v>
      </c>
      <c r="S16" s="11" t="s">
        <v>93</v>
      </c>
    </row>
    <row r="17" spans="1:19" ht="32">
      <c r="A17" s="1" t="s">
        <v>5</v>
      </c>
      <c r="B17" s="3" t="s">
        <v>6</v>
      </c>
      <c r="C17" s="4">
        <v>42761</v>
      </c>
      <c r="D17" s="5">
        <v>0.37152777777777773</v>
      </c>
      <c r="E17" s="10">
        <v>23.2</v>
      </c>
      <c r="F17" s="10">
        <v>35.4</v>
      </c>
      <c r="G17" s="26">
        <v>6.97</v>
      </c>
      <c r="H17" s="10">
        <v>99.3</v>
      </c>
      <c r="I17" s="34">
        <v>8.07</v>
      </c>
      <c r="J17" s="26">
        <f>AVERAGE(4.62,4.52,4.47)</f>
        <v>4.5366666666666662</v>
      </c>
      <c r="K17" s="26">
        <v>75.920916541510223</v>
      </c>
      <c r="L17" s="26">
        <v>19.201044756046052</v>
      </c>
      <c r="M17" s="26">
        <v>6.3614332378813563</v>
      </c>
      <c r="N17" s="26">
        <v>74.869831504384209</v>
      </c>
      <c r="O17" s="26">
        <v>7.0314181394856554</v>
      </c>
      <c r="P17" s="26">
        <v>4.6812228650766352</v>
      </c>
      <c r="Q17" s="1">
        <v>1</v>
      </c>
      <c r="R17" s="3" t="s">
        <v>74</v>
      </c>
      <c r="S17" s="11" t="s">
        <v>93</v>
      </c>
    </row>
    <row r="18" spans="1:19" ht="32">
      <c r="A18" s="1" t="s">
        <v>5</v>
      </c>
      <c r="B18" s="3" t="s">
        <v>6</v>
      </c>
      <c r="C18" s="4">
        <v>42783</v>
      </c>
      <c r="D18" s="5">
        <v>0.36805555555555558</v>
      </c>
      <c r="E18" s="10">
        <v>25.6</v>
      </c>
      <c r="F18" s="10">
        <v>35.299999999999997</v>
      </c>
      <c r="G18" s="26">
        <v>6.83</v>
      </c>
      <c r="H18" s="10">
        <v>101.5</v>
      </c>
      <c r="I18" s="26">
        <v>8.1300000000000008</v>
      </c>
      <c r="J18" s="26">
        <f>AVERAGE(14.3,14.3,13.9)</f>
        <v>14.166666666666666</v>
      </c>
      <c r="K18" s="26">
        <v>74.075086397444721</v>
      </c>
      <c r="L18" s="26">
        <v>9.2012538851570813</v>
      </c>
      <c r="M18" s="26">
        <v>6.1055059671186438</v>
      </c>
      <c r="N18" s="26">
        <v>91.120625709586605</v>
      </c>
      <c r="O18" s="26">
        <v>8.4680905386813379</v>
      </c>
      <c r="P18" s="26">
        <v>7.2880675370030525</v>
      </c>
      <c r="Q18" s="1">
        <v>2</v>
      </c>
      <c r="R18" s="3" t="s">
        <v>31</v>
      </c>
      <c r="S18" s="11" t="s">
        <v>93</v>
      </c>
    </row>
    <row r="19" spans="1:19" ht="32">
      <c r="A19" s="1" t="s">
        <v>5</v>
      </c>
      <c r="B19" s="3" t="s">
        <v>6</v>
      </c>
      <c r="C19" s="4">
        <v>42803</v>
      </c>
      <c r="D19" s="5">
        <v>0.35416666666666669</v>
      </c>
      <c r="E19" s="10">
        <v>25.2</v>
      </c>
      <c r="F19" s="10">
        <v>34.9</v>
      </c>
      <c r="G19" s="26">
        <v>6.91</v>
      </c>
      <c r="H19" s="10">
        <v>101.2</v>
      </c>
      <c r="I19" s="26">
        <v>8.15</v>
      </c>
      <c r="J19" s="26">
        <f>AVERAGE(8.68,9.45,9.15)</f>
        <v>9.0933333333333337</v>
      </c>
      <c r="K19" s="26">
        <v>65.503437264382413</v>
      </c>
      <c r="L19" s="26">
        <v>8.7481116625612501</v>
      </c>
      <c r="M19" s="26">
        <v>4.7379356279661007</v>
      </c>
      <c r="N19" s="26">
        <v>59.615913093895429</v>
      </c>
      <c r="O19" s="26">
        <v>5.7639840194729564</v>
      </c>
      <c r="P19" s="26">
        <v>6.1281701320623716</v>
      </c>
      <c r="Q19" s="1">
        <v>1</v>
      </c>
      <c r="R19" s="3" t="s">
        <v>73</v>
      </c>
      <c r="S19" s="11" t="s">
        <v>93</v>
      </c>
    </row>
    <row r="20" spans="1:19" ht="32">
      <c r="A20" s="1" t="s">
        <v>5</v>
      </c>
      <c r="B20" s="3" t="s">
        <v>6</v>
      </c>
      <c r="C20" s="4">
        <v>42824</v>
      </c>
      <c r="D20" s="5">
        <v>0.375</v>
      </c>
      <c r="E20" s="10">
        <v>26.2</v>
      </c>
      <c r="F20" s="10">
        <v>34.299999999999997</v>
      </c>
      <c r="G20" s="26">
        <v>6.92</v>
      </c>
      <c r="H20" s="10">
        <v>103.2</v>
      </c>
      <c r="I20" s="26">
        <v>8.14</v>
      </c>
      <c r="J20" s="26">
        <f>AVERAGE(5.55, 6.05, 6.13)</f>
        <v>5.91</v>
      </c>
      <c r="K20" s="26">
        <v>71.060540105600253</v>
      </c>
      <c r="L20" s="26">
        <v>7.3820738673523776</v>
      </c>
      <c r="M20" s="26">
        <v>3.1851870175040964</v>
      </c>
      <c r="N20" s="26">
        <v>69.762219253960325</v>
      </c>
      <c r="O20" s="26">
        <v>3.0299053627760255</v>
      </c>
      <c r="P20" s="26">
        <v>8.2871350206101333</v>
      </c>
      <c r="Q20" s="1">
        <v>1</v>
      </c>
      <c r="R20" s="3" t="s">
        <v>73</v>
      </c>
      <c r="S20" s="11" t="s">
        <v>93</v>
      </c>
    </row>
    <row r="21" spans="1:19" ht="32">
      <c r="A21" s="1" t="s">
        <v>5</v>
      </c>
      <c r="B21" s="3" t="s">
        <v>6</v>
      </c>
      <c r="C21" s="4">
        <v>42845</v>
      </c>
      <c r="D21" s="5">
        <v>0.34722222222222227</v>
      </c>
      <c r="E21" s="37">
        <v>26</v>
      </c>
      <c r="F21" s="37">
        <v>34.200000000000003</v>
      </c>
      <c r="G21" s="26">
        <v>6.6</v>
      </c>
      <c r="H21" s="37">
        <v>98.1</v>
      </c>
      <c r="I21" s="26">
        <v>8.09</v>
      </c>
      <c r="J21" s="26">
        <f>AVERAGE(3.67,4.07,4.5)</f>
        <v>4.08</v>
      </c>
      <c r="K21" s="26">
        <v>85.81465257983902</v>
      </c>
      <c r="L21" s="26">
        <v>6.7800055030740163</v>
      </c>
      <c r="M21" s="26">
        <v>4.2465216582443013</v>
      </c>
      <c r="N21" s="26">
        <v>109.35543194318858</v>
      </c>
      <c r="O21" s="26">
        <v>3.4789904651019006</v>
      </c>
      <c r="P21" s="26">
        <v>3.2813953185895532</v>
      </c>
      <c r="Q21" s="1">
        <v>1</v>
      </c>
      <c r="R21" s="3" t="s">
        <v>73</v>
      </c>
      <c r="S21" s="11" t="s">
        <v>93</v>
      </c>
    </row>
    <row r="22" spans="1:19" ht="32">
      <c r="A22" s="1" t="s">
        <v>5</v>
      </c>
      <c r="B22" s="3" t="s">
        <v>6</v>
      </c>
      <c r="C22" s="4">
        <v>42866</v>
      </c>
      <c r="D22" s="5">
        <v>0.36249999999999999</v>
      </c>
      <c r="E22" s="10">
        <v>25.3</v>
      </c>
      <c r="F22" s="10">
        <v>34.299999999999997</v>
      </c>
      <c r="G22" s="26">
        <v>7.21</v>
      </c>
      <c r="H22" s="10">
        <v>106.3</v>
      </c>
      <c r="I22" s="26">
        <v>8.1999999999999993</v>
      </c>
      <c r="J22" s="26">
        <f>AVERAGE(4.73, 5.58, 6.89, 5.7, 6.05, 6.16)</f>
        <v>5.8516666666666666</v>
      </c>
      <c r="K22" s="26">
        <v>71.807885682305283</v>
      </c>
      <c r="L22" s="26">
        <v>9.2186470794737296</v>
      </c>
      <c r="M22" s="26">
        <v>4.7396785174515763</v>
      </c>
      <c r="N22" s="26">
        <v>155.91292607056218</v>
      </c>
      <c r="O22" s="26">
        <v>1.8169709105390797</v>
      </c>
      <c r="P22" s="26">
        <v>1.5570064785307913</v>
      </c>
      <c r="Q22" s="1">
        <v>1</v>
      </c>
      <c r="R22" s="3" t="s">
        <v>27</v>
      </c>
      <c r="S22" s="11" t="s">
        <v>93</v>
      </c>
    </row>
    <row r="23" spans="1:19" ht="32">
      <c r="A23" s="1" t="s">
        <v>5</v>
      </c>
      <c r="B23" s="3" t="s">
        <v>6</v>
      </c>
      <c r="C23" s="4">
        <v>42887</v>
      </c>
      <c r="D23" s="5">
        <v>0.36805555555555558</v>
      </c>
      <c r="E23" s="10">
        <v>25.9</v>
      </c>
      <c r="F23" s="10">
        <v>34.799999999999997</v>
      </c>
      <c r="G23" s="8">
        <v>7.01</v>
      </c>
      <c r="H23" s="10">
        <v>104.5</v>
      </c>
      <c r="I23" s="8">
        <v>8.15</v>
      </c>
      <c r="J23" s="8">
        <f>AVERAGE(4.43,4.36,4.47)</f>
        <v>4.419999999999999</v>
      </c>
      <c r="K23" s="26">
        <v>64.319424464518477</v>
      </c>
      <c r="L23" s="26">
        <v>7.2609449797882943</v>
      </c>
      <c r="M23" s="26">
        <v>2.8104501880808761</v>
      </c>
      <c r="N23" s="26">
        <v>61.825920978083509</v>
      </c>
      <c r="O23" s="26">
        <v>2.1885315552478413</v>
      </c>
      <c r="P23" s="26">
        <v>1.7180908540136695</v>
      </c>
      <c r="Q23" s="1">
        <v>1</v>
      </c>
      <c r="R23" s="3" t="s">
        <v>21</v>
      </c>
      <c r="S23" s="11" t="s">
        <v>93</v>
      </c>
    </row>
    <row r="24" spans="1:19" ht="32">
      <c r="A24" s="1" t="s">
        <v>5</v>
      </c>
      <c r="B24" s="3" t="s">
        <v>6</v>
      </c>
      <c r="C24" s="4">
        <v>42908</v>
      </c>
      <c r="D24" s="5">
        <v>0.36805555555555558</v>
      </c>
      <c r="E24" s="37">
        <v>26.1</v>
      </c>
      <c r="F24" s="37">
        <v>34.6</v>
      </c>
      <c r="G24" s="26">
        <v>6.88</v>
      </c>
      <c r="H24" s="37">
        <v>103.2</v>
      </c>
      <c r="I24" s="26">
        <v>8.16</v>
      </c>
      <c r="J24" s="26">
        <f>AVERAGE(2.93,3.29,2.57)</f>
        <v>2.93</v>
      </c>
      <c r="K24" s="26">
        <v>75.365668825492961</v>
      </c>
      <c r="L24" s="26">
        <v>9.0739390999747762</v>
      </c>
      <c r="M24" s="26">
        <v>4.8537236090468525</v>
      </c>
      <c r="N24" s="26">
        <v>112.91255057794127</v>
      </c>
      <c r="O24" s="26">
        <v>8.8307752685928858</v>
      </c>
      <c r="P24" s="26">
        <v>1.328174888381179</v>
      </c>
      <c r="Q24" s="1">
        <v>1</v>
      </c>
      <c r="R24" s="3" t="s">
        <v>40</v>
      </c>
      <c r="S24" s="11" t="s">
        <v>93</v>
      </c>
    </row>
    <row r="25" spans="1:19" ht="32">
      <c r="A25" s="1" t="s">
        <v>5</v>
      </c>
      <c r="B25" s="3" t="s">
        <v>6</v>
      </c>
      <c r="C25" s="4">
        <v>42929</v>
      </c>
      <c r="D25" s="5">
        <v>0.35486111111111113</v>
      </c>
      <c r="E25" s="10">
        <v>27.3</v>
      </c>
      <c r="F25" s="10">
        <v>34.5</v>
      </c>
      <c r="G25" s="8">
        <v>6.91</v>
      </c>
      <c r="H25" s="10">
        <v>105.5</v>
      </c>
      <c r="I25" s="8">
        <v>8.1199999999999992</v>
      </c>
      <c r="J25" s="8">
        <f>AVERAGE(6.16,5.98,5.49)</f>
        <v>5.8766666666666678</v>
      </c>
      <c r="K25" s="26">
        <v>62.98769468689472</v>
      </c>
      <c r="L25" s="26">
        <v>9.4886667335538082</v>
      </c>
      <c r="M25" s="26">
        <v>3.4761770679469057</v>
      </c>
      <c r="N25" s="26">
        <v>142.37643483274917</v>
      </c>
      <c r="O25" s="26">
        <v>8.5837152844379414</v>
      </c>
      <c r="P25" s="26">
        <v>1.8458826666762043</v>
      </c>
      <c r="Q25" s="1">
        <v>1</v>
      </c>
      <c r="R25" s="3" t="s">
        <v>34</v>
      </c>
      <c r="S25" s="11" t="s">
        <v>93</v>
      </c>
    </row>
    <row r="26" spans="1:19" ht="32">
      <c r="A26" s="1" t="s">
        <v>5</v>
      </c>
      <c r="B26" s="3" t="s">
        <v>6</v>
      </c>
      <c r="C26" s="4">
        <v>42950</v>
      </c>
      <c r="D26" s="5">
        <v>0.3611111111111111</v>
      </c>
      <c r="E26" s="37">
        <v>28</v>
      </c>
      <c r="F26" s="37">
        <v>34.700000000000003</v>
      </c>
      <c r="G26" s="26">
        <v>6.79</v>
      </c>
      <c r="H26" s="37">
        <v>105</v>
      </c>
      <c r="I26" s="26">
        <v>8.1199999999999992</v>
      </c>
      <c r="J26" s="26">
        <f>AVERAGE(8.06,7.3,7.38)</f>
        <v>7.5799999999999992</v>
      </c>
      <c r="K26" s="26">
        <v>68.9865169410334</v>
      </c>
      <c r="L26" s="26">
        <v>7.5529778675453159</v>
      </c>
      <c r="M26" s="26">
        <v>4.2034062823693983</v>
      </c>
      <c r="N26" s="26">
        <v>109.5942556249682</v>
      </c>
      <c r="O26" s="26">
        <v>6.7908204581779437</v>
      </c>
      <c r="P26" s="26">
        <v>1.8247498064891765</v>
      </c>
      <c r="Q26" s="1">
        <v>2</v>
      </c>
      <c r="R26" s="3" t="s">
        <v>101</v>
      </c>
      <c r="S26" s="11" t="s">
        <v>93</v>
      </c>
    </row>
    <row r="27" spans="1:19" ht="32">
      <c r="A27" s="1" t="s">
        <v>5</v>
      </c>
      <c r="B27" s="3" t="s">
        <v>6</v>
      </c>
      <c r="C27" s="4">
        <v>42971</v>
      </c>
      <c r="D27" s="5">
        <v>0.37152777777777773</v>
      </c>
      <c r="E27" s="37">
        <v>25.8</v>
      </c>
      <c r="F27" s="37">
        <v>35.200000000000003</v>
      </c>
      <c r="G27" s="26">
        <v>6.78</v>
      </c>
      <c r="H27" s="37">
        <v>101.5</v>
      </c>
      <c r="I27" s="26">
        <v>8.1300000000000008</v>
      </c>
      <c r="J27" s="26">
        <f>AVERAGE(9.07,8.79,8.7)</f>
        <v>8.8533333333333335</v>
      </c>
      <c r="K27" s="26">
        <v>77.218064493296424</v>
      </c>
      <c r="L27" s="26">
        <v>7.3665636252021303</v>
      </c>
      <c r="M27" s="26">
        <v>5.3232086466907971</v>
      </c>
      <c r="N27" s="26">
        <v>169.88411079685915</v>
      </c>
      <c r="O27" s="26">
        <v>12.972985648641451</v>
      </c>
      <c r="P27" s="26">
        <v>1.7692114582667195</v>
      </c>
      <c r="Q27" s="1">
        <v>1</v>
      </c>
      <c r="R27" s="3" t="s">
        <v>81</v>
      </c>
      <c r="S27" s="11" t="s">
        <v>93</v>
      </c>
    </row>
    <row r="28" spans="1:19" ht="32">
      <c r="A28" s="1" t="s">
        <v>5</v>
      </c>
      <c r="B28" s="3" t="s">
        <v>6</v>
      </c>
      <c r="C28" s="4">
        <v>42992</v>
      </c>
      <c r="D28" s="44">
        <v>0.35069444444444442</v>
      </c>
      <c r="E28" s="37">
        <v>28.4</v>
      </c>
      <c r="F28" s="37">
        <v>35</v>
      </c>
      <c r="G28" s="26">
        <v>6.61</v>
      </c>
      <c r="H28" s="37">
        <v>103.2</v>
      </c>
      <c r="I28" s="26">
        <v>8.09</v>
      </c>
      <c r="J28" s="26">
        <f>AVERAGE(4.53,5.04,5.13)</f>
        <v>4.8999999999999995</v>
      </c>
      <c r="K28" s="26">
        <v>49.217982527590401</v>
      </c>
      <c r="L28" s="26">
        <v>14.916546624526005</v>
      </c>
      <c r="M28" s="26">
        <v>3.435604850201734</v>
      </c>
      <c r="N28" s="26">
        <v>144.43272483116993</v>
      </c>
      <c r="O28" s="26">
        <v>2.2581585171060299</v>
      </c>
      <c r="P28" s="26">
        <v>3.3033451698938077</v>
      </c>
      <c r="Q28" s="1">
        <v>1</v>
      </c>
      <c r="R28" s="3" t="s">
        <v>53</v>
      </c>
      <c r="S28" s="11" t="s">
        <v>93</v>
      </c>
    </row>
    <row r="29" spans="1:19" ht="32">
      <c r="A29" s="1" t="s">
        <v>5</v>
      </c>
      <c r="B29" s="3" t="s">
        <v>6</v>
      </c>
      <c r="C29" s="4">
        <v>43013</v>
      </c>
      <c r="D29" s="44">
        <v>0.35069444444444442</v>
      </c>
      <c r="E29" s="37">
        <v>25.9</v>
      </c>
      <c r="F29" s="37">
        <v>34.6</v>
      </c>
      <c r="G29" s="26">
        <v>6.85</v>
      </c>
      <c r="H29" s="37">
        <v>102.2</v>
      </c>
      <c r="I29" s="26">
        <v>8.15</v>
      </c>
      <c r="J29" s="26">
        <f>AVERAGE(7.56,8.04,8.11)</f>
        <v>7.9033333333333324</v>
      </c>
      <c r="K29" s="26">
        <v>61.096476580046982</v>
      </c>
      <c r="L29" s="26">
        <v>11.560830711046393</v>
      </c>
      <c r="M29" s="26">
        <v>4.7808213960858401</v>
      </c>
      <c r="N29" s="26">
        <v>197.73701930081657</v>
      </c>
      <c r="O29" s="26">
        <v>5.7067826315328727</v>
      </c>
      <c r="P29" s="26">
        <v>3.0914006156200053</v>
      </c>
      <c r="Q29" s="1">
        <v>1</v>
      </c>
      <c r="R29" s="3" t="s">
        <v>98</v>
      </c>
      <c r="S29" s="11" t="s">
        <v>93</v>
      </c>
    </row>
    <row r="30" spans="1:19" ht="32">
      <c r="A30" s="1" t="s">
        <v>5</v>
      </c>
      <c r="B30" s="3" t="s">
        <v>6</v>
      </c>
      <c r="C30" s="4">
        <v>43034</v>
      </c>
      <c r="D30" s="44">
        <v>0.3611111111111111</v>
      </c>
      <c r="E30" s="10">
        <v>26.9</v>
      </c>
      <c r="F30" s="10">
        <v>34.700000000000003</v>
      </c>
      <c r="G30" s="8">
        <v>6.47</v>
      </c>
      <c r="H30" s="10">
        <v>98.5</v>
      </c>
      <c r="I30" s="8">
        <v>8.0500000000000007</v>
      </c>
      <c r="J30" s="8">
        <f>AVERAGE(20,21.6,21.5)</f>
        <v>21.033333333333335</v>
      </c>
      <c r="K30" s="26">
        <v>81.022066397843062</v>
      </c>
      <c r="L30" s="26">
        <v>9.5721293320646481</v>
      </c>
      <c r="M30" s="26">
        <v>6.0139643469778701</v>
      </c>
      <c r="N30" s="26">
        <v>156.80445906614978</v>
      </c>
      <c r="O30" s="26">
        <v>16.18720187341329</v>
      </c>
      <c r="P30" s="26">
        <v>6.3549805060340372</v>
      </c>
      <c r="Q30" s="1">
        <v>3</v>
      </c>
      <c r="R30" s="3" t="s">
        <v>49</v>
      </c>
      <c r="S30" s="11" t="s">
        <v>48</v>
      </c>
    </row>
    <row r="31" spans="1:19" ht="32">
      <c r="A31" s="1" t="s">
        <v>5</v>
      </c>
      <c r="B31" s="3" t="s">
        <v>6</v>
      </c>
      <c r="C31" s="4">
        <v>43055</v>
      </c>
      <c r="D31" s="44">
        <v>0.3520833333333333</v>
      </c>
      <c r="E31" s="37">
        <v>24.2</v>
      </c>
      <c r="F31" s="37">
        <v>34.9</v>
      </c>
      <c r="G31" s="26">
        <v>7.03</v>
      </c>
      <c r="H31" s="37">
        <v>102.2</v>
      </c>
      <c r="I31" s="26">
        <v>8.17</v>
      </c>
      <c r="J31" s="26">
        <f>AVERAGE(5.63,5.55,5.81)</f>
        <v>5.6633333333333331</v>
      </c>
      <c r="K31" s="26">
        <v>68.060251862360687</v>
      </c>
      <c r="L31" s="26">
        <v>8.4313285575278307</v>
      </c>
      <c r="M31" s="26">
        <v>3.8082824584305532</v>
      </c>
      <c r="N31" s="26">
        <v>201.46022936076326</v>
      </c>
      <c r="O31" s="26">
        <v>2.8569648952065028</v>
      </c>
      <c r="P31" s="26">
        <v>4.2843341348857651</v>
      </c>
      <c r="Q31" s="1">
        <v>1</v>
      </c>
      <c r="R31" s="3" t="s">
        <v>66</v>
      </c>
      <c r="S31" s="11" t="s">
        <v>48</v>
      </c>
    </row>
    <row r="32" spans="1:19" ht="32">
      <c r="A32" s="1" t="s">
        <v>5</v>
      </c>
      <c r="B32" s="3" t="s">
        <v>6</v>
      </c>
      <c r="C32" s="4">
        <v>43076</v>
      </c>
      <c r="D32" s="44">
        <v>0.34722222222222227</v>
      </c>
      <c r="E32" s="37">
        <v>24.6</v>
      </c>
      <c r="F32" s="37">
        <v>35</v>
      </c>
      <c r="G32" s="26">
        <v>6.67</v>
      </c>
      <c r="H32" s="37">
        <v>97.2</v>
      </c>
      <c r="I32" s="26">
        <v>8.18</v>
      </c>
      <c r="J32" s="26">
        <f>AVERAGE(4.39,4.58,4.15)</f>
        <v>4.3733333333333331</v>
      </c>
      <c r="K32" s="26"/>
      <c r="O32" s="26"/>
      <c r="P32" s="26"/>
      <c r="Q32" s="1">
        <v>3</v>
      </c>
      <c r="R32" s="3" t="s">
        <v>89</v>
      </c>
      <c r="S32" s="11" t="s">
        <v>90</v>
      </c>
    </row>
    <row r="33" spans="1:19" ht="32">
      <c r="A33" s="1" t="s">
        <v>5</v>
      </c>
      <c r="B33" s="3" t="s">
        <v>6</v>
      </c>
      <c r="C33" s="4">
        <v>43090</v>
      </c>
      <c r="D33" s="44">
        <v>0.40486111111111112</v>
      </c>
      <c r="E33" s="37">
        <v>24.7</v>
      </c>
      <c r="F33" s="37">
        <v>34.6</v>
      </c>
      <c r="G33" s="26">
        <v>6.63</v>
      </c>
      <c r="H33" s="37">
        <v>97.4</v>
      </c>
      <c r="I33" s="26">
        <v>8.09</v>
      </c>
      <c r="J33" s="26">
        <f>AVERAGE(50,50.4,49.1)</f>
        <v>49.833333333333336</v>
      </c>
      <c r="K33" s="26"/>
      <c r="O33" s="26"/>
      <c r="P33" s="26"/>
      <c r="Q33" s="1">
        <v>1</v>
      </c>
      <c r="R33" s="3" t="s">
        <v>41</v>
      </c>
      <c r="S33" s="11" t="s">
        <v>90</v>
      </c>
    </row>
    <row r="34" spans="1:19" ht="32">
      <c r="A34" s="1" t="s">
        <v>5</v>
      </c>
      <c r="B34" s="3" t="s">
        <v>6</v>
      </c>
      <c r="C34" s="4">
        <v>43111</v>
      </c>
      <c r="D34" s="44">
        <v>0.34166666666666662</v>
      </c>
      <c r="E34" s="37">
        <v>24.2</v>
      </c>
      <c r="F34" s="37">
        <v>34.799999999999997</v>
      </c>
      <c r="G34" s="26">
        <v>6.85</v>
      </c>
      <c r="H34" s="37">
        <v>99.3</v>
      </c>
      <c r="I34" s="26">
        <v>8.14</v>
      </c>
      <c r="J34" s="26">
        <f>AVERAGE(4.19,5.02,3.85)</f>
        <v>4.3533333333333335</v>
      </c>
      <c r="K34" s="26"/>
      <c r="O34" s="26"/>
      <c r="P34" s="26"/>
      <c r="Q34" s="1">
        <v>3</v>
      </c>
      <c r="R34" s="3" t="s">
        <v>103</v>
      </c>
      <c r="S34" s="11" t="s">
        <v>90</v>
      </c>
    </row>
    <row r="35" spans="1:19">
      <c r="E35" s="37"/>
      <c r="F35" s="37"/>
      <c r="G35" s="26"/>
      <c r="H35" s="37"/>
      <c r="I35" s="26"/>
      <c r="J35" s="26"/>
      <c r="K35" s="26"/>
      <c r="O35" s="26"/>
      <c r="P35" s="26"/>
      <c r="Q35" s="1"/>
      <c r="R35" s="3"/>
    </row>
    <row r="36" spans="1:19">
      <c r="E36" s="37"/>
      <c r="F36" s="37"/>
      <c r="G36" s="26"/>
      <c r="H36" s="37"/>
      <c r="I36" s="26"/>
      <c r="J36" s="26"/>
      <c r="K36" s="26"/>
      <c r="O36" s="26"/>
      <c r="P36" s="26"/>
      <c r="Q36" s="33"/>
    </row>
    <row r="37" spans="1:19">
      <c r="E37" s="37"/>
      <c r="F37" s="37"/>
      <c r="G37" s="26"/>
      <c r="H37" s="37"/>
      <c r="I37" s="26"/>
      <c r="J37" s="26"/>
      <c r="K37" s="26"/>
      <c r="O37" s="26"/>
      <c r="P37" s="26"/>
      <c r="Q37" s="33"/>
    </row>
    <row r="41" spans="1:19">
      <c r="I41" s="26">
        <f t="shared" ref="I41:P41" si="0">GEOMEAN(I2:I39)</f>
        <v>8.1177769194805514</v>
      </c>
      <c r="J41" s="21">
        <f t="shared" si="0"/>
        <v>6.4891863854152501</v>
      </c>
      <c r="K41" s="16">
        <f t="shared" si="0"/>
        <v>67.838620279895835</v>
      </c>
      <c r="L41" s="26">
        <f t="shared" ref="L41:N41" si="1">GEOMEAN(L2:L39)</f>
        <v>10.241499756635442</v>
      </c>
      <c r="M41" s="26">
        <f t="shared" si="1"/>
        <v>4.1754922027186243</v>
      </c>
      <c r="N41" s="26">
        <f t="shared" si="1"/>
        <v>106.14800861363435</v>
      </c>
      <c r="O41" s="27">
        <f t="shared" si="0"/>
        <v>4.6555119633877355</v>
      </c>
      <c r="P41" s="18">
        <f t="shared" si="0"/>
        <v>2.9217763624759727</v>
      </c>
      <c r="S41" s="11" t="s">
        <v>95</v>
      </c>
    </row>
    <row r="42" spans="1:19">
      <c r="D42" s="43">
        <f>AVERAGE(D2:D38)</f>
        <v>0.36683501683501679</v>
      </c>
      <c r="E42" s="26">
        <f>AVERAGE(E2:E38)</f>
        <v>25.960606060606054</v>
      </c>
      <c r="F42" s="26">
        <f t="shared" ref="F42:H42" si="2">AVERAGE(F2:F38)</f>
        <v>34.75151515151515</v>
      </c>
      <c r="G42" s="26">
        <f t="shared" si="2"/>
        <v>6.8045454545454529</v>
      </c>
      <c r="H42" s="26">
        <f t="shared" si="2"/>
        <v>101.8363636363636</v>
      </c>
      <c r="I42" s="16">
        <f>AVERAGE(I2:I38)</f>
        <v>8.1178787878787873</v>
      </c>
      <c r="J42" s="16">
        <f>AVERAGE(J2:J39)</f>
        <v>8.2098484848484858</v>
      </c>
      <c r="K42" s="26">
        <f t="shared" ref="K42:P42" si="3">AVERAGE(K2:K39)</f>
        <v>68.36482846284359</v>
      </c>
      <c r="L42" s="26">
        <f t="shared" ref="L42:N42" si="4">AVERAGE(L2:L39)</f>
        <v>10.73581915274942</v>
      </c>
      <c r="M42" s="26">
        <f t="shared" si="4"/>
        <v>4.2974170625516308</v>
      </c>
      <c r="N42" s="26">
        <f t="shared" si="4"/>
        <v>116.91629840083246</v>
      </c>
      <c r="O42" s="26">
        <f t="shared" si="3"/>
        <v>5.7825417414717482</v>
      </c>
      <c r="P42" s="26">
        <f t="shared" si="3"/>
        <v>3.4146460525071101</v>
      </c>
      <c r="S42" s="11" t="s">
        <v>96</v>
      </c>
    </row>
    <row r="43" spans="1:19">
      <c r="E43" s="26">
        <f>STDEV(E2:E38)</f>
        <v>1.369977051345195</v>
      </c>
      <c r="F43" s="26">
        <f t="shared" ref="F43:H43" si="5">STDEV(F2:F38)</f>
        <v>1.7521631652262728</v>
      </c>
      <c r="G43" s="26">
        <f t="shared" si="5"/>
        <v>0.17261030728733529</v>
      </c>
      <c r="H43" s="26">
        <f t="shared" si="5"/>
        <v>2.8544721690085542</v>
      </c>
      <c r="I43" s="16">
        <f>STDEV(I2:I38)</f>
        <v>4.1288434803077576E-2</v>
      </c>
      <c r="J43" s="16">
        <f>STDEV(J2:J39)</f>
        <v>8.4287332270710369</v>
      </c>
      <c r="K43" s="26">
        <f t="shared" ref="K43:P43" si="6">STDEV(K2:K39)</f>
        <v>8.5263937392057176</v>
      </c>
      <c r="L43" s="26">
        <f t="shared" ref="L43:N43" si="7">STDEV(L2:L39)</f>
        <v>3.5496700740498719</v>
      </c>
      <c r="M43" s="26">
        <f t="shared" si="7"/>
        <v>1.0519399020991702</v>
      </c>
      <c r="N43" s="26">
        <f t="shared" si="7"/>
        <v>52.522705793005137</v>
      </c>
      <c r="O43" s="26">
        <f t="shared" si="6"/>
        <v>4.1791999863018452</v>
      </c>
      <c r="P43" s="26">
        <f t="shared" si="6"/>
        <v>2.0831661015554541</v>
      </c>
      <c r="S43" s="11" t="s">
        <v>97</v>
      </c>
    </row>
    <row r="44" spans="1:19">
      <c r="J44" s="16"/>
      <c r="K44" s="16"/>
      <c r="O44" s="16"/>
      <c r="P44" s="16"/>
    </row>
    <row r="45" spans="1:19">
      <c r="J45" s="16">
        <f>J41/0.2</f>
        <v>32.445931927076245</v>
      </c>
      <c r="K45" s="16">
        <f>K41/110</f>
        <v>0.61671472981723485</v>
      </c>
      <c r="L45" s="26">
        <f>L41/16</f>
        <v>0.6400937347897151</v>
      </c>
      <c r="M45" s="26">
        <f>M41/6</f>
        <v>0.69591536711977076</v>
      </c>
      <c r="N45" s="26">
        <f>N41</f>
        <v>106.14800861363435</v>
      </c>
      <c r="O45" s="16">
        <f>O41/3.5</f>
        <v>1.3301462752536388</v>
      </c>
      <c r="P45" s="16">
        <f>P41/2</f>
        <v>1.4608881812379864</v>
      </c>
      <c r="S45" s="11" t="s">
        <v>100</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45"/>
  <sheetViews>
    <sheetView workbookViewId="0">
      <pane xSplit="3" ySplit="1" topLeftCell="K23" activePane="bottomRight" state="frozen"/>
      <selection pane="topRight" activeCell="D1" sqref="D1"/>
      <selection pane="bottomLeft" activeCell="A2" sqref="A2"/>
      <selection pane="bottomRight" activeCell="A26" sqref="A26:XFD26"/>
    </sheetView>
  </sheetViews>
  <sheetFormatPr baseColWidth="10" defaultRowHeight="16"/>
  <cols>
    <col min="1" max="1" width="16.140625" style="1" customWidth="1"/>
    <col min="2" max="2" width="10.7109375" style="3"/>
    <col min="3" max="4" width="10.7109375" style="1"/>
    <col min="5" max="5" width="13.140625" style="10" customWidth="1"/>
    <col min="6" max="6" width="10.7109375" style="10"/>
    <col min="7" max="7" width="10.7109375" style="8"/>
    <col min="8" max="8" width="10.7109375" style="10"/>
    <col min="9" max="10" width="10.7109375" style="8"/>
    <col min="11" max="11" width="10.7109375" style="16"/>
    <col min="12" max="12" width="10.7109375" style="26"/>
    <col min="13" max="13" width="12.140625" style="26" customWidth="1"/>
    <col min="14" max="14" width="10.7109375" style="26"/>
    <col min="15" max="16" width="10.7109375" style="16"/>
    <col min="17" max="17" width="11.7109375" style="30" customWidth="1"/>
    <col min="18" max="18" width="12" style="35" customWidth="1"/>
    <col min="19" max="19" width="51.42578125" style="11" customWidth="1"/>
    <col min="20" max="16384" width="10.7109375" style="1"/>
  </cols>
  <sheetData>
    <row r="1" spans="1:19" ht="32">
      <c r="A1" s="2" t="s">
        <v>24</v>
      </c>
      <c r="B1" s="2" t="s">
        <v>26</v>
      </c>
      <c r="C1" s="2" t="s">
        <v>45</v>
      </c>
      <c r="D1" s="2" t="s">
        <v>46</v>
      </c>
      <c r="E1" s="9" t="s">
        <v>47</v>
      </c>
      <c r="F1" s="9" t="s">
        <v>50</v>
      </c>
      <c r="G1" s="15" t="s">
        <v>51</v>
      </c>
      <c r="H1" s="9" t="s">
        <v>52</v>
      </c>
      <c r="I1" s="15" t="s">
        <v>55</v>
      </c>
      <c r="J1" s="15" t="s">
        <v>56</v>
      </c>
      <c r="K1" s="2" t="s">
        <v>57</v>
      </c>
      <c r="L1" s="2" t="s">
        <v>60</v>
      </c>
      <c r="M1" s="2" t="s">
        <v>61</v>
      </c>
      <c r="N1" s="2" t="s">
        <v>62</v>
      </c>
      <c r="O1" s="2" t="s">
        <v>58</v>
      </c>
      <c r="P1" s="2" t="s">
        <v>59</v>
      </c>
      <c r="Q1" s="29" t="s">
        <v>63</v>
      </c>
      <c r="R1" s="32" t="s">
        <v>78</v>
      </c>
      <c r="S1" s="2" t="s">
        <v>79</v>
      </c>
    </row>
    <row r="2" spans="1:19" ht="32">
      <c r="A2" s="1" t="s">
        <v>7</v>
      </c>
      <c r="B2" s="3" t="s">
        <v>11</v>
      </c>
      <c r="C2" s="4">
        <v>42537</v>
      </c>
      <c r="D2" s="5">
        <v>0.41666666666666669</v>
      </c>
      <c r="E2" s="10">
        <v>26</v>
      </c>
      <c r="F2" s="10">
        <v>36</v>
      </c>
      <c r="G2" s="8">
        <v>7.01</v>
      </c>
      <c r="H2" s="10">
        <v>104.6</v>
      </c>
      <c r="I2" s="8">
        <v>8.07</v>
      </c>
      <c r="J2" s="8">
        <v>5.37</v>
      </c>
      <c r="K2" s="26">
        <v>122.85</v>
      </c>
      <c r="L2" s="26">
        <v>20.399999999999999</v>
      </c>
      <c r="M2" s="26">
        <v>6.52</v>
      </c>
      <c r="N2" s="26">
        <v>145.4</v>
      </c>
      <c r="O2" s="26">
        <v>3.26</v>
      </c>
      <c r="P2" s="26">
        <v>4.45</v>
      </c>
      <c r="Q2" s="30">
        <v>1</v>
      </c>
      <c r="R2" s="35" t="s">
        <v>77</v>
      </c>
      <c r="S2" s="11" t="s">
        <v>18</v>
      </c>
    </row>
    <row r="3" spans="1:19" ht="32">
      <c r="A3" s="1" t="s">
        <v>7</v>
      </c>
      <c r="B3" s="3" t="s">
        <v>11</v>
      </c>
      <c r="C3" s="4">
        <v>42551</v>
      </c>
      <c r="D3" s="5">
        <v>0.38541666666666669</v>
      </c>
      <c r="E3" s="10">
        <v>27.7</v>
      </c>
      <c r="F3" s="10">
        <v>29.5</v>
      </c>
      <c r="G3" s="8">
        <v>6.7</v>
      </c>
      <c r="H3" s="10">
        <v>103.1</v>
      </c>
      <c r="I3" s="8">
        <v>8.07</v>
      </c>
      <c r="J3" s="8">
        <v>4.54</v>
      </c>
      <c r="K3" s="16">
        <v>60.96</v>
      </c>
      <c r="L3" s="26">
        <v>12.42</v>
      </c>
      <c r="M3" s="26">
        <v>4.49</v>
      </c>
      <c r="N3" s="26">
        <v>72.63</v>
      </c>
      <c r="O3" s="16">
        <v>0.41</v>
      </c>
      <c r="P3" s="16">
        <v>3.48</v>
      </c>
      <c r="Q3" s="30">
        <v>1</v>
      </c>
      <c r="R3" s="35" t="s">
        <v>77</v>
      </c>
      <c r="S3" s="11" t="s">
        <v>18</v>
      </c>
    </row>
    <row r="4" spans="1:19" ht="32">
      <c r="A4" s="1" t="s">
        <v>7</v>
      </c>
      <c r="B4" s="3" t="s">
        <v>11</v>
      </c>
      <c r="C4" s="4">
        <v>42565</v>
      </c>
      <c r="D4" s="5">
        <v>0.40833333333333338</v>
      </c>
      <c r="E4" s="10">
        <v>28.4</v>
      </c>
      <c r="F4" s="10">
        <v>37.5</v>
      </c>
      <c r="G4" s="8">
        <v>6.69</v>
      </c>
      <c r="H4" s="10">
        <v>106.7</v>
      </c>
      <c r="I4" s="8">
        <v>8.0500000000000007</v>
      </c>
      <c r="J4" s="8">
        <v>2.41</v>
      </c>
      <c r="K4" s="16">
        <v>59.677599345121109</v>
      </c>
      <c r="L4" s="26">
        <v>12.448011916955267</v>
      </c>
      <c r="M4" s="26">
        <v>4.420480468634989</v>
      </c>
      <c r="N4" s="26">
        <v>149.81520968592383</v>
      </c>
      <c r="O4" s="16">
        <v>1.3037972903609831</v>
      </c>
      <c r="P4" s="16">
        <v>1.9171864019851124</v>
      </c>
      <c r="Q4" s="30">
        <v>1</v>
      </c>
      <c r="R4" s="35" t="s">
        <v>77</v>
      </c>
      <c r="S4" s="11" t="s">
        <v>19</v>
      </c>
    </row>
    <row r="5" spans="1:19" ht="32">
      <c r="A5" s="1" t="s">
        <v>7</v>
      </c>
      <c r="B5" s="3" t="s">
        <v>11</v>
      </c>
      <c r="C5" s="4">
        <v>42579</v>
      </c>
      <c r="D5" s="5">
        <v>0.39583333333333331</v>
      </c>
      <c r="E5" s="10">
        <v>26.8</v>
      </c>
      <c r="F5" s="10">
        <v>35.299999999999997</v>
      </c>
      <c r="G5" s="8">
        <v>6.86</v>
      </c>
      <c r="H5" s="10">
        <v>104.2</v>
      </c>
      <c r="I5" s="8">
        <v>8.11</v>
      </c>
      <c r="J5" s="8">
        <f>AVERAGE(1.57,1.49,1.93)</f>
        <v>1.6633333333333333</v>
      </c>
      <c r="K5" s="16">
        <v>71.576754618292483</v>
      </c>
      <c r="L5" s="26">
        <v>11.407365854565528</v>
      </c>
      <c r="M5" s="26">
        <v>2.8459372984430709</v>
      </c>
      <c r="N5" s="26">
        <v>156.17224379288982</v>
      </c>
      <c r="O5" s="16">
        <v>1.9651466870620287</v>
      </c>
      <c r="P5" s="38">
        <v>7.4309135876959056</v>
      </c>
      <c r="Q5" s="30">
        <v>1</v>
      </c>
      <c r="R5" s="3" t="s">
        <v>76</v>
      </c>
      <c r="S5" s="11" t="s">
        <v>22</v>
      </c>
    </row>
    <row r="6" spans="1:19" ht="32">
      <c r="A6" s="1" t="s">
        <v>7</v>
      </c>
      <c r="B6" s="3" t="s">
        <v>11</v>
      </c>
      <c r="C6" s="4">
        <v>42593</v>
      </c>
      <c r="D6" s="5">
        <v>0.40277777777777773</v>
      </c>
      <c r="E6" s="10">
        <v>27.3</v>
      </c>
      <c r="F6" s="10">
        <v>35.299999999999997</v>
      </c>
      <c r="G6" s="8">
        <v>7.17</v>
      </c>
      <c r="H6" s="10">
        <v>109.9</v>
      </c>
      <c r="I6" s="8">
        <v>8.14</v>
      </c>
      <c r="J6" s="8">
        <f>AVERAGE(2.44,2.17,2.39)</f>
        <v>2.3333333333333335</v>
      </c>
      <c r="K6" s="16">
        <v>50.554125430003161</v>
      </c>
      <c r="L6" s="26">
        <v>8.5158154039331944</v>
      </c>
      <c r="M6" s="26">
        <v>4.0617881618252438</v>
      </c>
      <c r="N6" s="26">
        <v>180.81120254479728</v>
      </c>
      <c r="O6" s="16">
        <v>3.0553658937957491</v>
      </c>
      <c r="P6" s="18">
        <v>1.5</v>
      </c>
      <c r="Q6" s="30">
        <v>1</v>
      </c>
      <c r="R6" s="3" t="s">
        <v>76</v>
      </c>
      <c r="S6" s="11" t="s">
        <v>85</v>
      </c>
    </row>
    <row r="7" spans="1:19" ht="32">
      <c r="A7" s="1" t="s">
        <v>7</v>
      </c>
      <c r="B7" s="3" t="s">
        <v>11</v>
      </c>
      <c r="C7" s="4">
        <v>42607</v>
      </c>
      <c r="D7" s="5">
        <v>0.3576388888888889</v>
      </c>
      <c r="E7" s="10">
        <v>27.9</v>
      </c>
      <c r="F7" s="10">
        <v>36</v>
      </c>
      <c r="G7" s="8">
        <v>6.57</v>
      </c>
      <c r="H7" s="10">
        <v>101.9</v>
      </c>
      <c r="I7" s="8">
        <v>8.0500000000000007</v>
      </c>
      <c r="J7" s="8">
        <f>AVERAGE(3.13,2.94,2.83)</f>
        <v>2.9666666666666668</v>
      </c>
      <c r="K7" s="16">
        <v>59.457565493414656</v>
      </c>
      <c r="L7" s="26">
        <v>12.405572134288704</v>
      </c>
      <c r="M7" s="26">
        <v>4.0840499013653853</v>
      </c>
      <c r="N7" s="26">
        <v>164.98526142688587</v>
      </c>
      <c r="O7" s="16">
        <v>4.2235109134791946</v>
      </c>
      <c r="P7" s="18">
        <v>1.5</v>
      </c>
      <c r="Q7" s="30">
        <v>2</v>
      </c>
      <c r="R7" s="35" t="s">
        <v>77</v>
      </c>
      <c r="S7" s="11" t="s">
        <v>83</v>
      </c>
    </row>
    <row r="8" spans="1:19">
      <c r="A8" s="1" t="s">
        <v>7</v>
      </c>
      <c r="B8" s="3" t="s">
        <v>11</v>
      </c>
      <c r="C8" s="4">
        <v>42621</v>
      </c>
      <c r="S8" s="11" t="s">
        <v>38</v>
      </c>
    </row>
    <row r="9" spans="1:19" ht="32">
      <c r="A9" s="1" t="s">
        <v>7</v>
      </c>
      <c r="B9" s="3" t="s">
        <v>11</v>
      </c>
      <c r="C9" s="4">
        <v>42635</v>
      </c>
      <c r="D9" s="5">
        <v>0.3923611111111111</v>
      </c>
      <c r="E9" s="10">
        <v>27.6</v>
      </c>
      <c r="F9" s="10">
        <v>36.1</v>
      </c>
      <c r="G9" s="8">
        <v>6.5</v>
      </c>
      <c r="H9" s="10">
        <v>100.6</v>
      </c>
      <c r="I9" s="8">
        <v>8.0299999999999994</v>
      </c>
      <c r="J9" s="8">
        <f>AVERAGE(12.3,14.3,12.5)</f>
        <v>13.033333333333333</v>
      </c>
      <c r="K9" s="16">
        <v>69.158360354085175</v>
      </c>
      <c r="L9" s="26">
        <v>11.453585783455999</v>
      </c>
      <c r="M9" s="26">
        <v>5.6777369871284353</v>
      </c>
      <c r="N9" s="26">
        <v>303.00729038900829</v>
      </c>
      <c r="O9" s="16">
        <v>8.8229376934781456</v>
      </c>
      <c r="P9" s="38">
        <v>11.871447792706334</v>
      </c>
      <c r="Q9" s="30">
        <v>1</v>
      </c>
      <c r="R9" s="35" t="s">
        <v>77</v>
      </c>
      <c r="S9" s="11" t="s">
        <v>39</v>
      </c>
    </row>
    <row r="10" spans="1:19" ht="32">
      <c r="A10" s="1" t="s">
        <v>7</v>
      </c>
      <c r="B10" s="3" t="s">
        <v>11</v>
      </c>
      <c r="C10" s="4">
        <v>42649</v>
      </c>
      <c r="D10" s="5">
        <v>0.39027777777777778</v>
      </c>
      <c r="E10" s="10">
        <v>28.1</v>
      </c>
      <c r="F10" s="10">
        <v>34.9</v>
      </c>
      <c r="G10" s="8">
        <v>6.47</v>
      </c>
      <c r="H10" s="10">
        <v>100.2</v>
      </c>
      <c r="I10" s="8">
        <v>8.1</v>
      </c>
      <c r="J10" s="8">
        <f>AVERAGE(3.99,4.13,4.08)</f>
        <v>4.0666666666666673</v>
      </c>
      <c r="K10" s="16">
        <v>55.667788301179378</v>
      </c>
      <c r="L10" s="26">
        <v>12.383259954191063</v>
      </c>
      <c r="M10" s="26">
        <v>4.6360098188735632</v>
      </c>
      <c r="N10" s="26">
        <v>110.70212217715834</v>
      </c>
      <c r="O10" s="16">
        <v>2.5270512356367054</v>
      </c>
      <c r="P10" s="16">
        <v>7.0400389373582275</v>
      </c>
      <c r="Q10" s="30">
        <v>2</v>
      </c>
      <c r="R10" s="3" t="s">
        <v>76</v>
      </c>
      <c r="S10" s="11" t="s">
        <v>39</v>
      </c>
    </row>
    <row r="11" spans="1:19" ht="32">
      <c r="A11" s="1" t="s">
        <v>7</v>
      </c>
      <c r="B11" s="3" t="s">
        <v>11</v>
      </c>
      <c r="C11" s="4">
        <v>42663</v>
      </c>
      <c r="D11" s="5">
        <v>0.38194444444444442</v>
      </c>
      <c r="E11" s="10">
        <v>26</v>
      </c>
      <c r="F11" s="10">
        <v>35.9</v>
      </c>
      <c r="G11" s="8">
        <v>6.6</v>
      </c>
      <c r="H11" s="10">
        <v>98.9</v>
      </c>
      <c r="I11" s="8">
        <v>8.09</v>
      </c>
      <c r="J11" s="8">
        <f>AVERAGE(4.3,4.04,4.79)</f>
        <v>4.376666666666666</v>
      </c>
      <c r="K11" s="16">
        <v>64.654659176551249</v>
      </c>
      <c r="L11" s="26">
        <v>9.36026154935184</v>
      </c>
      <c r="M11" s="26">
        <v>5.4014875735069268</v>
      </c>
      <c r="N11" s="26">
        <v>185.87435212612945</v>
      </c>
      <c r="O11" s="16">
        <v>2.3693699458235149</v>
      </c>
      <c r="P11" s="16">
        <v>3.1827934020934325</v>
      </c>
      <c r="Q11" s="30">
        <v>1</v>
      </c>
      <c r="R11" s="35" t="s">
        <v>77</v>
      </c>
      <c r="S11" s="11" t="s">
        <v>39</v>
      </c>
    </row>
    <row r="12" spans="1:19" ht="32">
      <c r="A12" s="1" t="s">
        <v>7</v>
      </c>
      <c r="B12" s="3" t="s">
        <v>11</v>
      </c>
      <c r="C12" s="4">
        <v>42677</v>
      </c>
      <c r="D12" s="5">
        <v>0.37638888888888888</v>
      </c>
      <c r="E12" s="10">
        <v>25.7</v>
      </c>
      <c r="F12" s="10">
        <v>34.700000000000003</v>
      </c>
      <c r="G12" s="8">
        <v>6.87</v>
      </c>
      <c r="H12" s="10">
        <v>101.9</v>
      </c>
      <c r="I12" s="8">
        <v>8.17</v>
      </c>
      <c r="J12" s="8">
        <f>AVERAGE(3.77,3.5,3.4)</f>
        <v>3.5566666666666666</v>
      </c>
      <c r="K12" s="16">
        <v>58.911656078437439</v>
      </c>
      <c r="L12" s="26">
        <v>16.344628197098892</v>
      </c>
      <c r="M12" s="26">
        <v>4.9434704912470311</v>
      </c>
      <c r="N12" s="26">
        <v>164.01009595671798</v>
      </c>
      <c r="O12" s="16">
        <v>2.3117977870282531</v>
      </c>
      <c r="P12" s="16">
        <v>3.1840247797247541</v>
      </c>
      <c r="Q12" s="1">
        <v>2</v>
      </c>
      <c r="R12" s="3" t="s">
        <v>76</v>
      </c>
      <c r="S12" s="11" t="s">
        <v>93</v>
      </c>
    </row>
    <row r="13" spans="1:19" ht="32">
      <c r="A13" s="1" t="s">
        <v>7</v>
      </c>
      <c r="B13" s="3" t="s">
        <v>11</v>
      </c>
      <c r="C13" s="4">
        <v>42691</v>
      </c>
      <c r="D13" s="5">
        <v>0.3923611111111111</v>
      </c>
      <c r="E13" s="10">
        <v>25.7</v>
      </c>
      <c r="F13" s="10">
        <v>34.6</v>
      </c>
      <c r="G13" s="26">
        <v>6.56</v>
      </c>
      <c r="H13" s="10">
        <v>97.4</v>
      </c>
      <c r="I13" s="26">
        <v>8.06</v>
      </c>
      <c r="J13" s="26">
        <f>AVERAGE(2.24,2.37,2.38)</f>
        <v>2.33</v>
      </c>
      <c r="K13" s="26">
        <v>59.462435316580773</v>
      </c>
      <c r="L13" s="26">
        <v>3.9546882072728899</v>
      </c>
      <c r="M13" s="26">
        <v>3.3526305368845768</v>
      </c>
      <c r="N13" s="26">
        <v>165.42712450020449</v>
      </c>
      <c r="O13" s="26">
        <v>6.7097244456978862</v>
      </c>
      <c r="P13" s="27">
        <v>1.5</v>
      </c>
      <c r="Q13" s="1">
        <v>2</v>
      </c>
      <c r="R13" s="3" t="s">
        <v>76</v>
      </c>
      <c r="S13" s="11" t="s">
        <v>93</v>
      </c>
    </row>
    <row r="14" spans="1:19" ht="32">
      <c r="A14" s="1" t="s">
        <v>7</v>
      </c>
      <c r="B14" s="3" t="s">
        <v>11</v>
      </c>
      <c r="C14" s="4">
        <v>42705</v>
      </c>
      <c r="D14" s="5">
        <v>0.37847222222222227</v>
      </c>
      <c r="E14" s="10">
        <v>24.2</v>
      </c>
      <c r="F14" s="10">
        <v>34.700000000000003</v>
      </c>
      <c r="G14" s="26">
        <v>6.71</v>
      </c>
      <c r="H14" s="10">
        <v>97</v>
      </c>
      <c r="I14" s="26">
        <v>8.11</v>
      </c>
      <c r="J14" s="26">
        <f>AVERAGE(5.13,5.4,5.58)</f>
        <v>5.37</v>
      </c>
      <c r="K14" s="26">
        <v>57.890800569003865</v>
      </c>
      <c r="L14" s="26">
        <v>3.824875396651283</v>
      </c>
      <c r="M14" s="26">
        <v>2.5061976649934152</v>
      </c>
      <c r="N14" s="26">
        <v>171.20261651524208</v>
      </c>
      <c r="O14" s="26">
        <v>2.6039613249589539</v>
      </c>
      <c r="P14" s="27">
        <v>1.5</v>
      </c>
      <c r="Q14" s="1">
        <v>2</v>
      </c>
      <c r="R14" s="3" t="s">
        <v>76</v>
      </c>
      <c r="S14" s="11" t="s">
        <v>93</v>
      </c>
    </row>
    <row r="15" spans="1:19" ht="32">
      <c r="A15" s="1" t="s">
        <v>7</v>
      </c>
      <c r="B15" s="3" t="s">
        <v>11</v>
      </c>
      <c r="C15" s="4">
        <v>42719</v>
      </c>
      <c r="D15" s="5">
        <v>0.39583333333333331</v>
      </c>
      <c r="E15" s="10">
        <v>25.3</v>
      </c>
      <c r="F15" s="10">
        <v>34.9</v>
      </c>
      <c r="G15" s="26">
        <v>6.77</v>
      </c>
      <c r="H15" s="10">
        <v>100.5</v>
      </c>
      <c r="I15" s="26">
        <v>7.97</v>
      </c>
      <c r="J15" s="26">
        <f>AVERAGE(5.21,4.92,5.37)</f>
        <v>5.166666666666667</v>
      </c>
      <c r="K15" s="26">
        <v>59.82317464023653</v>
      </c>
      <c r="L15" s="26">
        <v>10.644366841754323</v>
      </c>
      <c r="M15" s="26">
        <v>5.0513459136996266</v>
      </c>
      <c r="N15" s="26">
        <v>171.00682558176027</v>
      </c>
      <c r="O15" s="38">
        <v>16.613393913252651</v>
      </c>
      <c r="P15" s="26">
        <v>2.9113895300416415</v>
      </c>
      <c r="Q15" s="1">
        <v>1</v>
      </c>
      <c r="R15" s="3" t="s">
        <v>76</v>
      </c>
      <c r="S15" s="11" t="s">
        <v>93</v>
      </c>
    </row>
    <row r="16" spans="1:19" ht="32">
      <c r="A16" s="1" t="s">
        <v>7</v>
      </c>
      <c r="B16" s="3" t="s">
        <v>11</v>
      </c>
      <c r="C16" s="4">
        <v>42740</v>
      </c>
      <c r="D16" s="5">
        <v>0.34375</v>
      </c>
      <c r="E16" s="10">
        <v>24.3</v>
      </c>
      <c r="F16" s="10">
        <v>35.299999999999997</v>
      </c>
      <c r="G16" s="34">
        <v>8.1199999999999992</v>
      </c>
      <c r="H16" s="10">
        <v>96.7</v>
      </c>
      <c r="I16" s="34">
        <v>8.0399999999999991</v>
      </c>
      <c r="J16" s="26">
        <f>AVERAGE(8.35,8.79,8.93)</f>
        <v>8.69</v>
      </c>
      <c r="K16" s="26">
        <v>72.552033188782559</v>
      </c>
      <c r="L16" s="26">
        <v>14.424559854755366</v>
      </c>
      <c r="M16" s="26">
        <v>5.1746836245851284</v>
      </c>
      <c r="N16" s="26">
        <v>103.37236329670449</v>
      </c>
      <c r="O16" s="26">
        <v>9.0683695674629803</v>
      </c>
      <c r="P16" s="26">
        <v>1.6057981689112382</v>
      </c>
      <c r="Q16" s="1">
        <v>2</v>
      </c>
      <c r="R16" s="3" t="s">
        <v>76</v>
      </c>
      <c r="S16" s="11" t="s">
        <v>93</v>
      </c>
    </row>
    <row r="17" spans="1:19" ht="32">
      <c r="A17" s="1" t="s">
        <v>7</v>
      </c>
      <c r="B17" s="3" t="s">
        <v>11</v>
      </c>
      <c r="C17" s="4">
        <v>42761</v>
      </c>
      <c r="D17" s="5">
        <v>0.38194444444444442</v>
      </c>
      <c r="E17" s="10">
        <v>23.5</v>
      </c>
      <c r="F17" s="10">
        <v>35.200000000000003</v>
      </c>
      <c r="G17" s="26">
        <v>7.02</v>
      </c>
      <c r="H17" s="10">
        <v>100.3</v>
      </c>
      <c r="I17" s="34">
        <v>8.08</v>
      </c>
      <c r="J17" s="26">
        <f>AVERAGE(3.73,4.24,3.66)</f>
        <v>3.8766666666666669</v>
      </c>
      <c r="K17" s="26">
        <v>72.524830361415852</v>
      </c>
      <c r="L17" s="26">
        <v>15.617692959531615</v>
      </c>
      <c r="M17" s="26">
        <v>5.5030925451694914</v>
      </c>
      <c r="N17" s="26">
        <v>84.726870612457788</v>
      </c>
      <c r="O17" s="26">
        <v>2.2433336861043451</v>
      </c>
      <c r="P17" s="26">
        <v>5.6413551622618225</v>
      </c>
      <c r="Q17" s="1">
        <v>1</v>
      </c>
      <c r="R17" s="3" t="s">
        <v>76</v>
      </c>
      <c r="S17" s="11" t="s">
        <v>93</v>
      </c>
    </row>
    <row r="18" spans="1:19" ht="32">
      <c r="A18" s="1" t="s">
        <v>7</v>
      </c>
      <c r="B18" s="3" t="s">
        <v>11</v>
      </c>
      <c r="C18" s="4">
        <v>42783</v>
      </c>
      <c r="D18" s="5">
        <v>0.38472222222222219</v>
      </c>
      <c r="E18" s="10">
        <v>25.5</v>
      </c>
      <c r="F18" s="10">
        <v>35.1</v>
      </c>
      <c r="G18" s="8">
        <v>6.73</v>
      </c>
      <c r="H18" s="10">
        <v>99.6</v>
      </c>
      <c r="I18" s="8">
        <v>8.15</v>
      </c>
      <c r="J18" s="8">
        <f>AVERAGE(3.24,4.1,3.76)</f>
        <v>3.6999999999999997</v>
      </c>
      <c r="K18" s="16">
        <v>76.729221245120598</v>
      </c>
      <c r="L18" s="26">
        <v>9.1263124865813303</v>
      </c>
      <c r="M18" s="26">
        <v>6.2498751967796604</v>
      </c>
      <c r="N18" s="26">
        <v>127.74721740846164</v>
      </c>
      <c r="O18" s="16">
        <v>10.405065879987296</v>
      </c>
      <c r="P18" s="16">
        <v>8.0277383413950147</v>
      </c>
      <c r="Q18" s="30">
        <v>2</v>
      </c>
      <c r="R18" s="35" t="s">
        <v>32</v>
      </c>
      <c r="S18" s="11" t="s">
        <v>93</v>
      </c>
    </row>
    <row r="19" spans="1:19" ht="32">
      <c r="A19" s="1" t="s">
        <v>7</v>
      </c>
      <c r="B19" s="3" t="s">
        <v>11</v>
      </c>
      <c r="C19" s="4">
        <v>42803</v>
      </c>
      <c r="D19" s="5">
        <v>0.36458333333333331</v>
      </c>
      <c r="E19" s="10">
        <v>25.4</v>
      </c>
      <c r="F19" s="10">
        <v>34.5</v>
      </c>
      <c r="G19" s="26">
        <v>6.78</v>
      </c>
      <c r="H19" s="10">
        <v>100.5</v>
      </c>
      <c r="I19" s="26">
        <v>8.14</v>
      </c>
      <c r="J19" s="26">
        <f>AVERAGE(6.75,7.44,6.48)</f>
        <v>6.8900000000000006</v>
      </c>
      <c r="K19" s="26">
        <v>65.087220663269619</v>
      </c>
      <c r="L19" s="26">
        <v>6.7968451263133858</v>
      </c>
      <c r="M19" s="26">
        <v>4.8967417805932199</v>
      </c>
      <c r="N19" s="26">
        <v>64.402635659891061</v>
      </c>
      <c r="O19" s="26">
        <v>6.2741694888347936</v>
      </c>
      <c r="P19" s="26">
        <v>5.7655334724882108</v>
      </c>
      <c r="Q19" s="1">
        <v>1</v>
      </c>
      <c r="R19" s="3" t="s">
        <v>73</v>
      </c>
      <c r="S19" s="11" t="s">
        <v>93</v>
      </c>
    </row>
    <row r="20" spans="1:19" ht="32">
      <c r="A20" s="1" t="s">
        <v>7</v>
      </c>
      <c r="B20" s="3" t="s">
        <v>11</v>
      </c>
      <c r="C20" s="4">
        <v>42824</v>
      </c>
      <c r="D20" s="5">
        <v>0.3888888888888889</v>
      </c>
      <c r="E20" s="10">
        <v>26.5</v>
      </c>
      <c r="F20" s="10">
        <v>34.4</v>
      </c>
      <c r="G20" s="26">
        <v>6.79</v>
      </c>
      <c r="H20" s="10">
        <v>101.9</v>
      </c>
      <c r="I20" s="26">
        <v>8.1300000000000008</v>
      </c>
      <c r="J20" s="26">
        <f>AVERAGE(4.01,4.01,3.86)</f>
        <v>3.9599999999999995</v>
      </c>
      <c r="K20" s="26">
        <v>63.570448776809741</v>
      </c>
      <c r="L20" s="26">
        <v>9.1833591925608413</v>
      </c>
      <c r="M20" s="26">
        <v>5.4484055352493996</v>
      </c>
      <c r="N20" s="26">
        <v>65.902878638178578</v>
      </c>
      <c r="O20" s="26">
        <v>1.9031298092514521</v>
      </c>
      <c r="P20" s="26">
        <v>6.91181871160122</v>
      </c>
      <c r="Q20" s="1">
        <v>1</v>
      </c>
      <c r="R20" s="3" t="s">
        <v>73</v>
      </c>
      <c r="S20" s="11" t="s">
        <v>93</v>
      </c>
    </row>
    <row r="21" spans="1:19" ht="32">
      <c r="A21" s="1" t="s">
        <v>7</v>
      </c>
      <c r="B21" s="3" t="s">
        <v>11</v>
      </c>
      <c r="C21" s="4">
        <v>42845</v>
      </c>
      <c r="D21" s="5">
        <v>0.3611111111111111</v>
      </c>
      <c r="E21" s="10">
        <v>26.7</v>
      </c>
      <c r="F21" s="10">
        <v>34.6</v>
      </c>
      <c r="G21" s="26">
        <v>6.5</v>
      </c>
      <c r="H21" s="10">
        <v>98.2</v>
      </c>
      <c r="I21" s="26">
        <v>8.11</v>
      </c>
      <c r="J21" s="26">
        <f>AVERAGE(5.84,4.92,5.16)</f>
        <v>5.3066666666666666</v>
      </c>
      <c r="K21" s="26">
        <v>81.484515262741695</v>
      </c>
      <c r="L21" s="26">
        <v>6.0636087280737199</v>
      </c>
      <c r="M21" s="26">
        <v>4.2228458367022865</v>
      </c>
      <c r="N21" s="26">
        <v>90.270898154854521</v>
      </c>
      <c r="O21" s="26">
        <v>3.1603281121849673</v>
      </c>
      <c r="P21" s="26">
        <v>3.3720860073621077</v>
      </c>
      <c r="Q21" s="1">
        <v>1</v>
      </c>
      <c r="R21" s="3" t="s">
        <v>73</v>
      </c>
      <c r="S21" s="11" t="s">
        <v>93</v>
      </c>
    </row>
    <row r="22" spans="1:19" ht="32">
      <c r="A22" s="1" t="s">
        <v>7</v>
      </c>
      <c r="B22" s="3" t="s">
        <v>11</v>
      </c>
      <c r="C22" s="4">
        <v>42866</v>
      </c>
      <c r="D22" s="5">
        <v>0.37916666666666665</v>
      </c>
      <c r="E22" s="10">
        <v>25.1</v>
      </c>
      <c r="F22" s="10">
        <v>34.4</v>
      </c>
      <c r="G22" s="8">
        <v>6.98</v>
      </c>
      <c r="H22" s="10">
        <v>102.7</v>
      </c>
      <c r="I22" s="8">
        <v>8.1999999999999993</v>
      </c>
      <c r="J22" s="8">
        <f>AVERAGE(3.09,3.93,3.5)</f>
        <v>3.5066666666666664</v>
      </c>
      <c r="K22" s="26">
        <v>67.965526628244817</v>
      </c>
      <c r="L22" s="26">
        <v>9.753390112568443</v>
      </c>
      <c r="M22" s="26">
        <v>5.0459377858961894</v>
      </c>
      <c r="N22" s="26">
        <v>79.390659928724006</v>
      </c>
      <c r="O22" s="26">
        <v>1.6293952219236627</v>
      </c>
      <c r="P22" s="26">
        <v>2.5824398109887863</v>
      </c>
      <c r="Q22" s="1">
        <v>1</v>
      </c>
      <c r="R22" s="3" t="s">
        <v>27</v>
      </c>
      <c r="S22" s="11" t="s">
        <v>93</v>
      </c>
    </row>
    <row r="23" spans="1:19" ht="32">
      <c r="A23" s="1" t="s">
        <v>7</v>
      </c>
      <c r="B23" s="3" t="s">
        <v>11</v>
      </c>
      <c r="C23" s="4">
        <v>42887</v>
      </c>
      <c r="D23" s="5">
        <v>0.38194444444444442</v>
      </c>
      <c r="E23" s="37">
        <v>25.8</v>
      </c>
      <c r="F23" s="37">
        <v>34.700000000000003</v>
      </c>
      <c r="G23" s="26">
        <v>6.96</v>
      </c>
      <c r="H23" s="37">
        <v>103.6</v>
      </c>
      <c r="I23" s="26">
        <v>8.16</v>
      </c>
      <c r="J23" s="26">
        <f>AVERAGE(2.48,3.04,2.93)</f>
        <v>2.8166666666666664</v>
      </c>
      <c r="K23" s="26">
        <v>65.599125564899396</v>
      </c>
      <c r="L23" s="26">
        <v>9.2085300137746433</v>
      </c>
      <c r="M23" s="26">
        <v>3.6530602744986158</v>
      </c>
      <c r="N23" s="26">
        <v>71.591351362318292</v>
      </c>
      <c r="O23" s="26">
        <v>2.5406217012888712</v>
      </c>
      <c r="P23" s="26">
        <v>1.5863135121203393</v>
      </c>
      <c r="Q23" s="1">
        <v>1</v>
      </c>
      <c r="R23" s="3" t="s">
        <v>21</v>
      </c>
      <c r="S23" s="11" t="s">
        <v>93</v>
      </c>
    </row>
    <row r="24" spans="1:19" ht="32">
      <c r="A24" s="1" t="s">
        <v>7</v>
      </c>
      <c r="B24" s="3" t="s">
        <v>11</v>
      </c>
      <c r="C24" s="4">
        <v>42908</v>
      </c>
      <c r="D24" s="5">
        <v>0.38194444444444442</v>
      </c>
      <c r="E24" s="37">
        <v>26.1</v>
      </c>
      <c r="F24" s="37">
        <v>34.700000000000003</v>
      </c>
      <c r="G24" s="26">
        <v>6.75</v>
      </c>
      <c r="H24" s="37">
        <v>101.4</v>
      </c>
      <c r="I24" s="26">
        <v>8.1300000000000008</v>
      </c>
      <c r="J24" s="26">
        <f>AVERAGE(3.71,3.93,3.86)</f>
        <v>3.8333333333333335</v>
      </c>
      <c r="K24" s="26">
        <v>67.443341773389776</v>
      </c>
      <c r="L24" s="26">
        <v>7.2584819870349548</v>
      </c>
      <c r="M24" s="26">
        <v>5.1379090175774422</v>
      </c>
      <c r="N24" s="26">
        <v>48.610447945776258</v>
      </c>
      <c r="O24" s="26">
        <v>4.005687389172838</v>
      </c>
      <c r="P24" s="26">
        <v>1.4506752698908236</v>
      </c>
      <c r="Q24" s="1">
        <v>1</v>
      </c>
      <c r="R24" s="3" t="s">
        <v>40</v>
      </c>
      <c r="S24" s="11" t="s">
        <v>93</v>
      </c>
    </row>
    <row r="25" spans="1:19" ht="32">
      <c r="A25" s="1" t="s">
        <v>7</v>
      </c>
      <c r="B25" s="3" t="s">
        <v>11</v>
      </c>
      <c r="C25" s="4">
        <v>42929</v>
      </c>
      <c r="D25" s="5">
        <v>0.3666666666666667</v>
      </c>
      <c r="E25" s="10">
        <v>26.7</v>
      </c>
      <c r="F25" s="10">
        <v>34.200000000000003</v>
      </c>
      <c r="G25" s="8">
        <v>6.63</v>
      </c>
      <c r="H25" s="10">
        <v>100.2</v>
      </c>
      <c r="I25" s="8">
        <v>8.1300000000000008</v>
      </c>
      <c r="J25" s="8">
        <f>AVERAGE(2.62,2.01,2.15)</f>
        <v>2.2599999999999998</v>
      </c>
      <c r="K25" s="26">
        <v>63.94349928548737</v>
      </c>
      <c r="L25" s="26">
        <v>10.056944026936975</v>
      </c>
      <c r="M25" s="26">
        <v>5.7982542808682194</v>
      </c>
      <c r="N25" s="26">
        <v>136.97715778342362</v>
      </c>
      <c r="O25" s="26">
        <v>7.2709935641815182</v>
      </c>
      <c r="P25" s="26">
        <v>1.5502929201513826</v>
      </c>
      <c r="Q25" s="1">
        <v>1</v>
      </c>
      <c r="R25" s="3" t="s">
        <v>34</v>
      </c>
      <c r="S25" s="11" t="s">
        <v>93</v>
      </c>
    </row>
    <row r="26" spans="1:19" ht="32">
      <c r="A26" s="1" t="s">
        <v>7</v>
      </c>
      <c r="B26" s="3" t="s">
        <v>11</v>
      </c>
      <c r="C26" s="4">
        <v>42950</v>
      </c>
      <c r="D26" s="5">
        <v>0.37291666666666662</v>
      </c>
      <c r="E26" s="10">
        <v>28.1</v>
      </c>
      <c r="F26" s="10">
        <v>34.200000000000003</v>
      </c>
      <c r="G26" s="8">
        <v>6.47</v>
      </c>
      <c r="H26" s="10">
        <v>99.9</v>
      </c>
      <c r="I26" s="8">
        <v>8.1</v>
      </c>
      <c r="J26" s="8">
        <f>AVERAGE(1.92,1.93,2.29)</f>
        <v>2.0466666666666664</v>
      </c>
      <c r="K26" s="26">
        <v>62.146719480699254</v>
      </c>
      <c r="L26" s="26">
        <v>7.9879444330127489</v>
      </c>
      <c r="M26" s="26">
        <v>5.2960359200980687</v>
      </c>
      <c r="N26" s="26">
        <v>170.62447235549612</v>
      </c>
      <c r="O26" s="26">
        <v>3.9061209709643041</v>
      </c>
      <c r="P26" s="26">
        <v>1.4727083411436026</v>
      </c>
      <c r="Q26" s="1">
        <v>2</v>
      </c>
      <c r="R26" s="3" t="s">
        <v>101</v>
      </c>
      <c r="S26" s="11" t="s">
        <v>93</v>
      </c>
    </row>
    <row r="27" spans="1:19" ht="32">
      <c r="A27" s="1" t="s">
        <v>7</v>
      </c>
      <c r="B27" s="3" t="s">
        <v>11</v>
      </c>
      <c r="C27" s="4">
        <v>42971</v>
      </c>
      <c r="D27" s="5">
        <v>0.38541666666666669</v>
      </c>
      <c r="E27" s="37">
        <v>26.1</v>
      </c>
      <c r="F27" s="37">
        <v>35</v>
      </c>
      <c r="G27" s="26">
        <v>6.58</v>
      </c>
      <c r="H27" s="37">
        <v>98.8</v>
      </c>
      <c r="I27" s="26">
        <v>8.11</v>
      </c>
      <c r="J27" s="26">
        <f>AVERAGE(1.85,1.55,1.36)</f>
        <v>1.5866666666666669</v>
      </c>
      <c r="K27" s="26">
        <v>66.476608655589061</v>
      </c>
      <c r="L27" s="26">
        <v>8.6262719901272948</v>
      </c>
      <c r="M27" s="26">
        <v>5.5677631860253554</v>
      </c>
      <c r="N27" s="26">
        <v>169.54827668778671</v>
      </c>
      <c r="O27" s="26">
        <v>2.4486131459776241</v>
      </c>
      <c r="P27" s="26">
        <v>1.6527600829615676</v>
      </c>
      <c r="Q27" s="1">
        <v>1</v>
      </c>
      <c r="R27" s="3" t="s">
        <v>81</v>
      </c>
      <c r="S27" s="11" t="s">
        <v>93</v>
      </c>
    </row>
    <row r="28" spans="1:19" ht="32">
      <c r="A28" s="1" t="s">
        <v>7</v>
      </c>
      <c r="B28" s="3" t="s">
        <v>11</v>
      </c>
      <c r="C28" s="4">
        <v>42992</v>
      </c>
      <c r="D28" s="44">
        <v>0.3611111111111111</v>
      </c>
      <c r="E28" s="37">
        <v>28.5</v>
      </c>
      <c r="F28" s="37">
        <v>34.299999999999997</v>
      </c>
      <c r="G28" s="26">
        <v>6.58</v>
      </c>
      <c r="H28" s="37">
        <v>102.6</v>
      </c>
      <c r="I28" s="26">
        <v>8.07</v>
      </c>
      <c r="J28" s="26">
        <f>AVERAGE(2.66,2.78,2.65)</f>
        <v>2.6966666666666668</v>
      </c>
      <c r="K28" s="26">
        <v>39.980798967464381</v>
      </c>
      <c r="L28" s="26">
        <v>15.44</v>
      </c>
      <c r="M28" s="26">
        <v>3.93</v>
      </c>
      <c r="N28" s="26">
        <v>179.2</v>
      </c>
      <c r="O28" s="26">
        <v>1.7</v>
      </c>
      <c r="P28" s="26">
        <v>2.63</v>
      </c>
      <c r="Q28" s="1">
        <v>1</v>
      </c>
      <c r="R28" s="3" t="s">
        <v>53</v>
      </c>
      <c r="S28" s="11" t="s">
        <v>93</v>
      </c>
    </row>
    <row r="29" spans="1:19" ht="32">
      <c r="A29" s="1" t="s">
        <v>7</v>
      </c>
      <c r="B29" s="3" t="s">
        <v>11</v>
      </c>
      <c r="C29" s="4">
        <v>43013</v>
      </c>
      <c r="D29" s="44">
        <v>0.35972222222222222</v>
      </c>
      <c r="E29" s="37">
        <v>26.3</v>
      </c>
      <c r="F29" s="37">
        <v>34.200000000000003</v>
      </c>
      <c r="G29" s="26">
        <v>6.71</v>
      </c>
      <c r="H29" s="37">
        <v>100.6</v>
      </c>
      <c r="I29" s="26">
        <v>8.1300000000000008</v>
      </c>
      <c r="J29" s="26">
        <f>AVERAGE(3.64,3.48,3.13)</f>
        <v>3.4166666666666665</v>
      </c>
      <c r="K29" s="26">
        <v>63.448170163300141</v>
      </c>
      <c r="L29" s="26">
        <v>11.939630973709582</v>
      </c>
      <c r="M29" s="26">
        <v>5.3755189389217959</v>
      </c>
      <c r="N29" s="26">
        <v>328.13750678957518</v>
      </c>
      <c r="O29" s="26">
        <v>4.0342318130088426</v>
      </c>
      <c r="P29" s="26">
        <v>3.4957610336968838</v>
      </c>
      <c r="Q29" s="1">
        <v>1</v>
      </c>
      <c r="R29" s="3" t="s">
        <v>98</v>
      </c>
      <c r="S29" s="11" t="s">
        <v>93</v>
      </c>
    </row>
    <row r="30" spans="1:19" ht="32">
      <c r="A30" s="1" t="s">
        <v>7</v>
      </c>
      <c r="B30" s="3" t="s">
        <v>11</v>
      </c>
      <c r="C30" s="4">
        <v>43034</v>
      </c>
      <c r="D30" s="44">
        <v>0.37847222222222227</v>
      </c>
      <c r="E30" s="37">
        <v>27</v>
      </c>
      <c r="F30" s="37">
        <v>34.799999999999997</v>
      </c>
      <c r="G30" s="26">
        <v>6.67</v>
      </c>
      <c r="H30" s="37">
        <v>101.8</v>
      </c>
      <c r="I30" s="26">
        <v>8.07</v>
      </c>
      <c r="J30" s="26">
        <f>AVERAGE(4.89,4.96,5.1)</f>
        <v>4.9833333333333334</v>
      </c>
      <c r="K30" s="26">
        <v>54.79491005334539</v>
      </c>
      <c r="L30" s="26">
        <v>8.6843162164477974</v>
      </c>
      <c r="M30" s="26">
        <v>5.4684831525145432</v>
      </c>
      <c r="N30" s="26">
        <v>170.70176773768731</v>
      </c>
      <c r="O30" s="26">
        <v>6.9489336426507924</v>
      </c>
      <c r="P30" s="26">
        <v>4.8131933635602611</v>
      </c>
      <c r="Q30" s="1">
        <v>3</v>
      </c>
      <c r="R30" s="3" t="s">
        <v>49</v>
      </c>
      <c r="S30" s="11" t="s">
        <v>48</v>
      </c>
    </row>
    <row r="31" spans="1:19" ht="32">
      <c r="A31" s="1" t="s">
        <v>7</v>
      </c>
      <c r="B31" s="3" t="s">
        <v>11</v>
      </c>
      <c r="C31" s="4">
        <v>43055</v>
      </c>
      <c r="D31" s="44">
        <v>0.36458333333333331</v>
      </c>
      <c r="E31" s="37">
        <v>25</v>
      </c>
      <c r="F31" s="37">
        <v>34.700000000000003</v>
      </c>
      <c r="G31" s="26">
        <v>6.75</v>
      </c>
      <c r="H31" s="37">
        <v>99.4</v>
      </c>
      <c r="I31" s="26">
        <v>8.14</v>
      </c>
      <c r="J31" s="26">
        <f>AVERAGE(1.53,1.52,1.86)</f>
        <v>1.6366666666666667</v>
      </c>
      <c r="K31" s="26">
        <v>73.9026427370097</v>
      </c>
      <c r="L31" s="26">
        <v>8.239859300441724</v>
      </c>
      <c r="M31" s="26">
        <v>4.0608246461501105</v>
      </c>
      <c r="N31" s="26">
        <v>410.79195404917743</v>
      </c>
      <c r="O31" s="26">
        <v>4.6617679876084601</v>
      </c>
      <c r="P31" s="26">
        <v>4.3018713908837745</v>
      </c>
      <c r="Q31" s="1">
        <v>1</v>
      </c>
      <c r="R31" s="3" t="s">
        <v>66</v>
      </c>
      <c r="S31" s="11" t="s">
        <v>48</v>
      </c>
    </row>
    <row r="32" spans="1:19" ht="32">
      <c r="A32" s="1" t="s">
        <v>7</v>
      </c>
      <c r="B32" s="3" t="s">
        <v>11</v>
      </c>
      <c r="C32" s="4">
        <v>43076</v>
      </c>
      <c r="D32" s="44">
        <v>0.35625000000000001</v>
      </c>
      <c r="E32" s="37">
        <v>24.3</v>
      </c>
      <c r="F32" s="37">
        <v>34.799999999999997</v>
      </c>
      <c r="G32" s="26">
        <v>6.8</v>
      </c>
      <c r="H32" s="37">
        <v>98.8</v>
      </c>
      <c r="I32" s="26">
        <v>8.18</v>
      </c>
      <c r="J32" s="26">
        <f>AVERAGE(2.02,2.12,1.99)</f>
        <v>2.0433333333333334</v>
      </c>
      <c r="K32" s="26"/>
      <c r="O32" s="26"/>
      <c r="P32" s="26"/>
      <c r="Q32" s="1">
        <v>3</v>
      </c>
      <c r="R32" s="3" t="s">
        <v>89</v>
      </c>
      <c r="S32" s="11" t="s">
        <v>90</v>
      </c>
    </row>
    <row r="33" spans="1:19" ht="32">
      <c r="A33" s="1" t="s">
        <v>7</v>
      </c>
      <c r="B33" s="3" t="s">
        <v>11</v>
      </c>
      <c r="C33" s="4">
        <v>43090</v>
      </c>
      <c r="D33" s="44">
        <v>0.4152777777777778</v>
      </c>
      <c r="E33" s="37">
        <v>25</v>
      </c>
      <c r="F33" s="37">
        <v>35.1</v>
      </c>
      <c r="G33" s="26">
        <v>6.24</v>
      </c>
      <c r="H33" s="37">
        <v>92.3</v>
      </c>
      <c r="I33" s="26">
        <v>8.11</v>
      </c>
      <c r="J33" s="26">
        <f>AVERAGE(13.3,13.1,13.2)</f>
        <v>13.199999999999998</v>
      </c>
      <c r="K33" s="26"/>
      <c r="O33" s="26"/>
      <c r="P33" s="26"/>
      <c r="Q33" s="1">
        <v>1</v>
      </c>
      <c r="R33" s="3" t="s">
        <v>41</v>
      </c>
      <c r="S33" s="11" t="s">
        <v>90</v>
      </c>
    </row>
    <row r="34" spans="1:19" ht="32">
      <c r="A34" s="1" t="s">
        <v>7</v>
      </c>
      <c r="B34" s="3" t="s">
        <v>11</v>
      </c>
      <c r="C34" s="4">
        <v>43111</v>
      </c>
      <c r="D34" s="44">
        <v>0.35416666666666669</v>
      </c>
      <c r="E34" s="37">
        <v>24.4</v>
      </c>
      <c r="F34" s="37">
        <v>34.6</v>
      </c>
      <c r="G34" s="26">
        <v>6.82</v>
      </c>
      <c r="H34" s="37">
        <v>99</v>
      </c>
      <c r="I34" s="26">
        <v>8.1300000000000008</v>
      </c>
      <c r="J34" s="26">
        <f>AVERAGE(1.53,1.67,1.7)</f>
        <v>1.6333333333333335</v>
      </c>
      <c r="K34" s="26"/>
      <c r="O34" s="26"/>
      <c r="P34" s="26"/>
      <c r="Q34" s="1">
        <v>3</v>
      </c>
      <c r="R34" s="3" t="s">
        <v>103</v>
      </c>
      <c r="S34" s="11" t="s">
        <v>90</v>
      </c>
    </row>
    <row r="35" spans="1:19">
      <c r="C35" s="4"/>
      <c r="D35" s="44"/>
      <c r="E35" s="37"/>
      <c r="F35" s="37"/>
      <c r="G35" s="26"/>
      <c r="H35" s="37"/>
      <c r="I35" s="26"/>
      <c r="J35" s="26"/>
      <c r="K35" s="26"/>
      <c r="O35" s="26"/>
      <c r="P35" s="26"/>
      <c r="Q35" s="1"/>
      <c r="R35" s="3"/>
    </row>
    <row r="36" spans="1:19">
      <c r="E36" s="37"/>
      <c r="F36" s="37"/>
      <c r="G36" s="26"/>
      <c r="H36" s="37"/>
      <c r="I36" s="26"/>
      <c r="J36" s="26"/>
      <c r="K36" s="26"/>
      <c r="O36" s="26"/>
      <c r="P36" s="26"/>
      <c r="Q36" s="33"/>
    </row>
    <row r="37" spans="1:19">
      <c r="E37" s="37"/>
      <c r="F37" s="37"/>
      <c r="G37" s="26"/>
      <c r="H37" s="37"/>
      <c r="I37" s="26"/>
      <c r="J37" s="26"/>
      <c r="K37" s="26"/>
      <c r="O37" s="26"/>
      <c r="P37" s="26"/>
      <c r="Q37" s="33"/>
    </row>
    <row r="41" spans="1:19">
      <c r="I41" s="8">
        <f>GEOMEAN(I2:I38)</f>
        <v>8.1039219400138087</v>
      </c>
      <c r="J41" s="21">
        <f t="shared" ref="J41" si="0">GEOMEAN(J2:J39)</f>
        <v>3.5937302886507139</v>
      </c>
      <c r="K41" s="16">
        <f t="shared" ref="K41:P41" si="1">GEOMEAN(K3:K39)</f>
        <v>63.195262789602857</v>
      </c>
      <c r="L41" s="26">
        <f t="shared" si="1"/>
        <v>9.5812362047584489</v>
      </c>
      <c r="M41" s="26">
        <f t="shared" si="1"/>
        <v>4.6273000336486776</v>
      </c>
      <c r="N41" s="26">
        <f t="shared" si="1"/>
        <v>135.4131667441701</v>
      </c>
      <c r="O41" s="27">
        <f t="shared" si="1"/>
        <v>3.4312707803256504</v>
      </c>
      <c r="P41" s="27">
        <f t="shared" si="1"/>
        <v>3.0129888916640684</v>
      </c>
      <c r="S41" s="11" t="s">
        <v>95</v>
      </c>
    </row>
    <row r="42" spans="1:19">
      <c r="D42" s="44">
        <f>AVERAGE(D2:D38)</f>
        <v>0.3799045138888888</v>
      </c>
      <c r="E42" s="26">
        <f>AVERAGE(E2:E38)</f>
        <v>26.156249999999996</v>
      </c>
      <c r="F42" s="26">
        <f t="shared" ref="F42:H42" si="2">AVERAGE(F2:F38)</f>
        <v>34.818750000000001</v>
      </c>
      <c r="G42" s="26">
        <f t="shared" si="2"/>
        <v>6.7612500000000013</v>
      </c>
      <c r="H42" s="26">
        <f t="shared" si="2"/>
        <v>100.78750000000002</v>
      </c>
      <c r="I42" s="16">
        <f>AVERAGE(I2:I38)</f>
        <v>8.1040624999999995</v>
      </c>
      <c r="J42" s="16">
        <f>AVERAGE(J2:J39)</f>
        <v>4.2270833333333329</v>
      </c>
      <c r="K42" s="26">
        <f t="shared" ref="K42:P42" si="3">AVERAGE(K3:K39)</f>
        <v>63.76587614751697</v>
      </c>
      <c r="L42" s="26">
        <f t="shared" si="3"/>
        <v>10.127506380049621</v>
      </c>
      <c r="M42" s="26">
        <f t="shared" si="3"/>
        <v>4.7250202335082792</v>
      </c>
      <c r="N42" s="26">
        <f t="shared" si="3"/>
        <v>153.48717153954394</v>
      </c>
      <c r="O42" s="26">
        <f t="shared" si="3"/>
        <v>4.4684578253991711</v>
      </c>
      <c r="P42" s="26">
        <f t="shared" si="3"/>
        <v>3.7099335721793723</v>
      </c>
      <c r="S42" s="11" t="s">
        <v>96</v>
      </c>
    </row>
    <row r="43" spans="1:19">
      <c r="E43" s="26">
        <f>STDEV(E2:E38)</f>
        <v>1.3409042447350663</v>
      </c>
      <c r="F43" s="26">
        <f t="shared" ref="F43:H43" si="4">STDEV(F2:F38)</f>
        <v>1.194189561869299</v>
      </c>
      <c r="G43" s="26">
        <f t="shared" si="4"/>
        <v>0.31339709943690058</v>
      </c>
      <c r="H43" s="26">
        <f t="shared" si="4"/>
        <v>3.1658204868301207</v>
      </c>
      <c r="I43" s="16">
        <f>STDEV(I2:I38)</f>
        <v>4.845079812265779E-2</v>
      </c>
      <c r="J43" s="16">
        <f>STDEV(J2:J39)</f>
        <v>2.8368822492407668</v>
      </c>
      <c r="K43" s="26">
        <f t="shared" ref="K43:P43" si="5">STDEV(K3:K39)</f>
        <v>8.3833730041878329</v>
      </c>
      <c r="L43" s="26">
        <f t="shared" si="5"/>
        <v>3.19467950482179</v>
      </c>
      <c r="M43" s="26">
        <f t="shared" si="5"/>
        <v>0.91208319847859176</v>
      </c>
      <c r="N43" s="26">
        <f t="shared" si="5"/>
        <v>82.268562598673796</v>
      </c>
      <c r="O43" s="26">
        <f t="shared" si="5"/>
        <v>3.5160329436488231</v>
      </c>
      <c r="P43" s="26">
        <f t="shared" si="5"/>
        <v>2.6140562165770067</v>
      </c>
      <c r="S43" s="11" t="s">
        <v>97</v>
      </c>
    </row>
    <row r="44" spans="1:19">
      <c r="J44" s="16"/>
    </row>
    <row r="45" spans="1:19">
      <c r="J45" s="16">
        <f>J41/0.2</f>
        <v>17.968651443253567</v>
      </c>
      <c r="K45" s="16">
        <f>K41/110</f>
        <v>0.57450238899638961</v>
      </c>
      <c r="L45" s="26">
        <f>L41/16</f>
        <v>0.59882726279740306</v>
      </c>
      <c r="M45" s="26">
        <f>M41/6</f>
        <v>0.77121667227477964</v>
      </c>
      <c r="N45" s="26">
        <f>N41</f>
        <v>135.4131667441701</v>
      </c>
      <c r="O45" s="16">
        <f>O41/3.5</f>
        <v>0.98036308009304296</v>
      </c>
      <c r="P45" s="16">
        <f>P41/2</f>
        <v>1.5064944458320342</v>
      </c>
      <c r="S45" s="11" t="s">
        <v>100</v>
      </c>
    </row>
  </sheetData>
  <sheetCalcPr fullCalcOnLoad="1"/>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23</vt:i4>
      </vt:variant>
    </vt:vector>
  </HeadingPairs>
  <TitlesOfParts>
    <vt:vector size="29" baseType="lpstr">
      <vt:lpstr>Peter Martin Hale</vt:lpstr>
      <vt:lpstr>Camp Olowalu</vt:lpstr>
      <vt:lpstr>Mile Marker 14</vt:lpstr>
      <vt:lpstr>Ukumehame Beach</vt:lpstr>
      <vt:lpstr>Papalaua Beach Park</vt:lpstr>
      <vt:lpstr>Papalaua Pali</vt:lpstr>
      <vt:lpstr>OPM Turb</vt:lpstr>
      <vt:lpstr>OPM pH</vt:lpstr>
      <vt:lpstr>OPM temp</vt:lpstr>
      <vt:lpstr>OCO turb</vt:lpstr>
      <vt:lpstr>OCO pH</vt:lpstr>
      <vt:lpstr>OCO temp</vt:lpstr>
      <vt:lpstr>OCO Silicates</vt:lpstr>
      <vt:lpstr>OMM turb</vt:lpstr>
      <vt:lpstr>OMM pH</vt:lpstr>
      <vt:lpstr>OMM temp</vt:lpstr>
      <vt:lpstr>OMM Silicates</vt:lpstr>
      <vt:lpstr>OUB turb</vt:lpstr>
      <vt:lpstr>OUB pH</vt:lpstr>
      <vt:lpstr>OUB temp</vt:lpstr>
      <vt:lpstr>OUB Silicates</vt:lpstr>
      <vt:lpstr>OPB turb</vt:lpstr>
      <vt:lpstr>OPB pH</vt:lpstr>
      <vt:lpstr>OPB temp</vt:lpstr>
      <vt:lpstr>OPB Silicates</vt:lpstr>
      <vt:lpstr>OPP Turb</vt:lpstr>
      <vt:lpstr>OPP pH</vt:lpstr>
      <vt:lpstr>OPP temp</vt:lpstr>
      <vt:lpstr>OPP Silicates</vt:lpstr>
    </vt:vector>
  </TitlesOfParts>
  <Company>Home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Reed</dc:creator>
  <cp:lastModifiedBy>Dana Reed</cp:lastModifiedBy>
  <dcterms:created xsi:type="dcterms:W3CDTF">2016-07-06T01:43:01Z</dcterms:created>
  <dcterms:modified xsi:type="dcterms:W3CDTF">2018-02-07T02:44:45Z</dcterms:modified>
</cp:coreProperties>
</file>