
<file path=[Content_Types].xml><?xml version="1.0" encoding="utf-8"?>
<Types xmlns="http://schemas.openxmlformats.org/package/2006/content-types">
  <Override PartName="/xl/charts/chart7.xml" ContentType="application/vnd.openxmlformats-officedocument.drawingml.chart+xml"/>
  <Override PartName="/xl/drawings/drawing21.xml" ContentType="application/vnd.openxmlformats-officedocument.drawing+xml"/>
  <Override PartName="/xl/chartsheets/sheet3.xml" ContentType="application/vnd.openxmlformats-officedocument.spreadsheetml.chartsheet+xml"/>
  <Override PartName="/xl/drawings/drawing7.xml" ContentType="application/vnd.openxmlformats-officedocument.drawing+xml"/>
  <Default Extension="xml" ContentType="application/xml"/>
  <Override PartName="/xl/chartsheets/sheet15.xml" ContentType="application/vnd.openxmlformats-officedocument.spreadsheetml.chartsheet+xml"/>
  <Override PartName="/xl/drawings/drawing13.xml" ContentType="application/vnd.openxmlformats-officedocument.drawing+xml"/>
  <Override PartName="/xl/drawings/drawing29.xml" ContentType="application/vnd.openxmlformats-officedocument.drawing+xml"/>
  <Override PartName="/xl/charts/chart20.xml" ContentType="application/vnd.openxmlformats-officedocument.drawingml.chart+xml"/>
  <Override PartName="/xl/chartsheets/sheet24.xml" ContentType="application/vnd.openxmlformats-officedocument.spreadsheetml.chartsheet+xml"/>
  <Override PartName="/xl/charts/chart19.xml" ContentType="application/vnd.openxmlformats-officedocument.drawingml.chart+xml"/>
  <Override PartName="/xl/chartsheets/sheet9.xml" ContentType="application/vnd.openxmlformats-officedocument.spreadsheetml.chartsheet+xml"/>
  <Override PartName="/xl/charts/chart12.xml" ContentType="application/vnd.openxmlformats-officedocument.drawingml.chart+xml"/>
  <Override PartName="/xl/charts/chart28.xml" ContentType="application/vnd.openxmlformats-officedocument.drawingml.chart+xml"/>
  <Override PartName="/xl/charts/chart6.xml" ContentType="application/vnd.openxmlformats-officedocument.drawingml.chart+xml"/>
  <Override PartName="/xl/drawings/drawing20.xml" ContentType="application/vnd.openxmlformats-officedocument.drawing+xml"/>
  <Override PartName="/xl/chartsheets/sheet2.xml" ContentType="application/vnd.openxmlformats-officedocument.spreadsheetml.chartsheet+xml"/>
  <Override PartName="/docProps/core.xml" ContentType="application/vnd.openxmlformats-package.core-properties+xml"/>
  <Override PartName="/xl/comments6.xml" ContentType="application/vnd.openxmlformats-officedocument.spreadsheetml.comments+xml"/>
  <Override PartName="/xl/drawings/drawing19.xml" ContentType="application/vnd.openxmlformats-officedocument.drawing+xml"/>
  <Override PartName="/xl/drawings/drawing6.xml" ContentType="application/vnd.openxmlformats-officedocument.drawing+xml"/>
  <Override PartName="/xl/chartsheets/sheet14.xml" ContentType="application/vnd.openxmlformats-officedocument.spreadsheetml.chartsheet+xml"/>
  <Override PartName="/xl/drawings/drawing12.xml" ContentType="application/vnd.openxmlformats-officedocument.drawing+xml"/>
  <Override PartName="/xl/drawings/drawing28.xml" ContentType="application/vnd.openxmlformats-officedocument.drawing+xml"/>
  <Override PartName="/xl/chartsheets/sheet23.xml" ContentType="application/vnd.openxmlformats-officedocument.spreadsheetml.chartsheet+xml"/>
  <Override PartName="/xl/theme/theme1.xml" ContentType="application/vnd.openxmlformats-officedocument.theme+xml"/>
  <Default Extension="vml" ContentType="application/vnd.openxmlformats-officedocument.vmlDrawing"/>
  <Override PartName="/xl/charts/chart18.xml" ContentType="application/vnd.openxmlformats-officedocument.drawingml.chart+xml"/>
  <Override PartName="/xl/calcChain.xml" ContentType="application/vnd.openxmlformats-officedocument.spreadsheetml.calcChain+xml"/>
  <Override PartName="/xl/charts/chart11.xml" ContentType="application/vnd.openxmlformats-officedocument.drawingml.chart+xml"/>
  <Override PartName="/xl/chartsheets/sheet8.xml" ContentType="application/vnd.openxmlformats-officedocument.spreadsheetml.chartsheet+xml"/>
  <Override PartName="/xl/charts/chart27.xml" ContentType="application/vnd.openxmlformats-officedocument.drawingml.chart+xml"/>
  <Override PartName="/xl/workbook.xml" ContentType="application/vnd.openxmlformats-officedocument.spreadsheetml.sheet.main+xml"/>
  <Override PartName="/xl/chartsheets/sheet1.xml" ContentType="application/vnd.openxmlformats-officedocument.spreadsheetml.chartsheet+xml"/>
  <Override PartName="/xl/charts/chart5.xml" ContentType="application/vnd.openxmlformats-officedocument.drawingml.chart+xml"/>
  <Override PartName="/xl/comments5.xml" ContentType="application/vnd.openxmlformats-officedocument.spreadsheetml.comments+xml"/>
  <Override PartName="/xl/drawings/drawing18.xml" ContentType="application/vnd.openxmlformats-officedocument.drawing+xml"/>
  <Override PartName="/xl/drawings/drawing5.xml" ContentType="application/vnd.openxmlformats-officedocument.drawing+xml"/>
  <Override PartName="/xl/chartsheets/sheet13.xml" ContentType="application/vnd.openxmlformats-officedocument.spreadsheetml.chartsheet+xml"/>
  <Override PartName="/xl/drawings/drawing11.xml" ContentType="application/vnd.openxmlformats-officedocument.drawing+xml"/>
  <Override PartName="/xl/charts/chart3.xml" ContentType="application/vnd.openxmlformats-officedocument.drawingml.chart+xml"/>
  <Override PartName="/xl/drawings/drawing27.xml" ContentType="application/vnd.openxmlformats-officedocument.drawing+xml"/>
  <Override PartName="/xl/worksheets/sheet6.xml" ContentType="application/vnd.openxmlformats-officedocument.spreadsheetml.worksheet+xml"/>
  <Override PartName="/xl/chartsheets/sheet22.xml" ContentType="application/vnd.openxmlformats-officedocument.spreadsheetml.chartsheet+xml"/>
  <Override PartName="/xl/charts/chart17.xml" ContentType="application/vnd.openxmlformats-officedocument.drawingml.chart+xml"/>
  <Override PartName="/xl/chartsheets/sheet7.xml" ContentType="application/vnd.openxmlformats-officedocument.spreadsheetml.chartsheet+xml"/>
  <Override PartName="/xl/charts/chart10.xml" ContentType="application/vnd.openxmlformats-officedocument.drawingml.chart+xml"/>
  <Override PartName="/xl/charts/chart26.xml" ContentType="application/vnd.openxmlformats-officedocument.drawingml.chart+xml"/>
  <Override PartName="/xl/charts/chart4.xml" ContentType="application/vnd.openxmlformats-officedocument.drawingml.chart+xml"/>
  <Override PartName="/xl/chartsheets/sheet19.xml" ContentType="application/vnd.openxmlformats-officedocument.spreadsheetml.chartsheet+xml"/>
  <Override PartName="/xl/comments4.xml" ContentType="application/vnd.openxmlformats-officedocument.spreadsheetml.comments+xml"/>
  <Override PartName="/xl/drawings/drawing17.xml" ContentType="application/vnd.openxmlformats-officedocument.drawing+xml"/>
  <Override PartName="/xl/drawings/drawing4.xml" ContentType="application/vnd.openxmlformats-officedocument.drawing+xml"/>
  <Override PartName="/xl/chartsheets/sheet12.xml" ContentType="application/vnd.openxmlformats-officedocument.spreadsheetml.chartsheet+xml"/>
  <Override PartName="/xl/chartsheets/sheet28.xml" ContentType="application/vnd.openxmlformats-officedocument.spreadsheetml.chartsheet+xml"/>
  <Override PartName="/xl/drawings/drawing10.xml" ContentType="application/vnd.openxmlformats-officedocument.drawing+xml"/>
  <Override PartName="/xl/charts/chart2.xml" ContentType="application/vnd.openxmlformats-officedocument.drawingml.chart+xml"/>
  <Override PartName="/xl/drawings/drawing26.xml" ContentType="application/vnd.openxmlformats-officedocument.drawing+xml"/>
  <Override PartName="/xl/styles.xml" ContentType="application/vnd.openxmlformats-officedocument.spreadsheetml.styles+xml"/>
  <Override PartName="/xl/worksheets/sheet5.xml" ContentType="application/vnd.openxmlformats-officedocument.spreadsheetml.worksheet+xml"/>
  <Override PartName="/xl/chartsheets/sheet21.xml" ContentType="application/vnd.openxmlformats-officedocument.spreadsheetml.chartsheet+xml"/>
  <Override PartName="/xl/charts/chart16.xml" ContentType="application/vnd.openxmlformats-officedocument.drawingml.chart+xml"/>
  <Override PartName="/xl/chartsheets/sheet6.xml" ContentType="application/vnd.openxmlformats-officedocument.spreadsheetml.chartsheet+xml"/>
  <Override PartName="/xl/drawings/drawing24.xml" ContentType="application/vnd.openxmlformats-officedocument.drawing+xml"/>
  <Override PartName="/xl/charts/chart25.xml" ContentType="application/vnd.openxmlformats-officedocument.drawingml.chart+xml"/>
  <Override PartName="/docProps/app.xml" ContentType="application/vnd.openxmlformats-officedocument.extended-properties+xml"/>
  <Override PartName="/xl/chartsheets/sheet18.xml" ContentType="application/vnd.openxmlformats-officedocument.spreadsheetml.chartsheet+xml"/>
  <Override PartName="/xl/comments3.xml" ContentType="application/vnd.openxmlformats-officedocument.spreadsheetml.comments+xml"/>
  <Override PartName="/xl/drawings/drawing16.xml" ContentType="application/vnd.openxmlformats-officedocument.drawing+xml"/>
  <Override PartName="/xl/drawings/drawing3.xml" ContentType="application/vnd.openxmlformats-officedocument.drawing+xml"/>
  <Override PartName="/xl/chartsheets/sheet11.xml" ContentType="application/vnd.openxmlformats-officedocument.spreadsheetml.chartsheet+xml"/>
  <Override PartName="/xl/chartsheets/sheet27.xml" ContentType="application/vnd.openxmlformats-officedocument.spreadsheetml.chartsheet+xml"/>
  <Override PartName="/xl/charts/chart1.xml" ContentType="application/vnd.openxmlformats-officedocument.drawingml.chart+xml"/>
  <Override PartName="/xl/drawings/drawing25.xml" ContentType="application/vnd.openxmlformats-officedocument.drawing+xml"/>
  <Override PartName="/xl/worksheets/sheet4.xml" ContentType="application/vnd.openxmlformats-officedocument.spreadsheetml.worksheet+xml"/>
  <Override PartName="/xl/chartsheets/sheet20.xml" ContentType="application/vnd.openxmlformats-officedocument.spreadsheetml.chartsheet+xml"/>
  <Override PartName="/xl/charts/chart15.xml" ContentType="application/vnd.openxmlformats-officedocument.drawingml.chart+xml"/>
  <Override PartName="/xl/charts/chart9.xml" ContentType="application/vnd.openxmlformats-officedocument.drawingml.chart+xml"/>
  <Override PartName="/xl/chartsheets/sheet5.xml" ContentType="application/vnd.openxmlformats-officedocument.spreadsheetml.chartsheet+xml"/>
  <Override PartName="/xl/drawings/drawing23.xml" ContentType="application/vnd.openxmlformats-officedocument.drawing+xml"/>
  <Override PartName="/xl/worksheets/sheet2.xml" ContentType="application/vnd.openxmlformats-officedocument.spreadsheetml.worksheet+xml"/>
  <Override PartName="/xl/charts/chart24.xml" ContentType="application/vnd.openxmlformats-officedocument.drawingml.chart+xml"/>
  <Default Extension="jpeg" ContentType="image/jpeg"/>
  <Override PartName="/xl/drawings/drawing9.xml" ContentType="application/vnd.openxmlformats-officedocument.drawing+xml"/>
  <Override PartName="/xl/sharedStrings.xml" ContentType="application/vnd.openxmlformats-officedocument.spreadsheetml.sharedStrings+xml"/>
  <Override PartName="/xl/chartsheets/sheet17.xml" ContentType="application/vnd.openxmlformats-officedocument.spreadsheetml.chartsheet+xml"/>
  <Override PartName="/xl/comments2.xml" ContentType="application/vnd.openxmlformats-officedocument.spreadsheetml.comments+xml"/>
  <Override PartName="/xl/drawings/drawing15.xml" ContentType="application/vnd.openxmlformats-officedocument.drawing+xml"/>
  <Override PartName="/xl/drawings/drawing2.xml" ContentType="application/vnd.openxmlformats-officedocument.drawing+xml"/>
  <Override PartName="/xl/chartsheets/sheet10.xml" ContentType="application/vnd.openxmlformats-officedocument.spreadsheetml.chartsheet+xml"/>
  <Override PartName="/xl/chartsheets/sheet26.xml" ContentType="application/vnd.openxmlformats-officedocument.spreadsheetml.chartsheet+xml"/>
  <Override PartName="/xl/charts/chart22.xml" ContentType="application/vnd.openxmlformats-officedocument.drawingml.chart+xml"/>
  <Override PartName="/xl/worksheets/sheet3.xml" ContentType="application/vnd.openxmlformats-officedocument.spreadsheetml.worksheet+xml"/>
  <Override PartName="/xl/charts/chart14.xml" ContentType="application/vnd.openxmlformats-officedocument.drawingml.chart+xml"/>
  <Override PartName="/xl/charts/chart8.xml" ContentType="application/vnd.openxmlformats-officedocument.drawingml.chart+xml"/>
  <Override PartName="/xl/chartsheets/sheet4.xml" ContentType="application/vnd.openxmlformats-officedocument.spreadsheetml.chartsheet+xml"/>
  <Override PartName="/xl/drawings/drawing22.xml" ContentType="application/vnd.openxmlformats-officedocument.drawing+xml"/>
  <Override PartName="/xl/worksheets/sheet1.xml" ContentType="application/vnd.openxmlformats-officedocument.spreadsheetml.worksheet+xml"/>
  <Override PartName="/xl/charts/chart23.xml" ContentType="application/vnd.openxmlformats-officedocument.drawingml.chart+xml"/>
  <Override PartName="/xl/drawings/drawing8.xml" ContentType="application/vnd.openxmlformats-officedocument.drawing+xml"/>
  <Override PartName="/xl/chartsheets/sheet16.xml" ContentType="application/vnd.openxmlformats-officedocument.spreadsheetml.chartsheet+xml"/>
  <Override PartName="/xl/comments1.xml" ContentType="application/vnd.openxmlformats-officedocument.spreadsheetml.comments+xml"/>
  <Override PartName="/xl/drawings/drawing14.xml" ContentType="application/vnd.openxmlformats-officedocument.drawing+xml"/>
  <Override PartName="/xl/drawings/drawing1.xml" ContentType="application/vnd.openxmlformats-officedocument.drawing+xml"/>
  <Override PartName="/xl/charts/chart21.xml" ContentType="application/vnd.openxmlformats-officedocument.drawingml.chart+xml"/>
  <Override PartName="/xl/chartsheets/sheet25.xml" ContentType="application/vnd.openxmlformats-officedocument.spreadsheetml.chartsheet+xml"/>
  <Default Extension="rels" ContentType="application/vnd.openxmlformats-package.relationships+xml"/>
  <Override PartName="/xl/charts/chart13.xml" ContentType="application/vnd.openxmlformats-officedocument.drawingml.chart+xml"/>
  <Override PartName="/xl/charts/chart29.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840" yWindow="980" windowWidth="22680" windowHeight="13720" tabRatio="500" firstSheet="18" activeTab="23"/>
  </bookViews>
  <sheets>
    <sheet name="PFF turb" sheetId="10" r:id="rId1"/>
    <sheet name="PFF pH" sheetId="12" r:id="rId2"/>
    <sheet name="PFF temp" sheetId="23" r:id="rId3"/>
    <sheet name="PFF Silicates vs Nitrogen" sheetId="39" r:id="rId4"/>
    <sheet name="505 Front" sheetId="1" r:id="rId5"/>
    <sheet name="PLH Turb" sheetId="8" r:id="rId6"/>
    <sheet name="PLH N" sheetId="9" r:id="rId7"/>
    <sheet name="PLH pH" sheetId="13" r:id="rId8"/>
    <sheet name="PLH temp" sheetId="24" r:id="rId9"/>
    <sheet name="Tide" sheetId="38" r:id="rId10"/>
    <sheet name="PLH Si NNN Correl" sheetId="41" r:id="rId11"/>
    <sheet name="PLH Salinity" sheetId="42" r:id="rId12"/>
    <sheet name="Lindsey Hale" sheetId="2" r:id="rId13"/>
    <sheet name="PLT Turb" sheetId="7" r:id="rId14"/>
    <sheet name="PLT Nutrients" sheetId="15" r:id="rId15"/>
    <sheet name="PLT pH" sheetId="16" r:id="rId16"/>
    <sheet name="PLT temp" sheetId="28" r:id="rId17"/>
    <sheet name="PLT Si NNN Correl" sheetId="40" r:id="rId18"/>
    <sheet name="PLT salinity" sheetId="43" r:id="rId19"/>
    <sheet name="Lahaina Town" sheetId="3" r:id="rId20"/>
    <sheet name="PPU turb" sheetId="25" r:id="rId21"/>
    <sheet name="PPU temp" sheetId="26" r:id="rId22"/>
    <sheet name="PPU pH" sheetId="27" r:id="rId23"/>
    <sheet name="PPU Silicates cor NNN" sheetId="44" r:id="rId24"/>
    <sheet name="Puamana" sheetId="4" r:id="rId25"/>
    <sheet name="OLP turb" sheetId="17" r:id="rId26"/>
    <sheet name="OLP pH" sheetId="19" r:id="rId27"/>
    <sheet name="OLP temp" sheetId="29" r:id="rId28"/>
    <sheet name="Launiupoko" sheetId="5" r:id="rId29"/>
    <sheet name="pH (OSF)" sheetId="21" r:id="rId30"/>
    <sheet name="OSF turb" sheetId="22" r:id="rId31"/>
    <sheet name="OSF temp" sheetId="30" r:id="rId32"/>
    <sheet name="OSF Silicates" sheetId="37" r:id="rId33"/>
    <sheet name="Olowalu Shore Front" sheetId="6" r:id="rId3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35" i="1"/>
  <c r="J34"/>
  <c r="J33"/>
  <c r="J32"/>
  <c r="N42"/>
  <c r="N46"/>
  <c r="M42"/>
  <c r="M46"/>
  <c r="L42"/>
  <c r="L46"/>
  <c r="N44"/>
  <c r="M44"/>
  <c r="L44"/>
  <c r="N43"/>
  <c r="M43"/>
  <c r="L43"/>
  <c r="O42"/>
  <c r="O43"/>
  <c r="O44"/>
  <c r="O46"/>
  <c r="J31"/>
  <c r="J30"/>
  <c r="J29"/>
  <c r="J28"/>
  <c r="D43"/>
  <c r="J27"/>
  <c r="F44"/>
  <c r="G44"/>
  <c r="H44"/>
  <c r="E44"/>
  <c r="F43"/>
  <c r="G43"/>
  <c r="H43"/>
  <c r="J26"/>
  <c r="J25"/>
  <c r="J24"/>
  <c r="J23"/>
  <c r="J22"/>
  <c r="J21"/>
  <c r="J20"/>
  <c r="J19"/>
  <c r="J18"/>
  <c r="K42"/>
  <c r="P42"/>
  <c r="J5"/>
  <c r="J6"/>
  <c r="J7"/>
  <c r="J8"/>
  <c r="J9"/>
  <c r="J10"/>
  <c r="J11"/>
  <c r="J12"/>
  <c r="J13"/>
  <c r="J14"/>
  <c r="J15"/>
  <c r="J16"/>
  <c r="J17"/>
  <c r="J42"/>
  <c r="E43"/>
  <c r="I44"/>
  <c r="I43"/>
  <c r="J46"/>
  <c r="J44"/>
  <c r="J43"/>
  <c r="P46"/>
  <c r="K46"/>
  <c r="P43"/>
  <c r="P44"/>
  <c r="K44"/>
  <c r="K43"/>
  <c r="J36" i="3"/>
  <c r="J35"/>
  <c r="J34"/>
  <c r="J5"/>
  <c r="J6"/>
  <c r="J7"/>
  <c r="J8"/>
  <c r="J9"/>
  <c r="J10"/>
  <c r="J11"/>
  <c r="J12"/>
  <c r="J13"/>
  <c r="J14"/>
  <c r="J15"/>
  <c r="J16"/>
  <c r="J17"/>
  <c r="J18"/>
  <c r="J19"/>
  <c r="J20"/>
  <c r="J21"/>
  <c r="J22"/>
  <c r="J23"/>
  <c r="J24"/>
  <c r="J25"/>
  <c r="J26"/>
  <c r="J27"/>
  <c r="J28"/>
  <c r="J29"/>
  <c r="J30"/>
  <c r="J31"/>
  <c r="J32"/>
  <c r="J42"/>
  <c r="N42"/>
  <c r="N46"/>
  <c r="M42"/>
  <c r="M46"/>
  <c r="L42"/>
  <c r="L46"/>
  <c r="N44"/>
  <c r="M44"/>
  <c r="L44"/>
  <c r="N43"/>
  <c r="M43"/>
  <c r="L43"/>
  <c r="D43"/>
  <c r="F44"/>
  <c r="G44"/>
  <c r="H44"/>
  <c r="E44"/>
  <c r="F43"/>
  <c r="G43"/>
  <c r="H43"/>
  <c r="E43"/>
  <c r="I44"/>
  <c r="I43"/>
  <c r="J46"/>
  <c r="J44"/>
  <c r="J43"/>
  <c r="P42"/>
  <c r="P46"/>
  <c r="O42"/>
  <c r="O46"/>
  <c r="K42"/>
  <c r="K46"/>
  <c r="O43"/>
  <c r="P43"/>
  <c r="O44"/>
  <c r="P44"/>
  <c r="K44"/>
  <c r="K43"/>
  <c r="J35" i="5"/>
  <c r="J34"/>
  <c r="J33"/>
  <c r="J32"/>
  <c r="N42"/>
  <c r="N46"/>
  <c r="M42"/>
  <c r="M46"/>
  <c r="L42"/>
  <c r="L46"/>
  <c r="N44"/>
  <c r="M44"/>
  <c r="L44"/>
  <c r="N43"/>
  <c r="M43"/>
  <c r="L43"/>
  <c r="J31"/>
  <c r="J30"/>
  <c r="J29"/>
  <c r="J28"/>
  <c r="D43"/>
  <c r="J27"/>
  <c r="F44"/>
  <c r="G44"/>
  <c r="H44"/>
  <c r="E44"/>
  <c r="F43"/>
  <c r="G43"/>
  <c r="H43"/>
  <c r="J26"/>
  <c r="J25"/>
  <c r="J24"/>
  <c r="J23"/>
  <c r="J22"/>
  <c r="J21"/>
  <c r="J20"/>
  <c r="J19"/>
  <c r="J18"/>
  <c r="J17"/>
  <c r="J16"/>
  <c r="J15"/>
  <c r="J14"/>
  <c r="J13"/>
  <c r="J12"/>
  <c r="E43"/>
  <c r="I44"/>
  <c r="I43"/>
  <c r="J11"/>
  <c r="J10"/>
  <c r="J5"/>
  <c r="J6"/>
  <c r="J7"/>
  <c r="J8"/>
  <c r="J9"/>
  <c r="J42"/>
  <c r="J46"/>
  <c r="J44"/>
  <c r="J43"/>
  <c r="P42"/>
  <c r="P46"/>
  <c r="O42"/>
  <c r="O46"/>
  <c r="K42"/>
  <c r="K46"/>
  <c r="O43"/>
  <c r="P43"/>
  <c r="O44"/>
  <c r="P44"/>
  <c r="K44"/>
  <c r="K43"/>
  <c r="L35" i="2"/>
  <c r="L34"/>
  <c r="L33"/>
  <c r="R42"/>
  <c r="Q42"/>
  <c r="P42"/>
  <c r="O42"/>
  <c r="N42"/>
  <c r="M42"/>
  <c r="L5"/>
  <c r="L6"/>
  <c r="L7"/>
  <c r="L8"/>
  <c r="L9"/>
  <c r="L10"/>
  <c r="L11"/>
  <c r="L12"/>
  <c r="L13"/>
  <c r="L14"/>
  <c r="L15"/>
  <c r="L16"/>
  <c r="L17"/>
  <c r="L18"/>
  <c r="L19"/>
  <c r="L20"/>
  <c r="L21"/>
  <c r="L22"/>
  <c r="L23"/>
  <c r="L24"/>
  <c r="L25"/>
  <c r="L26"/>
  <c r="L27"/>
  <c r="L28"/>
  <c r="L29"/>
  <c r="L30"/>
  <c r="L31"/>
  <c r="L32"/>
  <c r="L42"/>
  <c r="L43"/>
  <c r="N43"/>
  <c r="O43"/>
  <c r="P43"/>
  <c r="Q43"/>
  <c r="R43"/>
  <c r="M43"/>
  <c r="K43"/>
  <c r="J43"/>
  <c r="L44"/>
  <c r="M44"/>
  <c r="N44"/>
  <c r="O44"/>
  <c r="P44"/>
  <c r="Q44"/>
  <c r="R44"/>
  <c r="I44"/>
  <c r="J44"/>
  <c r="K44"/>
  <c r="H44"/>
  <c r="G44"/>
  <c r="I43"/>
  <c r="H43"/>
  <c r="E43"/>
  <c r="F43"/>
  <c r="G43"/>
  <c r="D43"/>
  <c r="P46"/>
  <c r="O46"/>
  <c r="N46"/>
  <c r="W26"/>
  <c r="L46"/>
  <c r="R46"/>
  <c r="Q46"/>
  <c r="M46"/>
  <c r="J35" i="6"/>
  <c r="J34"/>
  <c r="J33"/>
  <c r="J32"/>
  <c r="N42"/>
  <c r="N46"/>
  <c r="M42"/>
  <c r="M46"/>
  <c r="L42"/>
  <c r="L46"/>
  <c r="N44"/>
  <c r="M44"/>
  <c r="L44"/>
  <c r="N43"/>
  <c r="M43"/>
  <c r="L43"/>
  <c r="J31"/>
  <c r="J30"/>
  <c r="J29"/>
  <c r="J28"/>
  <c r="D43"/>
  <c r="J27"/>
  <c r="F44"/>
  <c r="G44"/>
  <c r="H44"/>
  <c r="E44"/>
  <c r="F43"/>
  <c r="G43"/>
  <c r="H43"/>
  <c r="J26"/>
  <c r="J25"/>
  <c r="J24"/>
  <c r="J23"/>
  <c r="J22"/>
  <c r="J21"/>
  <c r="J20"/>
  <c r="J19"/>
  <c r="J18"/>
  <c r="J17"/>
  <c r="J16"/>
  <c r="J15"/>
  <c r="J14"/>
  <c r="J13"/>
  <c r="J12"/>
  <c r="E43"/>
  <c r="I44"/>
  <c r="I43"/>
  <c r="J11"/>
  <c r="J10"/>
  <c r="J5"/>
  <c r="J6"/>
  <c r="J7"/>
  <c r="J8"/>
  <c r="J9"/>
  <c r="J42"/>
  <c r="J46"/>
  <c r="J44"/>
  <c r="J43"/>
  <c r="P42"/>
  <c r="P46"/>
  <c r="O42"/>
  <c r="O46"/>
  <c r="K42"/>
  <c r="K46"/>
  <c r="O43"/>
  <c r="P43"/>
  <c r="O44"/>
  <c r="P44"/>
  <c r="K44"/>
  <c r="K43"/>
  <c r="J35" i="4"/>
  <c r="J34"/>
  <c r="J33"/>
  <c r="J32"/>
  <c r="N42"/>
  <c r="N46"/>
  <c r="M42"/>
  <c r="M46"/>
  <c r="L42"/>
  <c r="L46"/>
  <c r="N44"/>
  <c r="M44"/>
  <c r="L44"/>
  <c r="N43"/>
  <c r="M43"/>
  <c r="L43"/>
  <c r="J31"/>
  <c r="J30"/>
  <c r="J29"/>
  <c r="D43"/>
  <c r="J27"/>
  <c r="F44"/>
  <c r="G44"/>
  <c r="H44"/>
  <c r="E44"/>
  <c r="F43"/>
  <c r="G43"/>
  <c r="H43"/>
  <c r="J26"/>
  <c r="J25"/>
  <c r="J24"/>
  <c r="J23"/>
  <c r="J22"/>
  <c r="J21"/>
  <c r="J20"/>
  <c r="J19"/>
  <c r="J18"/>
  <c r="J17"/>
  <c r="J16"/>
  <c r="J15"/>
  <c r="J14"/>
  <c r="J13"/>
  <c r="J12"/>
  <c r="P42"/>
  <c r="O42"/>
  <c r="K42"/>
  <c r="J10"/>
  <c r="J11"/>
  <c r="J42"/>
  <c r="E43"/>
  <c r="I44"/>
  <c r="I43"/>
  <c r="P46"/>
  <c r="O46"/>
  <c r="K46"/>
  <c r="K43"/>
  <c r="O43"/>
  <c r="P43"/>
  <c r="K44"/>
  <c r="O44"/>
  <c r="P44"/>
  <c r="J7"/>
  <c r="J46"/>
  <c r="J44"/>
  <c r="J43"/>
</calcChain>
</file>

<file path=xl/comments1.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J5" authorId="0">
      <text>
        <r>
          <rPr>
            <b/>
            <sz val="9"/>
            <color indexed="81"/>
            <rFont val="Verdana"/>
          </rPr>
          <t>Dana Reed:</t>
        </r>
        <r>
          <rPr>
            <sz val="9"/>
            <color indexed="81"/>
            <rFont val="Verdana"/>
          </rPr>
          <t xml:space="preserve">
Mistake made in not agitating sample before putting into sample cell. Three readings taken with first pour into sample cell and three readings taken after second pour into sample cell.  All 6 averaged.  </t>
        </r>
      </text>
    </comment>
    <comment ref="A6" authorId="0">
      <text>
        <r>
          <rPr>
            <b/>
            <sz val="9"/>
            <color indexed="81"/>
            <rFont val="Verdana"/>
          </rPr>
          <t>Dana Reed:</t>
        </r>
        <r>
          <rPr>
            <sz val="9"/>
            <color indexed="81"/>
            <rFont val="Verdana"/>
          </rPr>
          <t xml:space="preserve">
No wind, calm water, no swimmers</t>
        </r>
      </text>
    </comment>
    <comment ref="A7" authorId="0">
      <text>
        <r>
          <rPr>
            <b/>
            <sz val="9"/>
            <color indexed="81"/>
            <rFont val="Verdana"/>
          </rPr>
          <t>Dana Reed:</t>
        </r>
        <r>
          <rPr>
            <sz val="9"/>
            <color indexed="81"/>
            <rFont val="Verdana"/>
          </rPr>
          <t xml:space="preserve">
65% cloud cover, 5-10 mph wind, small amount of flow from stream, 0.5 foot waves</t>
        </r>
      </text>
    </comment>
    <comment ref="A8" authorId="0">
      <text>
        <r>
          <rPr>
            <b/>
            <sz val="9"/>
            <color indexed="81"/>
            <rFont val="Verdana"/>
          </rPr>
          <t xml:space="preserve">Dana Reed:
</t>
        </r>
        <r>
          <rPr>
            <sz val="9"/>
            <color indexed="81"/>
            <rFont val="Verdana"/>
          </rPr>
          <t xml:space="preserve">
30% cloud cover, high tide, no swimmers,light breeze 5 kts, replicate nutrient sample collected</t>
        </r>
      </text>
    </comment>
    <comment ref="A9" authorId="0">
      <text>
        <r>
          <rPr>
            <b/>
            <sz val="9"/>
            <color indexed="81"/>
            <rFont val="Verdana"/>
          </rPr>
          <t>Dana Reed: 
Nell, Dana (W)</t>
        </r>
        <r>
          <rPr>
            <sz val="9"/>
            <color indexed="81"/>
            <rFont val="Verdana"/>
          </rPr>
          <t xml:space="preserve">
Lots of washed up debris on shore and in the water.  Kept knocking into the legs of the collector.</t>
        </r>
      </text>
    </comment>
    <comment ref="A10" authorId="0">
      <text>
        <r>
          <rPr>
            <b/>
            <sz val="9"/>
            <color indexed="81"/>
            <rFont val="Verdana"/>
          </rPr>
          <t>Dana Reed:</t>
        </r>
        <r>
          <rPr>
            <sz val="9"/>
            <color indexed="81"/>
            <rFont val="Verdana"/>
          </rPr>
          <t xml:space="preserve">
2 kayakers went by while sampling, no wind, 6 inch wave, 6 inch chop. pH measurements taking longer than normal everywhere. PFF/PLH/PLT brown water out 70 to 100 feet.</t>
        </r>
      </text>
    </comment>
    <comment ref="A11" authorId="0">
      <text>
        <r>
          <rPr>
            <b/>
            <sz val="9"/>
            <color indexed="81"/>
            <rFont val="Verdana"/>
          </rPr>
          <t>Dana Reed:</t>
        </r>
        <r>
          <rPr>
            <sz val="9"/>
            <color indexed="81"/>
            <rFont val="Verdana"/>
          </rPr>
          <t xml:space="preserve">
Light breeze, clouds = 1, 6 inch shore break</t>
        </r>
      </text>
    </comment>
    <comment ref="A12" authorId="0">
      <text>
        <r>
          <rPr>
            <b/>
            <sz val="9"/>
            <color indexed="81"/>
            <rFont val="Verdana"/>
          </rPr>
          <t>Dana Reed:</t>
        </r>
        <r>
          <rPr>
            <sz val="9"/>
            <color indexed="81"/>
            <rFont val="Verdana"/>
          </rPr>
          <t xml:space="preserve">
No clouds, 0.5 foot waves, nobody in near shore water, stream running a little. Learned this "stream" is discharge from the parking garage!</t>
        </r>
      </text>
    </comment>
    <comment ref="A13" authorId="0">
      <text>
        <r>
          <rPr>
            <b/>
            <sz val="9"/>
            <color indexed="81"/>
            <rFont val="Verdana"/>
          </rPr>
          <t>Dana Reed:</t>
        </r>
        <r>
          <rPr>
            <sz val="9"/>
            <color indexed="81"/>
            <rFont val="Verdana"/>
          </rPr>
          <t xml:space="preserve">
no clouds; no wind, stream running briskly, no swimmers, flat
</t>
        </r>
      </text>
    </comment>
    <comment ref="A14" authorId="0">
      <text>
        <r>
          <rPr>
            <b/>
            <sz val="9"/>
            <color indexed="81"/>
            <rFont val="Verdana"/>
          </rPr>
          <t>Dana Reed:</t>
        </r>
        <r>
          <rPr>
            <sz val="9"/>
            <color indexed="81"/>
            <rFont val="Verdana"/>
          </rPr>
          <t xml:space="preserve">
2/8 cloud cover, no breeze, broken surface waves, no one in water
pH probe took a long time to stabilize at every site</t>
        </r>
      </text>
    </comment>
    <comment ref="A15" authorId="0">
      <text>
        <r>
          <rPr>
            <b/>
            <sz val="9"/>
            <color indexed="81"/>
            <rFont val="Verdana"/>
          </rPr>
          <t>Dana Reed:</t>
        </r>
        <r>
          <rPr>
            <sz val="9"/>
            <color indexed="81"/>
            <rFont val="Verdana"/>
          </rPr>
          <t xml:space="preserve">
97% cloud cover, water seemed clear to Rich, no one in water or on beach, stream flowing but small, flat ruffles on water, no wind, no rain</t>
        </r>
      </text>
    </comment>
    <comment ref="I15" authorId="0">
      <text>
        <r>
          <rPr>
            <b/>
            <sz val="9"/>
            <color indexed="81"/>
            <rFont val="Verdana"/>
          </rPr>
          <t>Dana Reed:</t>
        </r>
        <r>
          <rPr>
            <sz val="9"/>
            <color indexed="81"/>
            <rFont val="Verdana"/>
          </rPr>
          <t xml:space="preserve">
pH probe slow to settle, started at 7.94 and took 45 to 60 seconds</t>
        </r>
      </text>
    </comment>
    <comment ref="A16" authorId="0">
      <text>
        <r>
          <rPr>
            <b/>
            <sz val="9"/>
            <color indexed="81"/>
            <rFont val="Verdana"/>
          </rPr>
          <t>Dana Reed:</t>
        </r>
        <r>
          <rPr>
            <sz val="9"/>
            <color indexed="81"/>
            <rFont val="Verdana"/>
          </rPr>
          <t xml:space="preserve">
no wind, no rain, no people, freshwater stream, 4-6 inch wavs</t>
        </r>
      </text>
    </comment>
    <comment ref="A17" authorId="0">
      <text>
        <r>
          <rPr>
            <b/>
            <sz val="9"/>
            <color indexed="81"/>
            <rFont val="Verdana"/>
          </rPr>
          <t>Dana Reed:</t>
        </r>
        <r>
          <rPr>
            <sz val="9"/>
            <color indexed="81"/>
            <rFont val="Verdana"/>
          </rPr>
          <t xml:space="preserve">
Stream flowing, no clouds, flat water, no wind.</t>
        </r>
      </text>
    </comment>
    <comment ref="I17" authorId="0">
      <text>
        <r>
          <rPr>
            <b/>
            <sz val="9"/>
            <color indexed="81"/>
            <rFont val="Verdana"/>
          </rPr>
          <t>Dana Reed:</t>
        </r>
        <r>
          <rPr>
            <sz val="9"/>
            <color indexed="81"/>
            <rFont val="Verdana"/>
          </rPr>
          <t xml:space="preserve">
3 readings taken, each a little larger with this being 3rd reading.
7.83,7.85,7.87</t>
        </r>
      </text>
    </comment>
    <comment ref="A18" authorId="0">
      <text>
        <r>
          <rPr>
            <b/>
            <sz val="9"/>
            <color indexed="81"/>
            <rFont val="Verdana"/>
          </rPr>
          <t>Dana Reed:</t>
        </r>
        <r>
          <rPr>
            <sz val="9"/>
            <color indexed="81"/>
            <rFont val="Verdana"/>
          </rPr>
          <t xml:space="preserve">
Slight wind chop, no swimmers, 6 kts Kona, clouds 8</t>
        </r>
      </text>
    </comment>
    <comment ref="A19" authorId="0">
      <text>
        <r>
          <rPr>
            <b/>
            <sz val="9"/>
            <color indexed="81"/>
            <rFont val="Verdana"/>
          </rPr>
          <t>Dana Reed:</t>
        </r>
        <r>
          <rPr>
            <sz val="9"/>
            <color indexed="81"/>
            <rFont val="Verdana"/>
          </rPr>
          <t xml:space="preserve">
Flat, stream was flowing, 1 person wading, no wind, no clouds.</t>
        </r>
      </text>
    </comment>
    <comment ref="A20" authorId="0">
      <text>
        <r>
          <rPr>
            <b/>
            <sz val="9"/>
            <color indexed="81"/>
            <rFont val="Verdana"/>
          </rPr>
          <t>Dana Reed:</t>
        </r>
        <r>
          <rPr>
            <sz val="9"/>
            <color indexed="81"/>
            <rFont val="Verdana"/>
          </rPr>
          <t xml:space="preserve">
Slight chop, no swimmers, no wind.</t>
        </r>
      </text>
    </comment>
    <comment ref="A21" authorId="0">
      <text>
        <r>
          <rPr>
            <b/>
            <sz val="9"/>
            <color indexed="81"/>
            <rFont val="Verdana"/>
          </rPr>
          <t>Dana Reed:</t>
        </r>
        <r>
          <rPr>
            <sz val="9"/>
            <color indexed="81"/>
            <rFont val="Verdana"/>
          </rPr>
          <t xml:space="preserve">
Stream running, water looks muddy, 2 kayaks, winds less than 5 kts</t>
        </r>
      </text>
    </comment>
    <comment ref="A22" authorId="0">
      <text>
        <r>
          <rPr>
            <b/>
            <sz val="9"/>
            <color indexed="81"/>
            <rFont val="Verdana"/>
          </rPr>
          <t>Dana Reed:</t>
        </r>
        <r>
          <rPr>
            <sz val="9"/>
            <color indexed="81"/>
            <rFont val="Verdana"/>
          </rPr>
          <t xml:space="preserve">
Waves: flat
Stream running just a little
Swimmers:  0
Wind:  0</t>
        </r>
      </text>
    </comment>
    <comment ref="A23" authorId="0">
      <text>
        <r>
          <rPr>
            <b/>
            <sz val="9"/>
            <color indexed="81"/>
            <rFont val="Verdana"/>
          </rPr>
          <t>Dana Reed:</t>
        </r>
        <r>
          <rPr>
            <sz val="9"/>
            <color indexed="81"/>
            <rFont val="Verdana"/>
          </rPr>
          <t xml:space="preserve">
Waves: 0
Wind: 1
People: 0 ssk, 1 ob, 0 c</t>
        </r>
      </text>
    </comment>
    <comment ref="A24" authorId="0">
      <text>
        <r>
          <rPr>
            <b/>
            <sz val="9"/>
            <color indexed="81"/>
            <rFont val="Verdana"/>
          </rPr>
          <t>Dana Reed:</t>
        </r>
        <r>
          <rPr>
            <sz val="9"/>
            <color indexed="81"/>
            <rFont val="Verdana"/>
          </rPr>
          <t xml:space="preserve">
Waves: 0
Wind: 0
People: 0</t>
        </r>
      </text>
    </comment>
    <comment ref="A25" authorId="0">
      <text>
        <r>
          <rPr>
            <b/>
            <sz val="9"/>
            <color indexed="81"/>
            <rFont val="Verdana"/>
          </rPr>
          <t>Dana Reed:</t>
        </r>
        <r>
          <rPr>
            <sz val="9"/>
            <color indexed="81"/>
            <rFont val="Verdana"/>
          </rPr>
          <t xml:space="preserve">
Waves: 0
Wind: 1
People: ssk 0, ob 1-5</t>
        </r>
      </text>
    </comment>
    <comment ref="A26" authorId="0">
      <text>
        <r>
          <rPr>
            <b/>
            <sz val="9"/>
            <color indexed="81"/>
            <rFont val="Verdana"/>
          </rPr>
          <t>Dana Reed:</t>
        </r>
        <r>
          <rPr>
            <sz val="9"/>
            <color indexed="81"/>
            <rFont val="Verdana"/>
          </rPr>
          <t xml:space="preserve">
Waves: 0.5
Wind: 0
People: ssk 0, ob 10, campers 0
Stream running. </t>
        </r>
      </text>
    </comment>
    <comment ref="A27" authorId="0">
      <text>
        <r>
          <rPr>
            <b/>
            <sz val="9"/>
            <color indexed="81"/>
            <rFont val="Verdana"/>
          </rPr>
          <t>Dana Reed:</t>
        </r>
        <r>
          <rPr>
            <sz val="9"/>
            <color indexed="81"/>
            <rFont val="Verdana"/>
          </rPr>
          <t xml:space="preserve">
Waves: 0-1
Wind: 0
People: ssk 1-5, beach 1-5, camp 0
Stream lightly flowing</t>
        </r>
      </text>
    </comment>
    <comment ref="A28" authorId="0">
      <text>
        <r>
          <rPr>
            <b/>
            <sz val="9"/>
            <color indexed="81"/>
            <rFont val="Verdana"/>
          </rPr>
          <t>Dana Reed:</t>
        </r>
        <r>
          <rPr>
            <sz val="9"/>
            <color indexed="81"/>
            <rFont val="Verdana"/>
          </rPr>
          <t xml:space="preserve">
Waves: 1
Wind: 0
People: 5 in water, 1 on beach.
Kona winds.  Light flow from "stream" at 505. Overcast with rain threatening.</t>
        </r>
      </text>
    </comment>
    <comment ref="A29" authorId="0">
      <text>
        <r>
          <rPr>
            <b/>
            <sz val="9"/>
            <color indexed="81"/>
            <rFont val="Verdana"/>
          </rPr>
          <t>Dana Reed:</t>
        </r>
        <r>
          <rPr>
            <sz val="9"/>
            <color indexed="81"/>
            <rFont val="Verdana"/>
          </rPr>
          <t xml:space="preserve">
Waves: 0
Wind: 1
People: 0,1,0
Trade winds.  Light flow from "stream" at 505. </t>
        </r>
      </text>
    </comment>
    <comment ref="A30" authorId="0">
      <text>
        <r>
          <rPr>
            <b/>
            <sz val="9"/>
            <color indexed="81"/>
            <rFont val="Verdana"/>
          </rPr>
          <t>Dana Reed:</t>
        </r>
        <r>
          <rPr>
            <sz val="9"/>
            <color indexed="81"/>
            <rFont val="Verdana"/>
          </rPr>
          <t xml:space="preserve">
Waves: 0
Wind: 0
People: 0,2,0
Trade winds.  Stream running plus 4 inch drain pipe</t>
        </r>
      </text>
    </comment>
    <comment ref="A31" authorId="0">
      <text>
        <r>
          <rPr>
            <b/>
            <sz val="9"/>
            <color indexed="81"/>
            <rFont val="Verdana"/>
          </rPr>
          <t>Dana Reed:</t>
        </r>
        <r>
          <rPr>
            <sz val="9"/>
            <color indexed="81"/>
            <rFont val="Verdana"/>
          </rPr>
          <t xml:space="preserve">
Waves: 0
Wind: 0
People: 4,2,0
Trade winds.  Stream running moderately. Scattered light rain</t>
        </r>
      </text>
    </comment>
    <comment ref="A32" authorId="0">
      <text>
        <r>
          <rPr>
            <b/>
            <sz val="9"/>
            <color indexed="81"/>
            <rFont val="Verdana"/>
          </rPr>
          <t>Dana Reed:</t>
        </r>
        <r>
          <rPr>
            <sz val="9"/>
            <color indexed="81"/>
            <rFont val="Verdana"/>
          </rPr>
          <t xml:space="preserve">
Waves: 1
Wind: 0
People: 1,3,0
The stream was flowing lightly that drains from the shops.</t>
        </r>
      </text>
    </comment>
    <comment ref="A33" authorId="0">
      <text>
        <r>
          <rPr>
            <b/>
            <sz val="9"/>
            <color indexed="81"/>
            <rFont val="Verdana"/>
          </rPr>
          <t>Dana Reed:</t>
        </r>
        <r>
          <rPr>
            <sz val="9"/>
            <color indexed="81"/>
            <rFont val="Verdana"/>
          </rPr>
          <t xml:space="preserve">
Waves: 0
Wind: 0
People: 0,0,0
Normal amount of water flow from parking garage, etc.
</t>
        </r>
      </text>
    </comment>
    <comment ref="A34" authorId="0">
      <text>
        <r>
          <rPr>
            <b/>
            <sz val="9"/>
            <color indexed="81"/>
            <rFont val="Verdana"/>
          </rPr>
          <t>Dana Reed:</t>
        </r>
        <r>
          <rPr>
            <sz val="9"/>
            <color indexed="81"/>
            <rFont val="Verdana"/>
          </rPr>
          <t xml:space="preserve">
Waves: 0
Wind: 0
People: 0,0,0
Parking lot drainage flowing strongly and right at sample site.</t>
        </r>
      </text>
    </comment>
    <comment ref="A35" authorId="0">
      <text>
        <r>
          <rPr>
            <b/>
            <sz val="9"/>
            <color indexed="81"/>
            <rFont val="Verdana"/>
          </rPr>
          <t>Dana Reed:</t>
        </r>
        <r>
          <rPr>
            <sz val="9"/>
            <color indexed="81"/>
            <rFont val="Verdana"/>
          </rPr>
          <t xml:space="preserve">
Waves: 0
Wind: 2
People: 0,5,0
Stream flow moderate from parking garage.  Kona winds.
</t>
        </r>
      </text>
    </comment>
  </commentList>
</comments>
</file>

<file path=xl/comments2.xml><?xml version="1.0" encoding="utf-8"?>
<comments xmlns="http://schemas.openxmlformats.org/spreadsheetml/2006/main">
  <authors>
    <author>Dana Reed</author>
  </authors>
  <commentList>
    <comment ref="H4" authorId="0">
      <text>
        <r>
          <rPr>
            <b/>
            <sz val="9"/>
            <color indexed="81"/>
            <rFont val="Verdana"/>
          </rPr>
          <t>Dana Reed:</t>
        </r>
        <r>
          <rPr>
            <sz val="9"/>
            <color indexed="81"/>
            <rFont val="Verdana"/>
          </rPr>
          <t xml:space="preserve">
Refractometer 35</t>
        </r>
      </text>
    </comment>
    <comment ref="A6" authorId="0">
      <text>
        <r>
          <rPr>
            <b/>
            <sz val="9"/>
            <color indexed="81"/>
            <rFont val="Verdana"/>
          </rPr>
          <t>Dana Reed:Data on this day may not be correct, but Alana believes it was.</t>
        </r>
        <r>
          <rPr>
            <sz val="9"/>
            <color indexed="81"/>
            <rFont val="Verdana"/>
          </rPr>
          <t xml:space="preserve">
Kayakers 100 yards, calm water, brown color, no swimmers.
</t>
        </r>
      </text>
    </comment>
    <comment ref="A7" authorId="0">
      <text>
        <r>
          <rPr>
            <b/>
            <sz val="9"/>
            <color indexed="81"/>
            <rFont val="Verdana"/>
          </rPr>
          <t>Dana Reed:</t>
        </r>
        <r>
          <rPr>
            <sz val="9"/>
            <color indexed="81"/>
            <rFont val="Verdana"/>
          </rPr>
          <t xml:space="preserve">
65% cloud cover, 5-10 mph wind, waves 0.5 feet, small amount of stream flow that was quite brown.  DATA swapped?  Alana was not present on this day and Jim and Cathy think almost certainly this data was swapped with PLT</t>
        </r>
      </text>
    </comment>
    <comment ref="A8" authorId="0">
      <text>
        <r>
          <rPr>
            <b/>
            <sz val="9"/>
            <color indexed="81"/>
            <rFont val="Verdana"/>
          </rPr>
          <t>Dana Reed:</t>
        </r>
        <r>
          <rPr>
            <sz val="9"/>
            <color indexed="81"/>
            <rFont val="Verdana"/>
          </rPr>
          <t xml:space="preserve">
10% cloud cover, no swimmers, can't see feet so collected sediment sample)</t>
        </r>
      </text>
    </comment>
    <comment ref="A9" authorId="0">
      <text>
        <r>
          <rPr>
            <b/>
            <sz val="9"/>
            <color indexed="81"/>
            <rFont val="Verdana"/>
          </rPr>
          <t>Dana Reed:
Dana (W), Nell
3 paddle boarders in water, lots of debris in water and on shore. Hardly any beach at high tide.</t>
        </r>
        <r>
          <rPr>
            <sz val="9"/>
            <color indexed="81"/>
            <rFont val="Verdana"/>
          </rPr>
          <t xml:space="preserve">
</t>
        </r>
      </text>
    </comment>
    <comment ref="A10" authorId="0">
      <text>
        <r>
          <rPr>
            <b/>
            <sz val="9"/>
            <color indexed="81"/>
            <rFont val="Verdana"/>
          </rPr>
          <t>Dana Reed:</t>
        </r>
        <r>
          <rPr>
            <sz val="9"/>
            <color indexed="81"/>
            <rFont val="Verdana"/>
          </rPr>
          <t xml:space="preserve">
nobody in water, looks murky, clouds 4/8, rich can't see feet at minimum knee deep for sampling..pH measurement slow to stabilize.</t>
        </r>
      </text>
    </comment>
    <comment ref="A11" authorId="0">
      <text>
        <r>
          <rPr>
            <b/>
            <sz val="9"/>
            <color indexed="81"/>
            <rFont val="Verdana"/>
          </rPr>
          <t>Dana Reed:</t>
        </r>
        <r>
          <rPr>
            <sz val="9"/>
            <color indexed="81"/>
            <rFont val="Verdana"/>
          </rPr>
          <t xml:space="preserve">
Light breeze &lt; 3 knots, clouds = 2, 6 inch shore break. Ekolu smelled sewer like smell last 5 days but no smell was noticed by volunteers. Water dirty brown.</t>
        </r>
      </text>
    </comment>
    <comment ref="A12" authorId="0">
      <text>
        <r>
          <rPr>
            <b/>
            <sz val="9"/>
            <color indexed="81"/>
            <rFont val="Verdana"/>
          </rPr>
          <t>Dana Reed:</t>
        </r>
        <r>
          <rPr>
            <sz val="9"/>
            <color indexed="81"/>
            <rFont val="Verdana"/>
          </rPr>
          <t xml:space="preserve">
No clouds, no waves, no wind, nobody in the water, nobody on the beach.</t>
        </r>
      </text>
    </comment>
    <comment ref="A13" authorId="0">
      <text>
        <r>
          <rPr>
            <b/>
            <sz val="9"/>
            <color indexed="81"/>
            <rFont val="Verdana"/>
          </rPr>
          <t>Dana Reed:</t>
        </r>
        <r>
          <rPr>
            <sz val="9"/>
            <color indexed="81"/>
            <rFont val="Verdana"/>
          </rPr>
          <t xml:space="preserve">
no clouds, near shore appears muddy,several ships, boats outside of reef, 5 dogs on beach, 2 in water near sample site,no wind, flat water, people walking on beach
</t>
        </r>
      </text>
    </comment>
    <comment ref="A14" authorId="0">
      <text>
        <r>
          <rPr>
            <b/>
            <sz val="9"/>
            <color indexed="81"/>
            <rFont val="Verdana"/>
          </rPr>
          <t>Dana Reed:</t>
        </r>
        <r>
          <rPr>
            <sz val="9"/>
            <color indexed="81"/>
            <rFont val="Verdana"/>
          </rPr>
          <t xml:space="preserve">
pH probe took a long time to stabilize at every site.  Not having problems when looking at pH buffer solutions however. Nobody in water, slight breeze, 5/8 cloud cover, flat water</t>
        </r>
      </text>
    </comment>
    <comment ref="K14" authorId="0">
      <text>
        <r>
          <rPr>
            <b/>
            <sz val="9"/>
            <color indexed="81"/>
            <rFont val="Verdana"/>
          </rPr>
          <t>Dana Reed:</t>
        </r>
        <r>
          <rPr>
            <sz val="9"/>
            <color indexed="81"/>
            <rFont val="Verdana"/>
          </rPr>
          <t xml:space="preserve">
Team had two readings, 7.99 and 8.02.  Took an average and rounded up.</t>
        </r>
      </text>
    </comment>
    <comment ref="A15" authorId="0">
      <text>
        <r>
          <rPr>
            <b/>
            <sz val="9"/>
            <color indexed="81"/>
            <rFont val="Verdana"/>
          </rPr>
          <t>Dana Reed:</t>
        </r>
        <r>
          <rPr>
            <sz val="9"/>
            <color indexed="81"/>
            <rFont val="Verdana"/>
          </rPr>
          <t xml:space="preserve">
100% cloud cover, flat water, cruise ship outside of reef, no wind, no waves, water seemed muddy to Rich as he could not see feet, no rain</t>
        </r>
      </text>
    </comment>
    <comment ref="K15" authorId="0">
      <text>
        <r>
          <rPr>
            <b/>
            <sz val="9"/>
            <color indexed="81"/>
            <rFont val="Verdana"/>
          </rPr>
          <t>Dana Reed:</t>
        </r>
        <r>
          <rPr>
            <sz val="9"/>
            <color indexed="81"/>
            <rFont val="Verdana"/>
          </rPr>
          <t xml:space="preserve">
probe sort of slow</t>
        </r>
      </text>
    </comment>
    <comment ref="A16" authorId="0">
      <text>
        <r>
          <rPr>
            <b/>
            <sz val="9"/>
            <color indexed="81"/>
            <rFont val="Verdana"/>
          </rPr>
          <t>Dana Reed:</t>
        </r>
        <r>
          <rPr>
            <sz val="9"/>
            <color indexed="81"/>
            <rFont val="Verdana"/>
          </rPr>
          <t xml:space="preserve">
no wind, no rain, no people in at sample site, small ripples</t>
        </r>
      </text>
    </comment>
    <comment ref="A17" authorId="0">
      <text>
        <r>
          <rPr>
            <b/>
            <sz val="9"/>
            <color indexed="81"/>
            <rFont val="Verdana"/>
          </rPr>
          <t>Dana Reed:</t>
        </r>
        <r>
          <rPr>
            <sz val="9"/>
            <color indexed="81"/>
            <rFont val="Verdana"/>
          </rPr>
          <t xml:space="preserve">
No stream flow, no clouds, flat water, no wind, super low tide. Had to wade out fairly far to get to knee deep.</t>
        </r>
      </text>
    </comment>
    <comment ref="K17" authorId="0">
      <text>
        <r>
          <rPr>
            <b/>
            <sz val="9"/>
            <color indexed="81"/>
            <rFont val="Verdana"/>
          </rPr>
          <t>Dana Reed:</t>
        </r>
        <r>
          <rPr>
            <sz val="9"/>
            <color indexed="81"/>
            <rFont val="Verdana"/>
          </rPr>
          <t xml:space="preserve">
7.92,7.96,7.96</t>
        </r>
      </text>
    </comment>
    <comment ref="A18" authorId="0">
      <text>
        <r>
          <rPr>
            <b/>
            <sz val="9"/>
            <color indexed="81"/>
            <rFont val="Verdana"/>
          </rPr>
          <t>Dana Reed:</t>
        </r>
        <r>
          <rPr>
            <sz val="9"/>
            <color indexed="81"/>
            <rFont val="Verdana"/>
          </rPr>
          <t xml:space="preserve">
Flat, 2-3 SUPs, 5 knots Kona, clouds 6</t>
        </r>
      </text>
    </comment>
    <comment ref="A19" authorId="0">
      <text>
        <r>
          <rPr>
            <b/>
            <sz val="9"/>
            <color indexed="81"/>
            <rFont val="Verdana"/>
          </rPr>
          <t>Dana Reed:</t>
        </r>
        <r>
          <rPr>
            <sz val="9"/>
            <color indexed="81"/>
            <rFont val="Verdana"/>
          </rPr>
          <t xml:space="preserve">
Flat, 3 kayaks, no swimmers, 0-5 kts, cloud cover 1/8</t>
        </r>
      </text>
    </comment>
    <comment ref="A20" authorId="0">
      <text>
        <r>
          <rPr>
            <b/>
            <sz val="9"/>
            <color indexed="81"/>
            <rFont val="Verdana"/>
          </rPr>
          <t>Dana Reed:</t>
        </r>
        <r>
          <rPr>
            <sz val="9"/>
            <color indexed="81"/>
            <rFont val="Verdana"/>
          </rPr>
          <t xml:space="preserve">
Slight chop, no swimmers, very light breeze 0.25 kts</t>
        </r>
      </text>
    </comment>
    <comment ref="A21" authorId="0">
      <text>
        <r>
          <rPr>
            <b/>
            <sz val="9"/>
            <color indexed="81"/>
            <rFont val="Verdana"/>
          </rPr>
          <t>Dana Reed:</t>
        </r>
        <r>
          <rPr>
            <sz val="9"/>
            <color indexed="81"/>
            <rFont val="Verdana"/>
          </rPr>
          <t xml:space="preserve">
100% cloud cover, no waves, no swimmers, winds less than 5 kts</t>
        </r>
      </text>
    </comment>
    <comment ref="A22" authorId="0">
      <text>
        <r>
          <rPr>
            <b/>
            <sz val="9"/>
            <color indexed="81"/>
            <rFont val="Verdana"/>
          </rPr>
          <t>Dana Reed:</t>
        </r>
        <r>
          <rPr>
            <sz val="9"/>
            <color indexed="81"/>
            <rFont val="Verdana"/>
          </rPr>
          <t xml:space="preserve">
Waves:  0
Stream NOT running
Swimmers:  0
Wind:  0</t>
        </r>
      </text>
    </comment>
    <comment ref="A23" authorId="0">
      <text>
        <r>
          <rPr>
            <b/>
            <sz val="9"/>
            <color indexed="81"/>
            <rFont val="Verdana"/>
          </rPr>
          <t>Dana Reed:</t>
        </r>
        <r>
          <rPr>
            <sz val="9"/>
            <color indexed="81"/>
            <rFont val="Verdana"/>
          </rPr>
          <t xml:space="preserve">
Waves: 0
Wind: 1
People: 0 ssk, 3 ob, 0 c</t>
        </r>
      </text>
    </comment>
    <comment ref="A24" authorId="0">
      <text>
        <r>
          <rPr>
            <b/>
            <sz val="9"/>
            <color indexed="81"/>
            <rFont val="Verdana"/>
          </rPr>
          <t>Dana Reed:</t>
        </r>
        <r>
          <rPr>
            <sz val="9"/>
            <color indexed="81"/>
            <rFont val="Verdana"/>
          </rPr>
          <t xml:space="preserve">
Waves: 0
Wind: 0
People: 3 on beach</t>
        </r>
      </text>
    </comment>
    <comment ref="A25" authorId="0">
      <text>
        <r>
          <rPr>
            <b/>
            <sz val="9"/>
            <color indexed="81"/>
            <rFont val="Verdana"/>
          </rPr>
          <t>Dana Reed:</t>
        </r>
        <r>
          <rPr>
            <sz val="9"/>
            <color indexed="81"/>
            <rFont val="Verdana"/>
          </rPr>
          <t xml:space="preserve">
Waves: 0
Wind: 1
People: ssk 0, ob 1-5, campers 1-5</t>
        </r>
      </text>
    </comment>
    <comment ref="A26" authorId="0">
      <text>
        <r>
          <rPr>
            <b/>
            <sz val="9"/>
            <color indexed="81"/>
            <rFont val="Verdana"/>
          </rPr>
          <t>Dana Reed:</t>
        </r>
        <r>
          <rPr>
            <sz val="9"/>
            <color indexed="81"/>
            <rFont val="Verdana"/>
          </rPr>
          <t xml:space="preserve">
Waves: 0
Wind: 1
People: ssk 0-5, ob 0, campers 0
No flow from storm drain
pH probe was not placed back in KCl at PFF so when discovered it was returned to KCl and allowed to sit for 5 minutes before the probe was placed in the bucket.</t>
        </r>
      </text>
    </comment>
    <comment ref="A27" authorId="0">
      <text>
        <r>
          <rPr>
            <b/>
            <sz val="9"/>
            <color indexed="81"/>
            <rFont val="Verdana"/>
          </rPr>
          <t>Dana Reed:</t>
        </r>
        <r>
          <rPr>
            <sz val="9"/>
            <color indexed="81"/>
            <rFont val="Verdana"/>
          </rPr>
          <t xml:space="preserve">
Waves: 0
Wind: 1
People: ssk 12, beach 5-10, camp 0
No stream flow from storm drain</t>
        </r>
      </text>
    </comment>
    <comment ref="A28" authorId="0">
      <text>
        <r>
          <rPr>
            <b/>
            <sz val="9"/>
            <color indexed="81"/>
            <rFont val="Verdana"/>
          </rPr>
          <t>Dana Reed:</t>
        </r>
        <r>
          <rPr>
            <sz val="9"/>
            <color indexed="81"/>
            <rFont val="Verdana"/>
          </rPr>
          <t xml:space="preserve">
Waves: 1
Wind: 2
People: 3 people on beach. Turbidity high enough to collect sediment sample. Light rain falling during collection and testing.</t>
        </r>
      </text>
    </comment>
    <comment ref="A29" authorId="0">
      <text>
        <r>
          <rPr>
            <b/>
            <sz val="9"/>
            <color indexed="81"/>
            <rFont val="Verdana"/>
          </rPr>
          <t>Dana Reed:</t>
        </r>
        <r>
          <rPr>
            <sz val="9"/>
            <color indexed="81"/>
            <rFont val="Verdana"/>
          </rPr>
          <t xml:space="preserve">
Waves: 0
Wind: 1
People: 0,4,0
No flow from culvert
</t>
        </r>
      </text>
    </comment>
    <comment ref="A30" authorId="0">
      <text>
        <r>
          <rPr>
            <b/>
            <sz val="9"/>
            <color indexed="81"/>
            <rFont val="Verdana"/>
          </rPr>
          <t>Dana Reed:</t>
        </r>
        <r>
          <rPr>
            <sz val="9"/>
            <color indexed="81"/>
            <rFont val="Verdana"/>
          </rPr>
          <t xml:space="preserve">
Waves: 1
Wind: 1
People: 0,4,0
Storm culvert running and erosion. Trades?
Overcast.</t>
        </r>
      </text>
    </comment>
    <comment ref="A31" authorId="0">
      <text>
        <r>
          <rPr>
            <b/>
            <sz val="9"/>
            <color indexed="81"/>
            <rFont val="Verdana"/>
          </rPr>
          <t>Dana Reed:</t>
        </r>
        <r>
          <rPr>
            <sz val="9"/>
            <color indexed="81"/>
            <rFont val="Verdana"/>
          </rPr>
          <t xml:space="preserve">
Waves: 0
Wind: 0
People: 0,5,0
No flow from culvert
</t>
        </r>
      </text>
    </comment>
    <comment ref="A32" authorId="0">
      <text>
        <r>
          <rPr>
            <b/>
            <sz val="9"/>
            <color indexed="81"/>
            <rFont val="Verdana"/>
          </rPr>
          <t>Dana Reed:</t>
        </r>
        <r>
          <rPr>
            <sz val="9"/>
            <color indexed="81"/>
            <rFont val="Verdana"/>
          </rPr>
          <t xml:space="preserve">
Waves: 1
Wind: 0
People: 0,0,0
</t>
        </r>
      </text>
    </comment>
    <comment ref="A33" authorId="0">
      <text>
        <r>
          <rPr>
            <b/>
            <sz val="9"/>
            <color indexed="81"/>
            <rFont val="Verdana"/>
          </rPr>
          <t>Dana Reed:</t>
        </r>
        <r>
          <rPr>
            <sz val="9"/>
            <color indexed="81"/>
            <rFont val="Verdana"/>
          </rPr>
          <t xml:space="preserve">
Waves: 0
Wind: 1
People: 0,3,0
</t>
        </r>
      </text>
    </comment>
    <comment ref="A34" authorId="0">
      <text>
        <r>
          <rPr>
            <b/>
            <sz val="9"/>
            <color indexed="81"/>
            <rFont val="Verdana"/>
          </rPr>
          <t>Dana Reed:</t>
        </r>
        <r>
          <rPr>
            <sz val="9"/>
            <color indexed="81"/>
            <rFont val="Verdana"/>
          </rPr>
          <t xml:space="preserve">
Waves: 0
Wind: 0
People: 1,4,0
Two dogs were observed during sampling. </t>
        </r>
      </text>
    </comment>
    <comment ref="A35" authorId="0">
      <text>
        <r>
          <rPr>
            <b/>
            <sz val="9"/>
            <color indexed="81"/>
            <rFont val="Verdana"/>
          </rPr>
          <t>Dana Reed:</t>
        </r>
        <r>
          <rPr>
            <sz val="9"/>
            <color indexed="81"/>
            <rFont val="Verdana"/>
          </rPr>
          <t xml:space="preserve">
Waves: 0
Wind: 1
People: 0,2,0
Culvert did have flow but stopped.</t>
        </r>
      </text>
    </comment>
  </commentList>
</comments>
</file>

<file path=xl/comments3.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34</t>
        </r>
      </text>
    </comment>
    <comment ref="J5" authorId="0">
      <text>
        <r>
          <rPr>
            <b/>
            <sz val="9"/>
            <color indexed="81"/>
            <rFont val="Verdana"/>
          </rPr>
          <t>Dana Reed:</t>
        </r>
        <r>
          <rPr>
            <sz val="9"/>
            <color indexed="81"/>
            <rFont val="Verdana"/>
          </rPr>
          <t xml:space="preserve">
Took average of three points out of 4.  The first reading was way higher than all the other readings and led to a 4th reading which confirmed that the sample cell was probably smudged in the first reading.</t>
        </r>
      </text>
    </comment>
    <comment ref="A6" authorId="0">
      <text>
        <r>
          <rPr>
            <b/>
            <sz val="9"/>
            <color indexed="81"/>
            <rFont val="Verdana"/>
          </rPr>
          <t>Dana Reed:</t>
        </r>
        <r>
          <rPr>
            <sz val="9"/>
            <color indexed="81"/>
            <rFont val="Verdana"/>
          </rPr>
          <t xml:space="preserve">
Surfer exiting water so the team waited to sample. No swimmers, brown water.  Some question on this data as to whether it was swapped with PLH
</t>
        </r>
      </text>
    </comment>
    <comment ref="A7" authorId="0">
      <text>
        <r>
          <rPr>
            <b/>
            <sz val="9"/>
            <color indexed="81"/>
            <rFont val="Verdana"/>
          </rPr>
          <t>Dana Reed:</t>
        </r>
        <r>
          <rPr>
            <sz val="9"/>
            <color indexed="81"/>
            <rFont val="Verdana"/>
          </rPr>
          <t xml:space="preserve">
3 SUPs, same weather, close to high tide.  This data almost certainly was swapped with PLH.</t>
        </r>
      </text>
    </comment>
    <comment ref="A8" authorId="0">
      <text>
        <r>
          <rPr>
            <b/>
            <sz val="9"/>
            <color indexed="81"/>
            <rFont val="Verdana"/>
          </rPr>
          <t>Dana Reed:</t>
        </r>
        <r>
          <rPr>
            <sz val="9"/>
            <color indexed="81"/>
            <rFont val="Verdana"/>
          </rPr>
          <t xml:space="preserve">
This data was incorrectly entered on data sheet as PLH.  It is correct here. 15% cloud cover, no swimmers, lots of sediment.</t>
        </r>
      </text>
    </comment>
    <comment ref="A9" authorId="0">
      <text>
        <r>
          <rPr>
            <b/>
            <sz val="9"/>
            <color indexed="81"/>
            <rFont val="Verdana"/>
          </rPr>
          <t>Dana Reed:
Dana (W), Nell</t>
        </r>
        <r>
          <rPr>
            <sz val="9"/>
            <color indexed="81"/>
            <rFont val="Verdana"/>
          </rPr>
          <t xml:space="preserve">
Lots of debris in water and also washed up on beach. 3 paddle boarders in water.</t>
        </r>
      </text>
    </comment>
    <comment ref="A10" authorId="0">
      <text>
        <r>
          <rPr>
            <b/>
            <sz val="9"/>
            <color indexed="81"/>
            <rFont val="Verdana"/>
          </rPr>
          <t>Dana Reed:</t>
        </r>
        <r>
          <rPr>
            <sz val="9"/>
            <color indexed="81"/>
            <rFont val="Verdana"/>
          </rPr>
          <t xml:space="preserve">
kayaks within 75 feet, 4/8 clouds, light breeze
</t>
        </r>
      </text>
    </comment>
    <comment ref="A11" authorId="0">
      <text>
        <r>
          <rPr>
            <b/>
            <sz val="9"/>
            <color indexed="81"/>
            <rFont val="Verdana"/>
          </rPr>
          <t>Dana Reed:</t>
        </r>
        <r>
          <rPr>
            <sz val="9"/>
            <color indexed="81"/>
            <rFont val="Verdana"/>
          </rPr>
          <t xml:space="preserve">
Breeze &lt; 3 knots, clouds = 4, 3 inch shore break, obviously brown but no smell.</t>
        </r>
      </text>
    </comment>
    <comment ref="A12" authorId="0">
      <text>
        <r>
          <rPr>
            <b/>
            <sz val="9"/>
            <color indexed="81"/>
            <rFont val="Verdana"/>
          </rPr>
          <t>Dana Reed:</t>
        </r>
        <r>
          <rPr>
            <sz val="9"/>
            <color indexed="81"/>
            <rFont val="Verdana"/>
          </rPr>
          <t xml:space="preserve">
No waves, slight surface ripple from light breeze, no clouds.</t>
        </r>
      </text>
    </comment>
    <comment ref="A13" authorId="0">
      <text>
        <r>
          <rPr>
            <b/>
            <sz val="9"/>
            <color indexed="81"/>
            <rFont val="Verdana"/>
          </rPr>
          <t>Dana Reed:</t>
        </r>
        <r>
          <rPr>
            <sz val="9"/>
            <color indexed="81"/>
            <rFont val="Verdana"/>
          </rPr>
          <t xml:space="preserve">
no clouds, shore muddiness, flat, 8 people in and out of wter on SUPs approx 50 ft to right of sample point, woman and dog on beach
</t>
        </r>
      </text>
    </comment>
    <comment ref="A14" authorId="0">
      <text>
        <r>
          <rPr>
            <b/>
            <sz val="9"/>
            <color indexed="81"/>
            <rFont val="Verdana"/>
          </rPr>
          <t>Dana Reed:</t>
        </r>
        <r>
          <rPr>
            <sz val="9"/>
            <color indexed="81"/>
            <rFont val="Verdana"/>
          </rPr>
          <t xml:space="preserve">
pH probe taking a long time to stabilize at all sites. 3/8 cloud cover, no one in water, looks dirty, slight breeze, no waves inside of reef.</t>
        </r>
      </text>
    </comment>
    <comment ref="A15" authorId="0">
      <text>
        <r>
          <rPr>
            <b/>
            <sz val="9"/>
            <color indexed="81"/>
            <rFont val="Verdana"/>
          </rPr>
          <t>Dana Reed:</t>
        </r>
        <r>
          <rPr>
            <sz val="9"/>
            <color indexed="81"/>
            <rFont val="Verdana"/>
          </rPr>
          <t xml:space="preserve">
95% cloud cover, flat, no wave, cruise ship beyond reef, no in in water, no one on beach, no rain</t>
        </r>
      </text>
    </comment>
    <comment ref="I15" authorId="0">
      <text>
        <r>
          <rPr>
            <b/>
            <sz val="9"/>
            <color indexed="81"/>
            <rFont val="Verdana"/>
          </rPr>
          <t>Dana Reed:</t>
        </r>
        <r>
          <rPr>
            <sz val="9"/>
            <color indexed="81"/>
            <rFont val="Verdana"/>
          </rPr>
          <t xml:space="preserve">
44 sec to stabilitze</t>
        </r>
      </text>
    </comment>
    <comment ref="A16" authorId="0">
      <text>
        <r>
          <rPr>
            <b/>
            <sz val="9"/>
            <color indexed="81"/>
            <rFont val="Verdana"/>
          </rPr>
          <t>Dana Reed:</t>
        </r>
        <r>
          <rPr>
            <sz val="9"/>
            <color indexed="81"/>
            <rFont val="Verdana"/>
          </rPr>
          <t xml:space="preserve">
no wind, no rain, flat, pH stabilized quicker, 4-5 SUP, dirty water, 5 dogs, people walking on beach, had a problem with the syringe filter being off center and had to take filter holder apart and adjusted the filter and then took another sample and filtered it through.</t>
        </r>
      </text>
    </comment>
    <comment ref="A17" authorId="0">
      <text>
        <r>
          <rPr>
            <b/>
            <sz val="9"/>
            <color indexed="81"/>
            <rFont val="Verdana"/>
          </rPr>
          <t>Dana Reed:</t>
        </r>
        <r>
          <rPr>
            <sz val="9"/>
            <color indexed="81"/>
            <rFont val="Verdana"/>
          </rPr>
          <t xml:space="preserve">
7 SUPs, 1 walker, no clouds, no wind, flat, super low tide</t>
        </r>
      </text>
    </comment>
    <comment ref="I17" authorId="0">
      <text>
        <r>
          <rPr>
            <b/>
            <sz val="9"/>
            <color indexed="81"/>
            <rFont val="Verdana"/>
          </rPr>
          <t>Dana Reed:</t>
        </r>
        <r>
          <rPr>
            <sz val="9"/>
            <color indexed="81"/>
            <rFont val="Verdana"/>
          </rPr>
          <t xml:space="preserve">
7.99,8.00,8.00</t>
        </r>
      </text>
    </comment>
    <comment ref="A18" authorId="0">
      <text>
        <r>
          <rPr>
            <b/>
            <sz val="9"/>
            <color indexed="81"/>
            <rFont val="Verdana"/>
          </rPr>
          <t>Dana Reed:</t>
        </r>
        <r>
          <rPr>
            <sz val="9"/>
            <color indexed="81"/>
            <rFont val="Verdana"/>
          </rPr>
          <t xml:space="preserve">
Flat, 1 SUP, 7 kts Kona, clouds 4</t>
        </r>
      </text>
    </comment>
    <comment ref="A19" authorId="0">
      <text>
        <r>
          <rPr>
            <b/>
            <sz val="9"/>
            <color indexed="81"/>
            <rFont val="Verdana"/>
          </rPr>
          <t>Dana Reed:</t>
        </r>
        <r>
          <rPr>
            <sz val="9"/>
            <color indexed="81"/>
            <rFont val="Verdana"/>
          </rPr>
          <t xml:space="preserve">
Flat, 1 SUP, no wind, 2/8 clouds.</t>
        </r>
      </text>
    </comment>
    <comment ref="A20" authorId="0">
      <text>
        <r>
          <rPr>
            <b/>
            <sz val="9"/>
            <color indexed="81"/>
            <rFont val="Verdana"/>
          </rPr>
          <t>Dana Reed:</t>
        </r>
        <r>
          <rPr>
            <sz val="9"/>
            <color indexed="81"/>
            <rFont val="Verdana"/>
          </rPr>
          <t xml:space="preserve">
Flat sea with just a slight texture, surfer coming in stirred up sediment, 0.25 kt wind</t>
        </r>
      </text>
    </comment>
    <comment ref="A21" authorId="0">
      <text>
        <r>
          <rPr>
            <b/>
            <sz val="9"/>
            <color indexed="81"/>
            <rFont val="Verdana"/>
          </rPr>
          <t>Dana Reed:</t>
        </r>
        <r>
          <rPr>
            <sz val="9"/>
            <color indexed="81"/>
            <rFont val="Verdana"/>
          </rPr>
          <t xml:space="preserve">
Calm, no waves; 6 SUPs may have increased turbidity, 5 knot winds</t>
        </r>
      </text>
    </comment>
    <comment ref="A22" authorId="0">
      <text>
        <r>
          <rPr>
            <b/>
            <sz val="9"/>
            <color indexed="81"/>
            <rFont val="Verdana"/>
          </rPr>
          <t>Dana Reed:</t>
        </r>
        <r>
          <rPr>
            <sz val="9"/>
            <color indexed="81"/>
            <rFont val="Verdana"/>
          </rPr>
          <t xml:space="preserve">
Waves:  0
Very low tide and samples taken next to buoy!
Swimmers: 0
Wind: 4 mph</t>
        </r>
      </text>
    </comment>
    <comment ref="A23" authorId="0">
      <text>
        <r>
          <rPr>
            <b/>
            <sz val="9"/>
            <color indexed="81"/>
            <rFont val="Verdana"/>
          </rPr>
          <t>Dana Reed:</t>
        </r>
        <r>
          <rPr>
            <sz val="9"/>
            <color indexed="81"/>
            <rFont val="Verdana"/>
          </rPr>
          <t xml:space="preserve">
Waves: 0
Wind: 1
People: 5-10 ssk, 6 ob, 0 c</t>
        </r>
      </text>
    </comment>
    <comment ref="A24" authorId="0">
      <text>
        <r>
          <rPr>
            <b/>
            <sz val="9"/>
            <color indexed="81"/>
            <rFont val="Verdana"/>
          </rPr>
          <t>Dana Reed:</t>
        </r>
        <r>
          <rPr>
            <sz val="9"/>
            <color indexed="81"/>
            <rFont val="Verdana"/>
          </rPr>
          <t xml:space="preserve">
Waves: 0
Wind: 1
People: 1-5 ssk</t>
        </r>
      </text>
    </comment>
    <comment ref="A25" authorId="0">
      <text>
        <r>
          <rPr>
            <b/>
            <sz val="9"/>
            <color indexed="81"/>
            <rFont val="Verdana"/>
          </rPr>
          <t>Dana Reed:</t>
        </r>
        <r>
          <rPr>
            <sz val="9"/>
            <color indexed="81"/>
            <rFont val="Verdana"/>
          </rPr>
          <t xml:space="preserve">
Waves: 0
Wind: 0
People: ssk 5-10, ob 1-5, campers 1-5, 2 dogs</t>
        </r>
      </text>
    </comment>
    <comment ref="A26" authorId="0">
      <text>
        <r>
          <rPr>
            <b/>
            <sz val="9"/>
            <color indexed="81"/>
            <rFont val="Verdana"/>
          </rPr>
          <t>Dana Reed:</t>
        </r>
        <r>
          <rPr>
            <sz val="9"/>
            <color indexed="81"/>
            <rFont val="Verdana"/>
          </rPr>
          <t xml:space="preserve">
Waves: 0
Wind: 1
People: ssk 0, ob 0, campers 0</t>
        </r>
      </text>
    </comment>
    <comment ref="A27" authorId="0">
      <text>
        <r>
          <rPr>
            <b/>
            <sz val="9"/>
            <color indexed="81"/>
            <rFont val="Verdana"/>
          </rPr>
          <t>Dana Reed:</t>
        </r>
        <r>
          <rPr>
            <sz val="9"/>
            <color indexed="81"/>
            <rFont val="Verdana"/>
          </rPr>
          <t xml:space="preserve">
Waves: 0
Wind: 0
People: ssk 1, beach 0, camp 0</t>
        </r>
      </text>
    </comment>
    <comment ref="A28" authorId="0">
      <text>
        <r>
          <rPr>
            <b/>
            <sz val="9"/>
            <color indexed="81"/>
            <rFont val="Verdana"/>
          </rPr>
          <t>Dana Reed:</t>
        </r>
        <r>
          <rPr>
            <sz val="9"/>
            <color indexed="81"/>
            <rFont val="Verdana"/>
          </rPr>
          <t xml:space="preserve">
Waves: 1
Wind: 0
People: none by the time the team returned. They skipped this site initially because it started raining too hard.  They collected at all other sites and returned to this site at the end.  Turbidity numbers caused a sediment sample to be collected.</t>
        </r>
      </text>
    </comment>
    <comment ref="A29" authorId="0">
      <text>
        <r>
          <rPr>
            <b/>
            <sz val="9"/>
            <color indexed="81"/>
            <rFont val="Verdana"/>
          </rPr>
          <t>Dana Reed:</t>
        </r>
        <r>
          <rPr>
            <sz val="9"/>
            <color indexed="81"/>
            <rFont val="Verdana"/>
          </rPr>
          <t xml:space="preserve">
Waves: 0
Wind: 2
People: 0,1,0
</t>
        </r>
      </text>
    </comment>
    <comment ref="E29" authorId="0">
      <text>
        <r>
          <rPr>
            <b/>
            <sz val="9"/>
            <color indexed="81"/>
            <rFont val="Verdana"/>
          </rPr>
          <t>Dana Reed:</t>
        </r>
        <r>
          <rPr>
            <sz val="9"/>
            <color indexed="81"/>
            <rFont val="Verdana"/>
          </rPr>
          <t xml:space="preserve">
Hard to tell if this should be 28.3 or 29.3.  Don't believe that is could be 29.3 with other readings in area.</t>
        </r>
      </text>
    </comment>
    <comment ref="A30" authorId="0">
      <text>
        <r>
          <rPr>
            <b/>
            <sz val="9"/>
            <color indexed="81"/>
            <rFont val="Verdana"/>
          </rPr>
          <t>Dana Reed:</t>
        </r>
        <r>
          <rPr>
            <sz val="9"/>
            <color indexed="81"/>
            <rFont val="Verdana"/>
          </rPr>
          <t xml:space="preserve">
Waves: 0
Wind: 1
People: 0,0,0
Very little beach left</t>
        </r>
      </text>
    </comment>
    <comment ref="A31" authorId="0">
      <text>
        <r>
          <rPr>
            <b/>
            <sz val="9"/>
            <color indexed="81"/>
            <rFont val="Verdana"/>
          </rPr>
          <t>Dana Reed:</t>
        </r>
        <r>
          <rPr>
            <sz val="9"/>
            <color indexed="81"/>
            <rFont val="Verdana"/>
          </rPr>
          <t xml:space="preserve">
Waves: 0
Wind: 1
People: 0,3,0
</t>
        </r>
      </text>
    </comment>
    <comment ref="A32" authorId="0">
      <text>
        <r>
          <rPr>
            <b/>
            <sz val="9"/>
            <color indexed="81"/>
            <rFont val="Verdana"/>
          </rPr>
          <t>Dana Reed:</t>
        </r>
        <r>
          <rPr>
            <sz val="9"/>
            <color indexed="81"/>
            <rFont val="Verdana"/>
          </rPr>
          <t xml:space="preserve">
Waves: 0
Wind: 1
People: 0,1,0
</t>
        </r>
      </text>
    </comment>
    <comment ref="A34" authorId="0">
      <text>
        <r>
          <rPr>
            <b/>
            <sz val="9"/>
            <color indexed="81"/>
            <rFont val="Verdana"/>
          </rPr>
          <t>Dana Reed:</t>
        </r>
        <r>
          <rPr>
            <sz val="9"/>
            <color indexed="81"/>
            <rFont val="Verdana"/>
          </rPr>
          <t xml:space="preserve">
Waves: 0
Wind: 0
People: 7,1,0
</t>
        </r>
      </text>
    </comment>
    <comment ref="A35" authorId="0">
      <text>
        <r>
          <rPr>
            <b/>
            <sz val="9"/>
            <color indexed="81"/>
            <rFont val="Verdana"/>
          </rPr>
          <t>Dana Reed:</t>
        </r>
        <r>
          <rPr>
            <sz val="9"/>
            <color indexed="81"/>
            <rFont val="Verdana"/>
          </rPr>
          <t xml:space="preserve">
Waves: 0
Wind: 2
People: 0,1,0
</t>
        </r>
      </text>
    </comment>
    <comment ref="A36" authorId="0">
      <text>
        <r>
          <rPr>
            <b/>
            <sz val="9"/>
            <color indexed="81"/>
            <rFont val="Verdana"/>
          </rPr>
          <t>Dana Reed:</t>
        </r>
        <r>
          <rPr>
            <sz val="9"/>
            <color indexed="81"/>
            <rFont val="Verdana"/>
          </rPr>
          <t xml:space="preserve">
Waves: 0
Wind: 3
People: 0,1,0
</t>
        </r>
      </text>
    </comment>
  </commentList>
</comments>
</file>

<file path=xl/comments4.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No sample due to high surf and dangerous conditions</t>
        </r>
      </text>
    </comment>
    <comment ref="A3" authorId="0">
      <text>
        <r>
          <rPr>
            <b/>
            <sz val="9"/>
            <color indexed="81"/>
            <rFont val="Verdana"/>
          </rPr>
          <t>Dana Reed:</t>
        </r>
        <r>
          <rPr>
            <sz val="9"/>
            <color indexed="81"/>
            <rFont val="Verdana"/>
          </rPr>
          <t xml:space="preserve">
No sample due to high surf and dangerous conditions</t>
        </r>
      </text>
    </comment>
    <comment ref="A4" authorId="0">
      <text>
        <r>
          <rPr>
            <b/>
            <sz val="9"/>
            <color indexed="81"/>
            <rFont val="Verdana"/>
          </rPr>
          <t>Dana Reed:</t>
        </r>
        <r>
          <rPr>
            <sz val="9"/>
            <color indexed="81"/>
            <rFont val="Verdana"/>
          </rPr>
          <t xml:space="preserve">
No sample due to high surf and dangerous conditions</t>
        </r>
      </text>
    </comment>
    <comment ref="A6" authorId="0">
      <text>
        <r>
          <rPr>
            <b/>
            <sz val="9"/>
            <color indexed="81"/>
            <rFont val="Verdana"/>
          </rPr>
          <t>Dana Reed:</t>
        </r>
        <r>
          <rPr>
            <sz val="9"/>
            <color indexed="81"/>
            <rFont val="Verdana"/>
          </rPr>
          <t xml:space="preserve">
2-3 foot surf, close to high tide. At least a foot of water over pier</t>
        </r>
      </text>
    </comment>
    <comment ref="A7" authorId="0">
      <text>
        <r>
          <rPr>
            <b/>
            <sz val="9"/>
            <color indexed="81"/>
            <rFont val="Verdana"/>
          </rPr>
          <t>Dana Reed:</t>
        </r>
        <r>
          <rPr>
            <sz val="9"/>
            <color indexed="81"/>
            <rFont val="Verdana"/>
          </rPr>
          <t xml:space="preserve">
55% cloud cover, 10-15 mph wind, 0.5 ft waves</t>
        </r>
      </text>
    </comment>
    <comment ref="A10" authorId="0">
      <text>
        <r>
          <rPr>
            <b/>
            <sz val="9"/>
            <color indexed="81"/>
            <rFont val="Verdana"/>
          </rPr>
          <t>Dana Reed:</t>
        </r>
        <r>
          <rPr>
            <sz val="9"/>
            <color indexed="81"/>
            <rFont val="Verdana"/>
          </rPr>
          <t xml:space="preserve">
Nobody in water, looks cleaner than PL sites, 1-2 feet where samples were taken, water washing over pier at collection site. Required multiple people to handle collection. Have pictures.</t>
        </r>
      </text>
    </comment>
    <comment ref="A11" authorId="0">
      <text>
        <r>
          <rPr>
            <b/>
            <sz val="9"/>
            <color indexed="81"/>
            <rFont val="Verdana"/>
          </rPr>
          <t>Dana Reed:</t>
        </r>
        <r>
          <rPr>
            <sz val="9"/>
            <color indexed="81"/>
            <rFont val="Verdana"/>
          </rPr>
          <t xml:space="preserve">
Breeze 3 knots, water a little brown, used pole to sample, clouds = 3, 2 foot waves</t>
        </r>
      </text>
    </comment>
    <comment ref="A12" authorId="0">
      <text>
        <r>
          <rPr>
            <b/>
            <sz val="9"/>
            <color indexed="81"/>
            <rFont val="Verdana"/>
          </rPr>
          <t>Dana Reed:</t>
        </r>
        <r>
          <rPr>
            <sz val="9"/>
            <color indexed="81"/>
            <rFont val="Verdana"/>
          </rPr>
          <t xml:space="preserve">
No clouds, 1-2 foot waves, &lt;5 mph winds, nobody surfing or swimming</t>
        </r>
      </text>
    </comment>
    <comment ref="A13" authorId="0">
      <text>
        <r>
          <rPr>
            <b/>
            <sz val="9"/>
            <color indexed="81"/>
            <rFont val="Verdana"/>
          </rPr>
          <t>Dana Reed:</t>
        </r>
        <r>
          <rPr>
            <sz val="9"/>
            <color indexed="81"/>
            <rFont val="Verdana"/>
          </rPr>
          <t xml:space="preserve">
no clouds, no people, 6 inch waves, turtle within 10 feet of sample site, no wind</t>
        </r>
      </text>
    </comment>
    <comment ref="A14" authorId="0">
      <text>
        <r>
          <rPr>
            <b/>
            <sz val="9"/>
            <color indexed="81"/>
            <rFont val="Verdana"/>
          </rPr>
          <t>Dana Reed:</t>
        </r>
        <r>
          <rPr>
            <sz val="9"/>
            <color indexed="81"/>
            <rFont val="Verdana"/>
          </rPr>
          <t xml:space="preserve">
3/8 cloud cover, no one in water, slight breeze, 1 foot surf</t>
        </r>
      </text>
    </comment>
    <comment ref="I14" authorId="0">
      <text>
        <r>
          <rPr>
            <b/>
            <sz val="9"/>
            <color indexed="81"/>
            <rFont val="Verdana"/>
          </rPr>
          <t>Dana Reed:</t>
        </r>
        <r>
          <rPr>
            <sz val="9"/>
            <color indexed="81"/>
            <rFont val="Verdana"/>
          </rPr>
          <t xml:space="preserve">
Team recorded two measurements, 8.09 and 8.11.  This is the average.</t>
        </r>
      </text>
    </comment>
    <comment ref="A15" authorId="0">
      <text>
        <r>
          <rPr>
            <b/>
            <sz val="9"/>
            <color indexed="81"/>
            <rFont val="Verdana"/>
          </rPr>
          <t>Dana Reed:</t>
        </r>
        <r>
          <rPr>
            <sz val="9"/>
            <color indexed="81"/>
            <rFont val="Verdana"/>
          </rPr>
          <t xml:space="preserve">
85% cloud cover, cruise ship off of beach, low tide, wavers ~1 foot, no rain, no one in water, no scoop today, looked clear</t>
        </r>
      </text>
    </comment>
    <comment ref="A16" authorId="0">
      <text>
        <r>
          <rPr>
            <b/>
            <sz val="9"/>
            <color indexed="81"/>
            <rFont val="Verdana"/>
          </rPr>
          <t>Dana Reed:</t>
        </r>
        <r>
          <rPr>
            <sz val="9"/>
            <color indexed="81"/>
            <rFont val="Verdana"/>
          </rPr>
          <t xml:space="preserve">
no wind, no rain, 1 SUP, 1 ft waves, not able to collect at tip of pier due to higher water</t>
        </r>
      </text>
    </comment>
    <comment ref="A17" authorId="0">
      <text>
        <r>
          <rPr>
            <b/>
            <sz val="9"/>
            <color indexed="81"/>
            <rFont val="Verdana"/>
          </rPr>
          <t>Dana Reed:</t>
        </r>
        <r>
          <rPr>
            <sz val="9"/>
            <color indexed="81"/>
            <rFont val="Verdana"/>
          </rPr>
          <t xml:space="preserve">
1 foot surf, no clouds, no wind, super low tide making is easy sampling for a change</t>
        </r>
      </text>
    </comment>
    <comment ref="I17" authorId="0">
      <text>
        <r>
          <rPr>
            <b/>
            <sz val="9"/>
            <color indexed="81"/>
            <rFont val="Verdana"/>
          </rPr>
          <t>Dana Reed:</t>
        </r>
        <r>
          <rPr>
            <sz val="9"/>
            <color indexed="81"/>
            <rFont val="Verdana"/>
          </rPr>
          <t xml:space="preserve">
2nd and 3rd readings same, 8.05, 8.06, 8.06</t>
        </r>
      </text>
    </comment>
    <comment ref="A18" authorId="0">
      <text>
        <r>
          <rPr>
            <b/>
            <sz val="9"/>
            <color indexed="81"/>
            <rFont val="Verdana"/>
          </rPr>
          <t>Dana Reed:</t>
        </r>
        <r>
          <rPr>
            <sz val="9"/>
            <color indexed="81"/>
            <rFont val="Verdana"/>
          </rPr>
          <t xml:space="preserve">
6 inch chop, no swimmers, 4 kts Kona, clouds 3</t>
        </r>
      </text>
    </comment>
    <comment ref="A19" authorId="0">
      <text>
        <r>
          <rPr>
            <b/>
            <sz val="9"/>
            <color indexed="81"/>
            <rFont val="Verdana"/>
          </rPr>
          <t>Dana Reed:</t>
        </r>
        <r>
          <rPr>
            <sz val="9"/>
            <color indexed="81"/>
            <rFont val="Verdana"/>
          </rPr>
          <t xml:space="preserve">
1 foot waves from south, no swimmers, no wind, 2/8 clouds.  Forgot sampling pole so took turbidity and nutrient samples out of regular bucket per Dana.  Rinsed sampling bucket really well first.</t>
        </r>
      </text>
    </comment>
    <comment ref="A20" authorId="0">
      <text>
        <r>
          <rPr>
            <b/>
            <sz val="9"/>
            <color indexed="81"/>
            <rFont val="Verdana"/>
          </rPr>
          <t>Dana Reed:</t>
        </r>
        <r>
          <rPr>
            <sz val="9"/>
            <color indexed="81"/>
            <rFont val="Verdana"/>
          </rPr>
          <t xml:space="preserve">
1 foot waves, no swimmers, 1 kt wind</t>
        </r>
      </text>
    </comment>
    <comment ref="A21" authorId="0">
      <text>
        <r>
          <rPr>
            <b/>
            <sz val="9"/>
            <color indexed="81"/>
            <rFont val="Verdana"/>
          </rPr>
          <t>Dana Reed:</t>
        </r>
        <r>
          <rPr>
            <sz val="9"/>
            <color indexed="81"/>
            <rFont val="Verdana"/>
          </rPr>
          <t xml:space="preserve">
1 foot surf, clouds clearing, no swimmers, less than 5 knot wind</t>
        </r>
      </text>
    </comment>
    <comment ref="A22" authorId="0">
      <text>
        <r>
          <rPr>
            <b/>
            <sz val="9"/>
            <color indexed="81"/>
            <rFont val="Verdana"/>
          </rPr>
          <t>Dana Reed:</t>
        </r>
        <r>
          <rPr>
            <sz val="9"/>
            <color indexed="81"/>
            <rFont val="Verdana"/>
          </rPr>
          <t xml:space="preserve">
Waves:  1.5 foot
Swimmers:  0
Wind:  4 mph</t>
        </r>
      </text>
    </comment>
    <comment ref="A23" authorId="0">
      <text>
        <r>
          <rPr>
            <b/>
            <sz val="9"/>
            <color indexed="81"/>
            <rFont val="Verdana"/>
          </rPr>
          <t>Dana Reed:</t>
        </r>
        <r>
          <rPr>
            <sz val="9"/>
            <color indexed="81"/>
            <rFont val="Verdana"/>
          </rPr>
          <t xml:space="preserve">
Waves: 2 ft
Wind: 1
People: 0 ssk, 0 ob, 0 c</t>
        </r>
      </text>
    </comment>
    <comment ref="A24" authorId="0">
      <text>
        <r>
          <rPr>
            <b/>
            <sz val="9"/>
            <color indexed="81"/>
            <rFont val="Verdana"/>
          </rPr>
          <t>Dana Reed:</t>
        </r>
        <r>
          <rPr>
            <sz val="9"/>
            <color indexed="81"/>
            <rFont val="Verdana"/>
          </rPr>
          <t xml:space="preserve">
Waves: 2-3 ft
Wind: 1
People: 1 surfer</t>
        </r>
      </text>
    </comment>
    <comment ref="A25" authorId="0">
      <text>
        <r>
          <rPr>
            <b/>
            <sz val="9"/>
            <color indexed="81"/>
            <rFont val="Verdana"/>
          </rPr>
          <t>Dana Reed:</t>
        </r>
        <r>
          <rPr>
            <sz val="9"/>
            <color indexed="81"/>
            <rFont val="Verdana"/>
          </rPr>
          <t xml:space="preserve">
Waves: 1
Wind: 1
People: ssk 0, ob 0, campers 0</t>
        </r>
      </text>
    </comment>
    <comment ref="A26" authorId="0">
      <text>
        <r>
          <rPr>
            <b/>
            <sz val="9"/>
            <color indexed="81"/>
            <rFont val="Verdana"/>
          </rPr>
          <t>Dana Reed:</t>
        </r>
        <r>
          <rPr>
            <sz val="9"/>
            <color indexed="81"/>
            <rFont val="Verdana"/>
          </rPr>
          <t xml:space="preserve">
Waves: 1
Wind: 1
People: ssk 0, ob 0, campers 0</t>
        </r>
      </text>
    </comment>
    <comment ref="A27" authorId="0">
      <text>
        <r>
          <rPr>
            <b/>
            <sz val="9"/>
            <color indexed="81"/>
            <rFont val="Verdana"/>
          </rPr>
          <t>Dana Reed:</t>
        </r>
        <r>
          <rPr>
            <sz val="9"/>
            <color indexed="81"/>
            <rFont val="Verdana"/>
          </rPr>
          <t xml:space="preserve">
Waves: 2
Wind: 2
People: ssk 1, beach 0, camp 0</t>
        </r>
      </text>
    </comment>
    <comment ref="C28" authorId="0">
      <text>
        <r>
          <rPr>
            <b/>
            <sz val="9"/>
            <color indexed="81"/>
            <rFont val="Verdana"/>
          </rPr>
          <t>Dana Reed:</t>
        </r>
        <r>
          <rPr>
            <sz val="9"/>
            <color indexed="81"/>
            <rFont val="Verdana"/>
          </rPr>
          <t xml:space="preserve">
No sample collected at Puamana due to high surf. Large south swell.</t>
        </r>
      </text>
    </comment>
    <comment ref="A29" authorId="0">
      <text>
        <r>
          <rPr>
            <b/>
            <sz val="9"/>
            <color indexed="81"/>
            <rFont val="Verdana"/>
          </rPr>
          <t>Dana Reed:</t>
        </r>
        <r>
          <rPr>
            <sz val="9"/>
            <color indexed="81"/>
            <rFont val="Verdana"/>
          </rPr>
          <t xml:space="preserve">
Waves: 1
Wind: 2
People: 0,0,0
</t>
        </r>
      </text>
    </comment>
    <comment ref="A30" authorId="0">
      <text>
        <r>
          <rPr>
            <b/>
            <sz val="9"/>
            <color indexed="81"/>
            <rFont val="Verdana"/>
          </rPr>
          <t>Dana Reed:</t>
        </r>
        <r>
          <rPr>
            <sz val="9"/>
            <color indexed="81"/>
            <rFont val="Verdana"/>
          </rPr>
          <t xml:space="preserve">
Waves: 2
Wind: 1
People: 0,0,0
Very high tide and waves</t>
        </r>
      </text>
    </comment>
    <comment ref="A31" authorId="0">
      <text>
        <r>
          <rPr>
            <b/>
            <sz val="9"/>
            <color indexed="81"/>
            <rFont val="Verdana"/>
          </rPr>
          <t>Dana Reed:</t>
        </r>
        <r>
          <rPr>
            <sz val="9"/>
            <color indexed="81"/>
            <rFont val="Verdana"/>
          </rPr>
          <t xml:space="preserve">
Waves: 2
Wind: 1
People: 0,0,0
</t>
        </r>
      </text>
    </comment>
    <comment ref="A32" authorId="0">
      <text>
        <r>
          <rPr>
            <b/>
            <sz val="9"/>
            <color indexed="81"/>
            <rFont val="Verdana"/>
          </rPr>
          <t>Dana Reed:</t>
        </r>
        <r>
          <rPr>
            <sz val="9"/>
            <color indexed="81"/>
            <rFont val="Verdana"/>
          </rPr>
          <t xml:space="preserve">
Waves: 1
Wind: 1
People: 0,5,0
</t>
        </r>
      </text>
    </comment>
    <comment ref="A33" authorId="0">
      <text>
        <r>
          <rPr>
            <b/>
            <sz val="9"/>
            <color indexed="81"/>
            <rFont val="Verdana"/>
          </rPr>
          <t>Dana Reed:</t>
        </r>
        <r>
          <rPr>
            <sz val="9"/>
            <color indexed="81"/>
            <rFont val="Verdana"/>
          </rPr>
          <t xml:space="preserve">
Waves: 2
Wind: 1
People: 0,0,0
</t>
        </r>
      </text>
    </comment>
    <comment ref="A34" authorId="0">
      <text>
        <r>
          <rPr>
            <b/>
            <sz val="9"/>
            <color indexed="81"/>
            <rFont val="Verdana"/>
          </rPr>
          <t>Dana Reed:</t>
        </r>
        <r>
          <rPr>
            <sz val="9"/>
            <color indexed="81"/>
            <rFont val="Verdana"/>
          </rPr>
          <t xml:space="preserve">
Waves: 0
Wind: 2
People: 0,0,0
</t>
        </r>
      </text>
    </comment>
    <comment ref="A35" authorId="0">
      <text>
        <r>
          <rPr>
            <b/>
            <sz val="9"/>
            <color indexed="81"/>
            <rFont val="Verdana"/>
          </rPr>
          <t>Dana Reed:</t>
        </r>
        <r>
          <rPr>
            <sz val="9"/>
            <color indexed="81"/>
            <rFont val="Verdana"/>
          </rPr>
          <t xml:space="preserve">
Waves: 1
Wind: 2
People: 0,4,0
</t>
        </r>
      </text>
    </comment>
  </commentList>
</comments>
</file>

<file path=xl/comments5.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Not introduced as a site until 6.29</t>
        </r>
      </text>
    </comment>
    <comment ref="A3" authorId="0">
      <text>
        <r>
          <rPr>
            <b/>
            <sz val="9"/>
            <color indexed="81"/>
            <rFont val="Verdana"/>
          </rPr>
          <t>Dana Reed:</t>
        </r>
        <r>
          <rPr>
            <sz val="9"/>
            <color indexed="81"/>
            <rFont val="Verdana"/>
          </rPr>
          <t xml:space="preserve">
This sample taken 30 yards south of DOH sample point</t>
        </r>
      </text>
    </comment>
    <comment ref="A4" authorId="0">
      <text>
        <r>
          <rPr>
            <b/>
            <sz val="9"/>
            <color indexed="81"/>
            <rFont val="Verdana"/>
          </rPr>
          <t>Dana Reed:</t>
        </r>
        <r>
          <rPr>
            <sz val="9"/>
            <color indexed="81"/>
            <rFont val="Verdana"/>
          </rPr>
          <t xml:space="preserve">
This sample taken at DOH sample site</t>
        </r>
      </text>
    </commen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Slight breeze, surfers and SUPs, 2-3 foot surf</t>
        </r>
      </text>
    </comment>
    <comment ref="A7" authorId="0">
      <text>
        <r>
          <rPr>
            <b/>
            <sz val="9"/>
            <color indexed="81"/>
            <rFont val="Verdana"/>
          </rPr>
          <t>Dana Reed:</t>
        </r>
        <r>
          <rPr>
            <sz val="9"/>
            <color indexed="81"/>
            <rFont val="Verdana"/>
          </rPr>
          <t xml:space="preserve">
20% cloud cover, 10-15 mph wind, 1 ft waves</t>
        </r>
      </text>
    </comment>
    <comment ref="A8" authorId="0">
      <text>
        <r>
          <rPr>
            <b/>
            <sz val="9"/>
            <color indexed="81"/>
            <rFont val="Verdana"/>
          </rPr>
          <t>Dana Reed:</t>
        </r>
        <r>
          <rPr>
            <sz val="9"/>
            <color indexed="81"/>
            <rFont val="Verdana"/>
          </rPr>
          <t xml:space="preserve">
10% cloud cover, high tide, no swimmers, surfers off to right a ways out, big surf 3-4 feet</t>
        </r>
      </text>
    </comment>
    <comment ref="A9" authorId="0">
      <text>
        <r>
          <rPr>
            <b/>
            <sz val="9"/>
            <color indexed="81"/>
            <rFont val="Verdana"/>
          </rPr>
          <t>Dana Reed:
Dana (W), Nell, Roxie</t>
        </r>
        <r>
          <rPr>
            <sz val="9"/>
            <color indexed="81"/>
            <rFont val="Verdana"/>
          </rPr>
          <t xml:space="preserve">
20+ surfers, large waves, water a little murky, group of surfers asked us if it was safe to go into the water.  Didn't notice debris here in either the water or on the beach.</t>
        </r>
      </text>
    </comment>
    <comment ref="A10" authorId="0">
      <text>
        <r>
          <rPr>
            <b/>
            <sz val="9"/>
            <color indexed="81"/>
            <rFont val="Verdana"/>
          </rPr>
          <t>Dana Reed:</t>
        </r>
        <r>
          <rPr>
            <sz val="9"/>
            <color indexed="81"/>
            <rFont val="Verdana"/>
          </rPr>
          <t xml:space="preserve">
Several surfers, 1/8 clouds, 6-8 foot waves at sample spot</t>
        </r>
      </text>
    </comment>
    <comment ref="A11" authorId="0">
      <text>
        <r>
          <rPr>
            <b/>
            <sz val="9"/>
            <color indexed="81"/>
            <rFont val="Verdana"/>
          </rPr>
          <t>Dana Reed:</t>
        </r>
        <r>
          <rPr>
            <sz val="9"/>
            <color indexed="81"/>
            <rFont val="Verdana"/>
          </rPr>
          <t xml:space="preserve">
Breeze 5 knots, clouds = 3, 1 foot waves</t>
        </r>
      </text>
    </comment>
    <comment ref="A12" authorId="0">
      <text>
        <r>
          <rPr>
            <b/>
            <sz val="9"/>
            <color indexed="81"/>
            <rFont val="Verdana"/>
          </rPr>
          <t>Dana Reed:</t>
        </r>
        <r>
          <rPr>
            <sz val="9"/>
            <color indexed="81"/>
            <rFont val="Verdana"/>
          </rPr>
          <t xml:space="preserve">
5% cloud cover, &lt; 1 foot surf, 5 knot winds, about 10 surfers.</t>
        </r>
      </text>
    </comment>
    <comment ref="A13" authorId="0">
      <text>
        <r>
          <rPr>
            <b/>
            <sz val="9"/>
            <color indexed="81"/>
            <rFont val="Verdana"/>
          </rPr>
          <t>Dana Reed:</t>
        </r>
        <r>
          <rPr>
            <sz val="9"/>
            <color indexed="81"/>
            <rFont val="Verdana"/>
          </rPr>
          <t xml:space="preserve">
1 foot waves, no clouds, 5 knots wind, 7 SUP about 100 foot away
</t>
        </r>
      </text>
    </comment>
    <comment ref="A14" authorId="0">
      <text>
        <r>
          <rPr>
            <b/>
            <sz val="9"/>
            <color indexed="81"/>
            <rFont val="Verdana"/>
          </rPr>
          <t>Dana Reed:</t>
        </r>
        <r>
          <rPr>
            <sz val="9"/>
            <color indexed="81"/>
            <rFont val="Verdana"/>
          </rPr>
          <t xml:space="preserve">
pH probe taking a long time to stabilize at all sites.  3/8 cloud cover, swimmers and SUPs in water, 15-20 knot winds &lt; 1 foot surf</t>
        </r>
      </text>
    </comment>
    <comment ref="A15" authorId="0">
      <text>
        <r>
          <rPr>
            <b/>
            <sz val="9"/>
            <color indexed="81"/>
            <rFont val="Verdana"/>
          </rPr>
          <t>Dana Reed:</t>
        </r>
        <r>
          <rPr>
            <sz val="9"/>
            <color indexed="81"/>
            <rFont val="Verdana"/>
          </rPr>
          <t xml:space="preserve">
75% cloud cover, &lt; 0.5 foot waves, 2 SUPs way out, no one on beach, no one in water near shore, looks clear</t>
        </r>
      </text>
    </comment>
    <comment ref="A16" authorId="0">
      <text>
        <r>
          <rPr>
            <b/>
            <sz val="9"/>
            <color indexed="81"/>
            <rFont val="Verdana"/>
          </rPr>
          <t>Dana Reed:</t>
        </r>
        <r>
          <rPr>
            <sz val="9"/>
            <color indexed="81"/>
            <rFont val="Verdana"/>
          </rPr>
          <t xml:space="preserve">
no clouds, no rain, dirty water, 0.5 to 1 ft waves, slight breeze, 13 surfers surfing to the right</t>
        </r>
      </text>
    </comment>
    <comment ref="A17" authorId="0">
      <text>
        <r>
          <rPr>
            <b/>
            <sz val="9"/>
            <color indexed="81"/>
            <rFont val="Verdana"/>
          </rPr>
          <t>Dana Reed:</t>
        </r>
        <r>
          <rPr>
            <sz val="9"/>
            <color indexed="81"/>
            <rFont val="Verdana"/>
          </rPr>
          <t xml:space="preserve">
1-2 foot surf, 4/8 clouds, no wind, low tide</t>
        </r>
      </text>
    </comment>
    <comment ref="I17" authorId="0">
      <text>
        <r>
          <rPr>
            <b/>
            <sz val="9"/>
            <color indexed="81"/>
            <rFont val="Verdana"/>
          </rPr>
          <t>Dana Reed:</t>
        </r>
        <r>
          <rPr>
            <sz val="9"/>
            <color indexed="81"/>
            <rFont val="Verdana"/>
          </rPr>
          <t xml:space="preserve">
readings 2 and 3 same 8.03, 8.04, 8.04</t>
        </r>
      </text>
    </comment>
    <comment ref="A18" authorId="0">
      <text>
        <r>
          <rPr>
            <b/>
            <sz val="9"/>
            <color indexed="81"/>
            <rFont val="Verdana"/>
          </rPr>
          <t>Dana Reed:</t>
        </r>
        <r>
          <rPr>
            <sz val="9"/>
            <color indexed="81"/>
            <rFont val="Verdana"/>
          </rPr>
          <t xml:space="preserve">
1 foot surf, no swimmers, 6 kts Kona, clouds 4
</t>
        </r>
      </text>
    </comment>
    <comment ref="A19" authorId="0">
      <text>
        <r>
          <rPr>
            <b/>
            <sz val="9"/>
            <color indexed="81"/>
            <rFont val="Verdana"/>
          </rPr>
          <t>Dana Reed:</t>
        </r>
        <r>
          <rPr>
            <sz val="9"/>
            <color indexed="81"/>
            <rFont val="Verdana"/>
          </rPr>
          <t xml:space="preserve">
1 foot waves, 3 waders, wind 1-2 kts, clouds 3/8</t>
        </r>
      </text>
    </comment>
    <comment ref="A20" authorId="0">
      <text>
        <r>
          <rPr>
            <b/>
            <sz val="9"/>
            <color indexed="81"/>
            <rFont val="Verdana"/>
          </rPr>
          <t>Dana Reed:</t>
        </r>
        <r>
          <rPr>
            <sz val="9"/>
            <color indexed="81"/>
            <rFont val="Verdana"/>
          </rPr>
          <t xml:space="preserve">
0.5 foot waves, 6 surfers, 0.25 kt winds</t>
        </r>
      </text>
    </comment>
    <comment ref="A21" authorId="0">
      <text>
        <r>
          <rPr>
            <b/>
            <sz val="9"/>
            <color indexed="81"/>
            <rFont val="Verdana"/>
          </rPr>
          <t>Dana Reed:</t>
        </r>
        <r>
          <rPr>
            <sz val="9"/>
            <color indexed="81"/>
            <rFont val="Verdana"/>
          </rPr>
          <t xml:space="preserve">
Clouds clearing 80% cloud cover, 1-2 foot surf, surfers far out and one surfer entered water during sampling, less than 5 knot wind</t>
        </r>
      </text>
    </comment>
    <comment ref="A22" authorId="0">
      <text>
        <r>
          <rPr>
            <b/>
            <sz val="9"/>
            <color indexed="81"/>
            <rFont val="Verdana"/>
          </rPr>
          <t>Dana Reed:</t>
        </r>
        <r>
          <rPr>
            <sz val="9"/>
            <color indexed="81"/>
            <rFont val="Verdana"/>
          </rPr>
          <t xml:space="preserve">
Waves:  0.5 ft
Swimmers: 0
Wind: 6 mph</t>
        </r>
      </text>
    </comment>
    <comment ref="A23" authorId="0">
      <text>
        <r>
          <rPr>
            <b/>
            <sz val="9"/>
            <color indexed="81"/>
            <rFont val="Verdana"/>
          </rPr>
          <t>Dana Reed:</t>
        </r>
        <r>
          <rPr>
            <sz val="9"/>
            <color indexed="81"/>
            <rFont val="Verdana"/>
          </rPr>
          <t xml:space="preserve">
Waves: &lt;1 ft
Wind: 1
People: 2 ssk, 10 ob, 0 c</t>
        </r>
      </text>
    </comment>
    <comment ref="A24" authorId="0">
      <text>
        <r>
          <rPr>
            <b/>
            <sz val="9"/>
            <color indexed="81"/>
            <rFont val="Verdana"/>
          </rPr>
          <t>Dana Reed:</t>
        </r>
        <r>
          <rPr>
            <sz val="9"/>
            <color indexed="81"/>
            <rFont val="Verdana"/>
          </rPr>
          <t xml:space="preserve">
Waves: 1-2 ft
Wind: 1
People: 10 surfers</t>
        </r>
      </text>
    </comment>
    <comment ref="A25" authorId="0">
      <text>
        <r>
          <rPr>
            <b/>
            <sz val="9"/>
            <color indexed="81"/>
            <rFont val="Verdana"/>
          </rPr>
          <t>Dana Reed:</t>
        </r>
        <r>
          <rPr>
            <sz val="9"/>
            <color indexed="81"/>
            <rFont val="Verdana"/>
          </rPr>
          <t xml:space="preserve">
Waves: 1
Wind: 2
People: ssk 5-10, ob 5-10, campers 0</t>
        </r>
      </text>
    </comment>
    <comment ref="A26" authorId="0">
      <text>
        <r>
          <rPr>
            <b/>
            <sz val="9"/>
            <color indexed="81"/>
            <rFont val="Verdana"/>
          </rPr>
          <t>Dana Reed:</t>
        </r>
        <r>
          <rPr>
            <sz val="9"/>
            <color indexed="81"/>
            <rFont val="Verdana"/>
          </rPr>
          <t xml:space="preserve">
Waves: 1
Wind: 1
People: ssk 20-40, ob 0, campers 0</t>
        </r>
      </text>
    </comment>
    <comment ref="A27" authorId="0">
      <text>
        <r>
          <rPr>
            <b/>
            <sz val="9"/>
            <color indexed="81"/>
            <rFont val="Verdana"/>
          </rPr>
          <t>Dana Reed:</t>
        </r>
        <r>
          <rPr>
            <sz val="9"/>
            <color indexed="81"/>
            <rFont val="Verdana"/>
          </rPr>
          <t xml:space="preserve">
Waves: 1
Wind: 2
People: ssk 10-20, beach 6, camp 0</t>
        </r>
      </text>
    </comment>
    <comment ref="A28" authorId="0">
      <text>
        <r>
          <rPr>
            <b/>
            <sz val="9"/>
            <color indexed="81"/>
            <rFont val="Verdana"/>
          </rPr>
          <t>Dana Reed:</t>
        </r>
        <r>
          <rPr>
            <sz val="9"/>
            <color indexed="81"/>
            <rFont val="Verdana"/>
          </rPr>
          <t xml:space="preserve">
Waves: 2
Wind: 3
People: 4 in water, 1 on beach. Light rain during sampling</t>
        </r>
      </text>
    </comment>
    <comment ref="A29" authorId="0">
      <text>
        <r>
          <rPr>
            <b/>
            <sz val="9"/>
            <color indexed="81"/>
            <rFont val="Verdana"/>
          </rPr>
          <t>Dana Reed:</t>
        </r>
        <r>
          <rPr>
            <sz val="9"/>
            <color indexed="81"/>
            <rFont val="Verdana"/>
          </rPr>
          <t xml:space="preserve">
Waves: 1
Wind: 2
People: 3,6,0
</t>
        </r>
      </text>
    </comment>
    <comment ref="A30" authorId="0">
      <text>
        <r>
          <rPr>
            <b/>
            <sz val="9"/>
            <color indexed="81"/>
            <rFont val="Verdana"/>
          </rPr>
          <t>Dana Reed:</t>
        </r>
        <r>
          <rPr>
            <sz val="9"/>
            <color indexed="81"/>
            <rFont val="Verdana"/>
          </rPr>
          <t xml:space="preserve">
Waves: 2
Wind: 1
People: 1,5,0
</t>
        </r>
      </text>
    </comment>
    <comment ref="A31" authorId="0">
      <text>
        <r>
          <rPr>
            <b/>
            <sz val="9"/>
            <color indexed="81"/>
            <rFont val="Verdana"/>
          </rPr>
          <t>Dana Reed:</t>
        </r>
        <r>
          <rPr>
            <sz val="9"/>
            <color indexed="81"/>
            <rFont val="Verdana"/>
          </rPr>
          <t xml:space="preserve">
Waves: 2
Wind: 2
People: 3,5,0
pH probe not placed back in KCl solution between OLP and OSF
</t>
        </r>
      </text>
    </comment>
    <comment ref="A32" authorId="0">
      <text>
        <r>
          <rPr>
            <b/>
            <sz val="9"/>
            <color indexed="81"/>
            <rFont val="Verdana"/>
          </rPr>
          <t>Dana Reed:</t>
        </r>
        <r>
          <rPr>
            <sz val="9"/>
            <color indexed="81"/>
            <rFont val="Verdana"/>
          </rPr>
          <t xml:space="preserve">
Waves: 1
Wind: 0
People: 9,17,0
</t>
        </r>
      </text>
    </comment>
    <comment ref="A33" authorId="0">
      <text>
        <r>
          <rPr>
            <b/>
            <sz val="9"/>
            <color indexed="81"/>
            <rFont val="Verdana"/>
          </rPr>
          <t>Dana Reed:</t>
        </r>
        <r>
          <rPr>
            <sz val="9"/>
            <color indexed="81"/>
            <rFont val="Verdana"/>
          </rPr>
          <t xml:space="preserve">
Waves: 1
Wind: 0
People: 2,1,0
Workers were surveying in the baby pool area.</t>
        </r>
      </text>
    </comment>
    <comment ref="A34" authorId="0">
      <text>
        <r>
          <rPr>
            <b/>
            <sz val="9"/>
            <color indexed="81"/>
            <rFont val="Verdana"/>
          </rPr>
          <t>Dana Reed:</t>
        </r>
        <r>
          <rPr>
            <sz val="9"/>
            <color indexed="81"/>
            <rFont val="Verdana"/>
          </rPr>
          <t xml:space="preserve">
Waves: 1
Wind: 4
People: 0,0,0
</t>
        </r>
      </text>
    </comment>
    <comment ref="A35" authorId="0">
      <text>
        <r>
          <rPr>
            <b/>
            <sz val="9"/>
            <color indexed="81"/>
            <rFont val="Verdana"/>
          </rPr>
          <t>Dana Reed:</t>
        </r>
        <r>
          <rPr>
            <sz val="9"/>
            <color indexed="81"/>
            <rFont val="Verdana"/>
          </rPr>
          <t xml:space="preserve">
Waves: 1
Wind: 2
People: 0,4,0
</t>
        </r>
      </text>
    </comment>
  </commentList>
</comments>
</file>

<file path=xl/comments6.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Slight breeze increase. Calm water. 20% cloud cover</t>
        </r>
      </text>
    </comment>
    <comment ref="J6" authorId="0">
      <text>
        <r>
          <rPr>
            <b/>
            <sz val="9"/>
            <color indexed="81"/>
            <rFont val="Verdana"/>
          </rPr>
          <t>Dana Reed:</t>
        </r>
        <r>
          <rPr>
            <sz val="9"/>
            <color indexed="81"/>
            <rFont val="Verdana"/>
          </rPr>
          <t xml:space="preserve">
The third turbidity reading is suspect as it is twice as high as the first two.</t>
        </r>
      </text>
    </comment>
    <comment ref="A7" authorId="0">
      <text>
        <r>
          <rPr>
            <b/>
            <sz val="9"/>
            <color indexed="81"/>
            <rFont val="Verdana"/>
          </rPr>
          <t>Dana Reed:</t>
        </r>
        <r>
          <rPr>
            <sz val="9"/>
            <color indexed="81"/>
            <rFont val="Verdana"/>
          </rPr>
          <t xml:space="preserve">
&lt;10% cloud cover, calm water, 10-15 mph wind</t>
        </r>
      </text>
    </comment>
    <comment ref="A8" authorId="0">
      <text>
        <r>
          <rPr>
            <b/>
            <sz val="9"/>
            <color indexed="81"/>
            <rFont val="Verdana"/>
          </rPr>
          <t>Dana Reed:</t>
        </r>
        <r>
          <rPr>
            <sz val="9"/>
            <color indexed="81"/>
            <rFont val="Verdana"/>
          </rPr>
          <t xml:space="preserve">
30% cloud cover, nobody in water, 10 kt winds, calm water, blue color</t>
        </r>
      </text>
    </comment>
    <comment ref="A9" authorId="0">
      <text>
        <r>
          <rPr>
            <b/>
            <sz val="9"/>
            <color indexed="81"/>
            <rFont val="Verdana"/>
          </rPr>
          <t>Dana Reed: 
Dana (W), Nell, Roxie</t>
        </r>
        <r>
          <rPr>
            <sz val="9"/>
            <color indexed="81"/>
            <rFont val="Verdana"/>
          </rPr>
          <t xml:space="preserve">
1 swimmer, family on pier, waves moderate particularly for this usually quiet location.</t>
        </r>
      </text>
    </comment>
    <comment ref="A10" authorId="0">
      <text>
        <r>
          <rPr>
            <b/>
            <sz val="9"/>
            <color indexed="81"/>
            <rFont val="Verdana"/>
          </rPr>
          <t>Dana Reed:</t>
        </r>
        <r>
          <rPr>
            <sz val="9"/>
            <color indexed="81"/>
            <rFont val="Verdana"/>
          </rPr>
          <t xml:space="preserve">
Very flat water, 1/8 clouds, nobody in water, looks clear</t>
        </r>
      </text>
    </comment>
    <comment ref="A11" authorId="0">
      <text>
        <r>
          <rPr>
            <b/>
            <sz val="9"/>
            <color indexed="81"/>
            <rFont val="Verdana"/>
          </rPr>
          <t>Dana Reed:</t>
        </r>
        <r>
          <rPr>
            <sz val="9"/>
            <color indexed="81"/>
            <rFont val="Verdana"/>
          </rPr>
          <t xml:space="preserve">
Breeze 10 knots, clouds = 4, Flat</t>
        </r>
      </text>
    </comment>
    <comment ref="A12" authorId="0">
      <text>
        <r>
          <rPr>
            <b/>
            <sz val="9"/>
            <color indexed="81"/>
            <rFont val="Verdana"/>
          </rPr>
          <t>Dana Reed:</t>
        </r>
        <r>
          <rPr>
            <sz val="9"/>
            <color indexed="81"/>
            <rFont val="Verdana"/>
          </rPr>
          <t xml:space="preserve">
No clouds, no waves, no people, 10 knot wind</t>
        </r>
      </text>
    </comment>
    <comment ref="A13" authorId="0">
      <text>
        <r>
          <rPr>
            <b/>
            <sz val="9"/>
            <color indexed="81"/>
            <rFont val="Verdana"/>
          </rPr>
          <t>Dana Reed:</t>
        </r>
        <r>
          <rPr>
            <sz val="9"/>
            <color indexed="81"/>
            <rFont val="Verdana"/>
          </rPr>
          <t xml:space="preserve">
flat, 5 knot wind, no clouds, no people</t>
        </r>
      </text>
    </comment>
    <comment ref="I13" authorId="0">
      <text>
        <r>
          <rPr>
            <b/>
            <sz val="9"/>
            <color indexed="81"/>
            <rFont val="Verdana"/>
          </rPr>
          <t>Dana Reed:</t>
        </r>
        <r>
          <rPr>
            <sz val="9"/>
            <color indexed="81"/>
            <rFont val="Verdana"/>
          </rPr>
          <t xml:space="preserve">
three measurements taken, 8.01, 8.08, 8.11 Seemed to have some trouble settling quickly. 
</t>
        </r>
      </text>
    </comment>
    <comment ref="A14" authorId="0">
      <text>
        <r>
          <rPr>
            <b/>
            <sz val="9"/>
            <color indexed="81"/>
            <rFont val="Verdana"/>
          </rPr>
          <t>Dana Reed:</t>
        </r>
        <r>
          <rPr>
            <sz val="9"/>
            <color indexed="81"/>
            <rFont val="Verdana"/>
          </rPr>
          <t xml:space="preserve">
pH probe slow to stabilize at all sites.  5/8 cloud cover, no one in water, 20 knot winds (all volunteers commented on how windy it was at last two sites).</t>
        </r>
      </text>
    </comment>
    <comment ref="A15" authorId="0">
      <text>
        <r>
          <rPr>
            <b/>
            <sz val="9"/>
            <color indexed="81"/>
            <rFont val="Verdana"/>
          </rPr>
          <t>Dana Reed:</t>
        </r>
        <r>
          <rPr>
            <sz val="9"/>
            <color indexed="81"/>
            <rFont val="Verdana"/>
          </rPr>
          <t xml:space="preserve">
flat, no one here or on beach or in water, 75% cloud cover, no waves, 1 kt wind</t>
        </r>
      </text>
    </comment>
    <comment ref="A16" authorId="0">
      <text>
        <r>
          <rPr>
            <b/>
            <sz val="9"/>
            <color indexed="81"/>
            <rFont val="Verdana"/>
          </rPr>
          <t>Dana Reed:</t>
        </r>
        <r>
          <rPr>
            <sz val="9"/>
            <color indexed="81"/>
            <rFont val="Verdana"/>
          </rPr>
          <t xml:space="preserve">
no clouds, no rain, steady breeze, flat/ripple 2-3 inches, no people, water calm and clear</t>
        </r>
      </text>
    </comment>
    <comment ref="A17" authorId="0">
      <text>
        <r>
          <rPr>
            <b/>
            <sz val="9"/>
            <color indexed="81"/>
            <rFont val="Verdana"/>
          </rPr>
          <t>Dana Reed:</t>
        </r>
        <r>
          <rPr>
            <sz val="9"/>
            <color indexed="81"/>
            <rFont val="Verdana"/>
          </rPr>
          <t xml:space="preserve">
Flat, 2/8 clouds, 5-10 knot wind, low tide.</t>
        </r>
      </text>
    </comment>
    <comment ref="A18" authorId="0">
      <text>
        <r>
          <rPr>
            <b/>
            <sz val="9"/>
            <color indexed="81"/>
            <rFont val="Verdana"/>
          </rPr>
          <t>Dana Reed:</t>
        </r>
        <r>
          <rPr>
            <sz val="9"/>
            <color indexed="81"/>
            <rFont val="Verdana"/>
          </rPr>
          <t xml:space="preserve">
Flat, no swimmers, 3 kts Kona, clouds 4
</t>
        </r>
      </text>
    </comment>
    <comment ref="A19" authorId="0">
      <text>
        <r>
          <rPr>
            <b/>
            <sz val="9"/>
            <color indexed="81"/>
            <rFont val="Verdana"/>
          </rPr>
          <t>Dana Reed:</t>
        </r>
        <r>
          <rPr>
            <sz val="9"/>
            <color indexed="81"/>
            <rFont val="Verdana"/>
          </rPr>
          <t xml:space="preserve">
Flat, no swimmers, no wind, clouds 3/8</t>
        </r>
      </text>
    </comment>
    <comment ref="A20" authorId="0">
      <text>
        <r>
          <rPr>
            <b/>
            <sz val="9"/>
            <color indexed="81"/>
            <rFont val="Verdana"/>
          </rPr>
          <t>Dana Reed:</t>
        </r>
        <r>
          <rPr>
            <sz val="9"/>
            <color indexed="81"/>
            <rFont val="Verdana"/>
          </rPr>
          <t xml:space="preserve">
Flat, no swimmers, 0.25 kt wind</t>
        </r>
      </text>
    </comment>
    <comment ref="A21" authorId="0">
      <text>
        <r>
          <rPr>
            <b/>
            <sz val="9"/>
            <color indexed="81"/>
            <rFont val="Verdana"/>
          </rPr>
          <t>Dana Reed:</t>
        </r>
        <r>
          <rPr>
            <sz val="9"/>
            <color indexed="81"/>
            <rFont val="Verdana"/>
          </rPr>
          <t xml:space="preserve">
No clouds, calm clear water, no swimmers, calm wind &lt; 1 knot</t>
        </r>
      </text>
    </comment>
    <comment ref="A22" authorId="0">
      <text>
        <r>
          <rPr>
            <b/>
            <sz val="9"/>
            <color indexed="81"/>
            <rFont val="Verdana"/>
          </rPr>
          <t>Dana Reed:</t>
        </r>
        <r>
          <rPr>
            <sz val="9"/>
            <color indexed="81"/>
            <rFont val="Verdana"/>
          </rPr>
          <t xml:space="preserve">
Waves:  flat 0
Swimmers:  0
Wind:  6 mph</t>
        </r>
      </text>
    </comment>
    <comment ref="A23" authorId="0">
      <text>
        <r>
          <rPr>
            <b/>
            <sz val="9"/>
            <color indexed="81"/>
            <rFont val="Verdana"/>
          </rPr>
          <t>Dana Reed:</t>
        </r>
        <r>
          <rPr>
            <sz val="9"/>
            <color indexed="81"/>
            <rFont val="Verdana"/>
          </rPr>
          <t xml:space="preserve">
Waves: 0
Wind: 2
People: 0 ssk, 0 ob, 0 c</t>
        </r>
      </text>
    </comment>
    <comment ref="A24" authorId="0">
      <text>
        <r>
          <rPr>
            <b/>
            <sz val="9"/>
            <color indexed="81"/>
            <rFont val="Verdana"/>
          </rPr>
          <t>Dana Reed:</t>
        </r>
        <r>
          <rPr>
            <sz val="9"/>
            <color indexed="81"/>
            <rFont val="Verdana"/>
          </rPr>
          <t xml:space="preserve">
Waves: 0
Wind: 1
People: 0</t>
        </r>
      </text>
    </comment>
    <comment ref="A25" authorId="0">
      <text>
        <r>
          <rPr>
            <b/>
            <sz val="9"/>
            <color indexed="81"/>
            <rFont val="Verdana"/>
          </rPr>
          <t>Dana Reed:</t>
        </r>
        <r>
          <rPr>
            <sz val="9"/>
            <color indexed="81"/>
            <rFont val="Verdana"/>
          </rPr>
          <t xml:space="preserve">
Waves: 0
Wind: 2
People: ssk 0, ob 1-5, campers 0</t>
        </r>
      </text>
    </comment>
    <comment ref="A26" authorId="0">
      <text>
        <r>
          <rPr>
            <b/>
            <sz val="9"/>
            <color indexed="81"/>
            <rFont val="Verdana"/>
          </rPr>
          <t>Dana Reed:</t>
        </r>
        <r>
          <rPr>
            <sz val="9"/>
            <color indexed="81"/>
            <rFont val="Verdana"/>
          </rPr>
          <t xml:space="preserve">
Waves: 0
Wind: 1
People: ssk 0, ob 0-5, campers 0</t>
        </r>
      </text>
    </comment>
    <comment ref="A27" authorId="0">
      <text>
        <r>
          <rPr>
            <b/>
            <sz val="9"/>
            <color indexed="81"/>
            <rFont val="Verdana"/>
          </rPr>
          <t>Dana Reed:</t>
        </r>
        <r>
          <rPr>
            <sz val="9"/>
            <color indexed="81"/>
            <rFont val="Verdana"/>
          </rPr>
          <t xml:space="preserve">
Waves: 0
Wind: 2
People: ssk 0, beach 0, camp 0</t>
        </r>
      </text>
    </comment>
    <comment ref="A28" authorId="0">
      <text>
        <r>
          <rPr>
            <b/>
            <sz val="9"/>
            <color indexed="81"/>
            <rFont val="Verdana"/>
          </rPr>
          <t>Dana Reed:</t>
        </r>
        <r>
          <rPr>
            <sz val="9"/>
            <color indexed="81"/>
            <rFont val="Verdana"/>
          </rPr>
          <t xml:space="preserve">
Waves: 1
Wind: 3
People: Nobody in water, 1 person nearby, 3 campers observed.</t>
        </r>
      </text>
    </comment>
    <comment ref="A29" authorId="0">
      <text>
        <r>
          <rPr>
            <b/>
            <sz val="9"/>
            <color indexed="81"/>
            <rFont val="Verdana"/>
          </rPr>
          <t>Dana Reed:</t>
        </r>
        <r>
          <rPr>
            <sz val="9"/>
            <color indexed="81"/>
            <rFont val="Verdana"/>
          </rPr>
          <t xml:space="preserve">
Waves: 0
Wind: 1
People 1,1,0
</t>
        </r>
      </text>
    </comment>
    <comment ref="A30" authorId="0">
      <text>
        <r>
          <rPr>
            <b/>
            <sz val="9"/>
            <color indexed="81"/>
            <rFont val="Verdana"/>
          </rPr>
          <t>Dana Reed:</t>
        </r>
        <r>
          <rPr>
            <sz val="9"/>
            <color indexed="81"/>
            <rFont val="Verdana"/>
          </rPr>
          <t xml:space="preserve">
Waves: 0
Wind: 1
People: 0,0,0
</t>
        </r>
      </text>
    </comment>
    <comment ref="A31" authorId="0">
      <text>
        <r>
          <rPr>
            <b/>
            <sz val="9"/>
            <color indexed="81"/>
            <rFont val="Verdana"/>
          </rPr>
          <t>Dana Reed:</t>
        </r>
        <r>
          <rPr>
            <sz val="9"/>
            <color indexed="81"/>
            <rFont val="Verdana"/>
          </rPr>
          <t xml:space="preserve">
Waves: 0
Wind: 2
People: 0,0,3
pH probe not placed back in KCl solution between OLP and OSF.  Lost a turbidity bottle which was left on top of car after use.
</t>
        </r>
      </text>
    </comment>
    <comment ref="A32" authorId="0">
      <text>
        <r>
          <rPr>
            <b/>
            <sz val="9"/>
            <color indexed="81"/>
            <rFont val="Verdana"/>
          </rPr>
          <t>Dana Reed:</t>
        </r>
        <r>
          <rPr>
            <sz val="9"/>
            <color indexed="81"/>
            <rFont val="Verdana"/>
          </rPr>
          <t xml:space="preserve">
Waves: 0
Wind: 1
People: 0,3,0
</t>
        </r>
      </text>
    </comment>
    <comment ref="A33" authorId="0">
      <text>
        <r>
          <rPr>
            <b/>
            <sz val="9"/>
            <color indexed="81"/>
            <rFont val="Verdana"/>
          </rPr>
          <t>Dana Reed:</t>
        </r>
        <r>
          <rPr>
            <sz val="9"/>
            <color indexed="81"/>
            <rFont val="Verdana"/>
          </rPr>
          <t xml:space="preserve">
Waves: 0
Wind: 1
People: 0,0,0
</t>
        </r>
      </text>
    </comment>
    <comment ref="A34" authorId="0">
      <text>
        <r>
          <rPr>
            <b/>
            <sz val="9"/>
            <color indexed="81"/>
            <rFont val="Verdana"/>
          </rPr>
          <t>Dana Reed:</t>
        </r>
        <r>
          <rPr>
            <sz val="9"/>
            <color indexed="81"/>
            <rFont val="Verdana"/>
          </rPr>
          <t xml:space="preserve">
Waves: 0
Wind: 4
People: 0,0,0
</t>
        </r>
      </text>
    </comment>
    <comment ref="A35" authorId="0">
      <text>
        <r>
          <rPr>
            <b/>
            <sz val="9"/>
            <color indexed="81"/>
            <rFont val="Verdana"/>
          </rPr>
          <t>Dana Reed:</t>
        </r>
        <r>
          <rPr>
            <sz val="9"/>
            <color indexed="81"/>
            <rFont val="Verdana"/>
          </rPr>
          <t xml:space="preserve">
Waves: 0
Wind: 2
People: 0,0,0
</t>
        </r>
      </text>
    </comment>
  </commentList>
</comments>
</file>

<file path=xl/sharedStrings.xml><?xml version="1.0" encoding="utf-8"?>
<sst xmlns="http://schemas.openxmlformats.org/spreadsheetml/2006/main" count="953" uniqueCount="121">
  <si>
    <t>Washed, rinsed syringes; acid washed bottles, 0.7 um filters, washed, rinsed syringe filter holders</t>
  </si>
  <si>
    <t>Location</t>
    <phoneticPr fontId="1" type="noConversion"/>
  </si>
  <si>
    <t>Location Code</t>
    <phoneticPr fontId="1" type="noConversion"/>
  </si>
  <si>
    <t>Date</t>
    <phoneticPr fontId="1" type="noConversion"/>
  </si>
  <si>
    <t>DO (mg/L)</t>
    <phoneticPr fontId="1" type="noConversion"/>
  </si>
  <si>
    <t>Not yet site.  Traded Ukumehame bridge for this site.</t>
    <phoneticPr fontId="1" type="noConversion"/>
  </si>
  <si>
    <t>2 (2,2,3)</t>
    <phoneticPr fontId="1" type="noConversion"/>
  </si>
  <si>
    <t>2 (2,2,3)</t>
    <phoneticPr fontId="1" type="noConversion"/>
  </si>
  <si>
    <t>505 Front Street</t>
    <phoneticPr fontId="1" type="noConversion"/>
  </si>
  <si>
    <t>Washed, rinsed syringes; acid washed bottles; 0.2 um disposable filters.  Used Jim Maxwells pole rig with plastic pitcher to collect all samples: turbidity, nutrient, bucket. No sediment sample as water was fairly clear.</t>
    <phoneticPr fontId="1" type="noConversion"/>
  </si>
  <si>
    <t>Used syringe, washed. Disposable 0.2um filter. New bottles</t>
    <phoneticPr fontId="1" type="noConversion"/>
  </si>
  <si>
    <t>Location Code</t>
    <phoneticPr fontId="1" type="noConversion"/>
  </si>
  <si>
    <t>505 Front Street</t>
    <phoneticPr fontId="1" type="noConversion"/>
  </si>
  <si>
    <t>DO (mg/L)</t>
    <phoneticPr fontId="1" type="noConversion"/>
  </si>
  <si>
    <t>DO sat (percent)</t>
    <phoneticPr fontId="1" type="noConversion"/>
  </si>
  <si>
    <t>1(1,1,1)</t>
    <phoneticPr fontId="1" type="noConversion"/>
  </si>
  <si>
    <t>2(2,2,2)</t>
    <phoneticPr fontId="1" type="noConversion"/>
  </si>
  <si>
    <t>Turbidity (NTU)</t>
    <phoneticPr fontId="1" type="noConversion"/>
  </si>
  <si>
    <t>1 (3,2,4)</t>
    <phoneticPr fontId="1" type="noConversion"/>
  </si>
  <si>
    <t>505 Front Street</t>
    <phoneticPr fontId="1" type="noConversion"/>
  </si>
  <si>
    <t>2 (2,1,3)</t>
    <phoneticPr fontId="1" type="noConversion"/>
  </si>
  <si>
    <t>PLH</t>
    <phoneticPr fontId="1" type="noConversion"/>
  </si>
  <si>
    <t>PLT</t>
    <phoneticPr fontId="1" type="noConversion"/>
  </si>
  <si>
    <t>Puamana</t>
    <phoneticPr fontId="1" type="noConversion"/>
  </si>
  <si>
    <t>PPU</t>
    <phoneticPr fontId="1" type="noConversion"/>
  </si>
  <si>
    <t>Total N (ug/L)</t>
    <phoneticPr fontId="1" type="noConversion"/>
  </si>
  <si>
    <t>2 (2,1,3)</t>
  </si>
  <si>
    <t>2 (2,1,3)</t>
    <phoneticPr fontId="1" type="noConversion"/>
  </si>
  <si>
    <t>505 Front Street</t>
    <phoneticPr fontId="1" type="noConversion"/>
  </si>
  <si>
    <t>1 (3,2,4)</t>
    <phoneticPr fontId="1" type="noConversion"/>
  </si>
  <si>
    <t>505 Front Street</t>
    <phoneticPr fontId="1" type="noConversion"/>
  </si>
  <si>
    <t>Washed, rinsed syringes; acid washed bottles, 0.2 um disposable filters</t>
  </si>
  <si>
    <t>2 (2,1,3)</t>
    <phoneticPr fontId="1" type="noConversion"/>
  </si>
  <si>
    <t>DO sat (percent)</t>
    <phoneticPr fontId="1" type="noConversion"/>
  </si>
  <si>
    <t>2 (2,2,3)</t>
    <phoneticPr fontId="1" type="noConversion"/>
  </si>
  <si>
    <t>Comments QA/QC Notes</t>
    <phoneticPr fontId="1" type="noConversion"/>
  </si>
  <si>
    <t>Washed rinsed syringes, washed rinsed filter holders, 0.7 um GFF filters, acid washed bottles</t>
    <phoneticPr fontId="1" type="noConversion"/>
  </si>
  <si>
    <t>Olowalu Shore Front</t>
    <phoneticPr fontId="1" type="noConversion"/>
  </si>
  <si>
    <t>1 (3,2,4)</t>
    <phoneticPr fontId="1" type="noConversion"/>
  </si>
  <si>
    <t>New syringes. Swinnex filter holders, washed rinsed DI. 0.7 GFF filters. New bottle. Significant south swell, some areas more turbid than others, fairly large wave sets.</t>
    <phoneticPr fontId="1" type="noConversion"/>
  </si>
  <si>
    <t>Location</t>
    <phoneticPr fontId="1" type="noConversion"/>
  </si>
  <si>
    <t>1 (2,1,4)</t>
    <phoneticPr fontId="1" type="noConversion"/>
  </si>
  <si>
    <t>505 Front Street</t>
    <phoneticPr fontId="1" type="noConversion"/>
  </si>
  <si>
    <t>pH</t>
    <phoneticPr fontId="1" type="noConversion"/>
  </si>
  <si>
    <t>NH4 (ug/L)</t>
    <phoneticPr fontId="1" type="noConversion"/>
  </si>
  <si>
    <t>1 (3,1,4)</t>
    <phoneticPr fontId="1" type="noConversion"/>
  </si>
  <si>
    <t>Phosphate (ug/L)</t>
    <phoneticPr fontId="1" type="noConversion"/>
  </si>
  <si>
    <t>Tide spd</t>
    <phoneticPr fontId="1" type="noConversion"/>
  </si>
  <si>
    <t>New bottles, washed and distilled water rinsed syringes and filter holders.  0.7 um GFF filters used.</t>
  </si>
  <si>
    <t>Tide In/Out</t>
    <phoneticPr fontId="1" type="noConversion"/>
  </si>
  <si>
    <t>Silicate (ug/L)</t>
    <phoneticPr fontId="1" type="noConversion"/>
  </si>
  <si>
    <t>Equipment Turbidity</t>
    <phoneticPr fontId="1" type="noConversion"/>
  </si>
  <si>
    <t>Equipment HQ40D</t>
    <phoneticPr fontId="1" type="noConversion"/>
  </si>
  <si>
    <t>Comments QA/QC Notes</t>
    <phoneticPr fontId="1" type="noConversion"/>
  </si>
  <si>
    <t>Date</t>
    <phoneticPr fontId="1" type="noConversion"/>
  </si>
  <si>
    <t>2 (2,1,3)</t>
    <phoneticPr fontId="1" type="noConversion"/>
  </si>
  <si>
    <t>505 Front Street</t>
    <phoneticPr fontId="1" type="noConversion"/>
  </si>
  <si>
    <t>2 (2,2,3)</t>
    <phoneticPr fontId="1" type="noConversion"/>
  </si>
  <si>
    <t>New syringes. Swinnex filter holders, washed rinsed DI. 0.7 GFF filters. New bottle.</t>
    <phoneticPr fontId="1" type="noConversion"/>
  </si>
  <si>
    <t>pH</t>
    <phoneticPr fontId="1" type="noConversion"/>
  </si>
  <si>
    <t>Normalized geometric mean</t>
    <phoneticPr fontId="1" type="noConversion"/>
  </si>
  <si>
    <t>1(1,1,1)</t>
    <phoneticPr fontId="1" type="noConversion"/>
  </si>
  <si>
    <t>Used syringe, washed. Disposable 0.2um filter. New bottles.  This sample was collected south of the DOH site but all subsequent samples were collected at the DOH site.  This data not included in statistics</t>
    <phoneticPr fontId="1" type="noConversion"/>
  </si>
  <si>
    <t>2(2,2,2)</t>
    <phoneticPr fontId="1" type="noConversion"/>
  </si>
  <si>
    <t>Launiupoko</t>
    <phoneticPr fontId="1" type="noConversion"/>
  </si>
  <si>
    <t>OLP</t>
    <phoneticPr fontId="1" type="noConversion"/>
  </si>
  <si>
    <t>505 Front Street</t>
    <phoneticPr fontId="1" type="noConversion"/>
  </si>
  <si>
    <t>Washed rinsed syringes, washed rinsed filter holders, 0.7 um GFF filters, acid washed bottles.  This sample was taken at the north end of Puamana right before the sea wall.</t>
    <phoneticPr fontId="1" type="noConversion"/>
  </si>
  <si>
    <t>2 (2,2,3)</t>
    <phoneticPr fontId="1" type="noConversion"/>
  </si>
  <si>
    <t>PFF</t>
    <phoneticPr fontId="1" type="noConversion"/>
  </si>
  <si>
    <t>Ent</t>
    <phoneticPr fontId="1" type="noConversion"/>
  </si>
  <si>
    <t>505 Front Street</t>
    <phoneticPr fontId="1" type="noConversion"/>
  </si>
  <si>
    <t>2 (2,2,3)</t>
    <phoneticPr fontId="1" type="noConversion"/>
  </si>
  <si>
    <t>OSF</t>
    <phoneticPr fontId="1" type="noConversion"/>
  </si>
  <si>
    <t>505 Front Street</t>
    <phoneticPr fontId="1" type="noConversion"/>
  </si>
  <si>
    <t>Lahaina Town</t>
    <phoneticPr fontId="1" type="noConversion"/>
  </si>
  <si>
    <t>No collection, dangerous conditions</t>
    <phoneticPr fontId="1" type="noConversion"/>
  </si>
  <si>
    <t>1 (3,2,4)</t>
    <phoneticPr fontId="1" type="noConversion"/>
  </si>
  <si>
    <t>505 Front Street</t>
    <phoneticPr fontId="1" type="noConversion"/>
  </si>
  <si>
    <t>505 Front Street</t>
    <phoneticPr fontId="1" type="noConversion"/>
  </si>
  <si>
    <t>Lindsey Hale</t>
    <phoneticPr fontId="1" type="noConversion"/>
  </si>
  <si>
    <t>Turbidity (NTU)</t>
    <phoneticPr fontId="1" type="noConversion"/>
  </si>
  <si>
    <t>NNN (ug/L)</t>
    <phoneticPr fontId="1" type="noConversion"/>
  </si>
  <si>
    <t>NH4 (ug/L)</t>
    <phoneticPr fontId="1" type="noConversion"/>
  </si>
  <si>
    <t>Total P (ug/L)</t>
    <phoneticPr fontId="1" type="noConversion"/>
  </si>
  <si>
    <t>Silicate (ug/L)</t>
    <phoneticPr fontId="1" type="noConversion"/>
  </si>
  <si>
    <t>Washed, rinsed syringes; acid washed bottles, 0.2 um disposable filters</t>
    <phoneticPr fontId="1" type="noConversion"/>
  </si>
  <si>
    <t>No collection, dangerous conditions</t>
    <phoneticPr fontId="1" type="noConversion"/>
  </si>
  <si>
    <t>Equipment HQ40D</t>
    <phoneticPr fontId="1" type="noConversion"/>
  </si>
  <si>
    <t>1(1,1,1)</t>
    <phoneticPr fontId="1" type="noConversion"/>
  </si>
  <si>
    <t>2 (2,2,3)</t>
    <phoneticPr fontId="1" type="noConversion"/>
  </si>
  <si>
    <t>Geometric Mean</t>
    <phoneticPr fontId="1" type="noConversion"/>
  </si>
  <si>
    <t>Arithmetric Mean</t>
    <phoneticPr fontId="1" type="noConversion"/>
  </si>
  <si>
    <t>Standard deviation</t>
    <phoneticPr fontId="1" type="noConversion"/>
  </si>
  <si>
    <t>Salinity (ppt)</t>
    <phoneticPr fontId="1" type="noConversion"/>
  </si>
  <si>
    <t>Total N (ug/L)</t>
    <phoneticPr fontId="1" type="noConversion"/>
  </si>
  <si>
    <t>505 Front Street</t>
    <phoneticPr fontId="1" type="noConversion"/>
  </si>
  <si>
    <t>Equipment Turbidity</t>
    <phoneticPr fontId="1" type="noConversion"/>
  </si>
  <si>
    <t>2 (2,1,3)</t>
    <phoneticPr fontId="1" type="noConversion"/>
  </si>
  <si>
    <t>505 Front Street</t>
    <phoneticPr fontId="1" type="noConversion"/>
  </si>
  <si>
    <t>Time</t>
    <phoneticPr fontId="1" type="noConversion"/>
  </si>
  <si>
    <t>Temp (degrees C)</t>
    <phoneticPr fontId="1" type="noConversion"/>
  </si>
  <si>
    <t>Salinity (ppt)</t>
    <phoneticPr fontId="1" type="noConversion"/>
  </si>
  <si>
    <t>Used syringe, washed. Disposable 0.2um filter. New bottles</t>
    <phoneticPr fontId="1" type="noConversion"/>
  </si>
  <si>
    <t xml:space="preserve">Washed, rinsed syringes; acid washed bottles; 0.2 um disposable filters.  </t>
    <phoneticPr fontId="1" type="noConversion"/>
  </si>
  <si>
    <t>New syringes. Swinnex filter holders, washed rinsed DI. 0.7 GFF filters. New bottle.</t>
    <phoneticPr fontId="1" type="noConversion"/>
  </si>
  <si>
    <t>NNN (ug/L)</t>
    <phoneticPr fontId="1" type="noConversion"/>
  </si>
  <si>
    <t>505 Front Street</t>
    <phoneticPr fontId="1" type="noConversion"/>
  </si>
  <si>
    <t>Total P (ug/L)</t>
    <phoneticPr fontId="1" type="noConversion"/>
  </si>
  <si>
    <t>Lindsey Hale</t>
    <phoneticPr fontId="1" type="noConversion"/>
  </si>
  <si>
    <t>Time</t>
    <phoneticPr fontId="1" type="noConversion"/>
  </si>
  <si>
    <t>Temp (degrees C)</t>
    <phoneticPr fontId="1" type="noConversion"/>
  </si>
  <si>
    <t>1 (3,2,4)</t>
    <phoneticPr fontId="1" type="noConversion"/>
  </si>
  <si>
    <t>505 Front Street</t>
    <phoneticPr fontId="1" type="noConversion"/>
  </si>
  <si>
    <t>2 (2,1,3)</t>
    <phoneticPr fontId="1" type="noConversion"/>
  </si>
  <si>
    <t>505 Front Street</t>
    <phoneticPr fontId="1" type="noConversion"/>
  </si>
  <si>
    <t>New bottles, washed and distilled water rinsed syringes and filter holders.  0.7 um GFF filters used.</t>
    <phoneticPr fontId="1" type="noConversion"/>
  </si>
  <si>
    <t>2(2,2,2)</t>
    <phoneticPr fontId="1" type="noConversion"/>
  </si>
  <si>
    <t>1(1,1,1)</t>
    <phoneticPr fontId="1" type="noConversion"/>
  </si>
  <si>
    <t>2(2,2,2)</t>
    <phoneticPr fontId="1" type="noConversion"/>
  </si>
  <si>
    <t>1(1,1,1)</t>
    <phoneticPr fontId="1" type="noConversion"/>
  </si>
</sst>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6">
    <font>
      <sz val="10"/>
      <name val="Verdana"/>
    </font>
    <font>
      <sz val="8"/>
      <name val="Verdana"/>
    </font>
    <font>
      <sz val="12"/>
      <name val="Verdana"/>
    </font>
    <font>
      <b/>
      <sz val="12"/>
      <name val="Verdana"/>
    </font>
    <font>
      <sz val="9"/>
      <color indexed="81"/>
      <name val="Verdana"/>
    </font>
    <font>
      <b/>
      <sz val="9"/>
      <color indexed="81"/>
      <name val="Verdana"/>
    </font>
  </fonts>
  <fills count="7">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14"/>
        <bgColor indexed="64"/>
      </patternFill>
    </fill>
    <fill>
      <patternFill patternType="solid">
        <fgColor indexed="41"/>
        <bgColor indexed="64"/>
      </patternFill>
    </fill>
    <fill>
      <patternFill patternType="solid">
        <fgColor indexed="47"/>
        <bgColor indexed="64"/>
      </patternFill>
    </fill>
  </fills>
  <borders count="1">
    <border>
      <left/>
      <right/>
      <top/>
      <bottom/>
      <diagonal/>
    </border>
  </borders>
  <cellStyleXfs count="1">
    <xf numFmtId="0" fontId="0" fillId="0" borderId="0"/>
  </cellStyleXfs>
  <cellXfs count="61">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xf>
    <xf numFmtId="14" fontId="2" fillId="0" borderId="0" xfId="0" applyNumberFormat="1" applyFont="1"/>
    <xf numFmtId="20" fontId="2" fillId="0" borderId="0" xfId="0" applyNumberFormat="1" applyFont="1"/>
    <xf numFmtId="164" fontId="2" fillId="0" borderId="0" xfId="0" applyNumberFormat="1" applyFont="1"/>
    <xf numFmtId="2" fontId="2" fillId="0" borderId="0" xfId="0" applyNumberFormat="1" applyFont="1"/>
    <xf numFmtId="2" fontId="2" fillId="0" borderId="0" xfId="0" applyNumberFormat="1" applyFont="1"/>
    <xf numFmtId="164" fontId="2" fillId="0" borderId="0" xfId="0" applyNumberFormat="1" applyFont="1"/>
    <xf numFmtId="0" fontId="2" fillId="0" borderId="0" xfId="0" applyFont="1" applyAlignment="1">
      <alignment wrapText="1"/>
    </xf>
    <xf numFmtId="2" fontId="2" fillId="0" borderId="0" xfId="0" applyNumberFormat="1" applyFont="1"/>
    <xf numFmtId="164" fontId="3" fillId="0" borderId="0" xfId="0" applyNumberFormat="1" applyFont="1" applyAlignment="1">
      <alignment horizontal="center" wrapText="1"/>
    </xf>
    <xf numFmtId="164"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1" fontId="3" fillId="0" borderId="0" xfId="0" applyNumberFormat="1" applyFont="1" applyAlignment="1">
      <alignment horizontal="center" wrapText="1"/>
    </xf>
    <xf numFmtId="1" fontId="2" fillId="0" borderId="0" xfId="0" applyNumberFormat="1" applyFont="1"/>
    <xf numFmtId="0" fontId="2" fillId="2" borderId="0" xfId="0" applyFont="1" applyFill="1"/>
    <xf numFmtId="0" fontId="2" fillId="3" borderId="0" xfId="0" applyFont="1" applyFill="1"/>
    <xf numFmtId="2" fontId="2" fillId="2" borderId="0" xfId="0" applyNumberFormat="1" applyFont="1" applyFill="1"/>
    <xf numFmtId="2" fontId="2" fillId="4" borderId="0" xfId="0" applyNumberFormat="1" applyFont="1" applyFill="1"/>
    <xf numFmtId="1" fontId="3" fillId="0" borderId="0" xfId="0" applyNumberFormat="1" applyFont="1" applyAlignment="1">
      <alignment horizontal="center" wrapText="1"/>
    </xf>
    <xf numFmtId="1" fontId="2" fillId="0" borderId="0" xfId="0" applyNumberFormat="1" applyFont="1"/>
    <xf numFmtId="1" fontId="3" fillId="0" borderId="0" xfId="0" applyNumberFormat="1" applyFont="1" applyAlignment="1">
      <alignment horizontal="center" wrapText="1"/>
    </xf>
    <xf numFmtId="1" fontId="2" fillId="0" borderId="0" xfId="0" applyNumberFormat="1" applyFont="1"/>
    <xf numFmtId="1" fontId="2" fillId="0" borderId="0" xfId="0" applyNumberFormat="1" applyFont="1" applyAlignment="1">
      <alignment horizontal="center"/>
    </xf>
    <xf numFmtId="2" fontId="2" fillId="3" borderId="0" xfId="0" applyNumberFormat="1" applyFont="1" applyFill="1"/>
    <xf numFmtId="2" fontId="2" fillId="0" borderId="0" xfId="0" applyNumberFormat="1" applyFont="1" applyFill="1"/>
    <xf numFmtId="49" fontId="3" fillId="0" borderId="0" xfId="0" applyNumberFormat="1" applyFont="1" applyAlignment="1">
      <alignment horizontal="center" wrapText="1"/>
    </xf>
    <xf numFmtId="49" fontId="2" fillId="0" borderId="0" xfId="0" applyNumberFormat="1" applyFont="1"/>
    <xf numFmtId="2" fontId="2" fillId="5"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2" borderId="0" xfId="0" applyNumberFormat="1" applyFont="1" applyFill="1"/>
    <xf numFmtId="2" fontId="2" fillId="6" borderId="0" xfId="0" applyNumberFormat="1" applyFont="1" applyFill="1"/>
    <xf numFmtId="2" fontId="3" fillId="0" borderId="0" xfId="0" applyNumberFormat="1" applyFont="1" applyAlignment="1">
      <alignment horizontal="center" wrapText="1"/>
    </xf>
    <xf numFmtId="2" fontId="2" fillId="0" borderId="0" xfId="0" applyNumberFormat="1" applyFont="1"/>
    <xf numFmtId="1" fontId="2" fillId="0" borderId="0" xfId="0" applyNumberFormat="1" applyFont="1"/>
    <xf numFmtId="1" fontId="2" fillId="0" borderId="0" xfId="0" applyNumberFormat="1" applyFont="1" applyAlignment="1">
      <alignment horizontal="center"/>
    </xf>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164" fontId="2" fillId="0" borderId="0" xfId="0" applyNumberFormat="1" applyFont="1"/>
    <xf numFmtId="2" fontId="2" fillId="0" borderId="0" xfId="0" applyNumberFormat="1" applyFont="1"/>
    <xf numFmtId="164" fontId="2" fillId="0" borderId="0" xfId="0" applyNumberFormat="1" applyFont="1"/>
    <xf numFmtId="0" fontId="2" fillId="0" borderId="0" xfId="0" applyFont="1" applyFill="1"/>
    <xf numFmtId="0" fontId="2" fillId="0" borderId="0" xfId="0" applyFont="1" applyFill="1" applyAlignment="1">
      <alignment horizontal="center"/>
    </xf>
    <xf numFmtId="14" fontId="2" fillId="0" borderId="0" xfId="0" applyNumberFormat="1" applyFont="1" applyFill="1"/>
    <xf numFmtId="20" fontId="2" fillId="0" borderId="0" xfId="0" applyNumberFormat="1" applyFont="1" applyFill="1"/>
    <xf numFmtId="164" fontId="2" fillId="0" borderId="0" xfId="0" applyNumberFormat="1" applyFont="1" applyFill="1"/>
    <xf numFmtId="1" fontId="2" fillId="0" borderId="0" xfId="0" applyNumberFormat="1" applyFont="1" applyFill="1"/>
    <xf numFmtId="1" fontId="2" fillId="0" borderId="0" xfId="0" applyNumberFormat="1" applyFont="1" applyFill="1" applyAlignment="1">
      <alignment horizontal="center"/>
    </xf>
    <xf numFmtId="0" fontId="2" fillId="0" borderId="0" xfId="0" applyFont="1" applyFill="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20" Type="http://schemas.openxmlformats.org/officeDocument/2006/relationships/worksheet" Target="worksheets/sheet3.xml"/><Relationship Id="rId21" Type="http://schemas.openxmlformats.org/officeDocument/2006/relationships/chartsheet" Target="chartsheets/sheet18.xml"/><Relationship Id="rId22" Type="http://schemas.openxmlformats.org/officeDocument/2006/relationships/chartsheet" Target="chartsheets/sheet19.xml"/><Relationship Id="rId23" Type="http://schemas.openxmlformats.org/officeDocument/2006/relationships/chartsheet" Target="chartsheets/sheet20.xml"/><Relationship Id="rId24" Type="http://schemas.openxmlformats.org/officeDocument/2006/relationships/chartsheet" Target="chartsheets/sheet21.xml"/><Relationship Id="rId25" Type="http://schemas.openxmlformats.org/officeDocument/2006/relationships/worksheet" Target="worksheets/sheet4.xml"/><Relationship Id="rId26" Type="http://schemas.openxmlformats.org/officeDocument/2006/relationships/chartsheet" Target="chartsheets/sheet22.xml"/><Relationship Id="rId27" Type="http://schemas.openxmlformats.org/officeDocument/2006/relationships/chartsheet" Target="chartsheets/sheet23.xml"/><Relationship Id="rId28" Type="http://schemas.openxmlformats.org/officeDocument/2006/relationships/chartsheet" Target="chartsheets/sheet24.xml"/><Relationship Id="rId29" Type="http://schemas.openxmlformats.org/officeDocument/2006/relationships/worksheet" Target="worksheets/sheet5.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worksheet" Target="worksheets/sheet1.xml"/><Relationship Id="rId30" Type="http://schemas.openxmlformats.org/officeDocument/2006/relationships/chartsheet" Target="chartsheets/sheet25.xml"/><Relationship Id="rId31" Type="http://schemas.openxmlformats.org/officeDocument/2006/relationships/chartsheet" Target="chartsheets/sheet26.xml"/><Relationship Id="rId32" Type="http://schemas.openxmlformats.org/officeDocument/2006/relationships/chartsheet" Target="chartsheets/sheet27.xml"/><Relationship Id="rId9" Type="http://schemas.openxmlformats.org/officeDocument/2006/relationships/chartsheet" Target="chartsheets/sheet8.xml"/><Relationship Id="rId6" Type="http://schemas.openxmlformats.org/officeDocument/2006/relationships/chartsheet" Target="chartsheets/sheet5.xml"/><Relationship Id="rId7" Type="http://schemas.openxmlformats.org/officeDocument/2006/relationships/chartsheet" Target="chartsheets/sheet6.xml"/><Relationship Id="rId8" Type="http://schemas.openxmlformats.org/officeDocument/2006/relationships/chartsheet" Target="chartsheets/sheet7.xml"/><Relationship Id="rId33" Type="http://schemas.openxmlformats.org/officeDocument/2006/relationships/chartsheet" Target="chartsheets/sheet28.xml"/><Relationship Id="rId34" Type="http://schemas.openxmlformats.org/officeDocument/2006/relationships/worksheet" Target="worksheets/sheet6.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chartsheet" Target="chartsheets/sheet9.xml"/><Relationship Id="rId11" Type="http://schemas.openxmlformats.org/officeDocument/2006/relationships/chartsheet" Target="chartsheets/sheet10.xml"/><Relationship Id="rId12" Type="http://schemas.openxmlformats.org/officeDocument/2006/relationships/chartsheet" Target="chartsheets/sheet11.xml"/><Relationship Id="rId13" Type="http://schemas.openxmlformats.org/officeDocument/2006/relationships/worksheet" Target="worksheets/sheet2.xml"/><Relationship Id="rId14" Type="http://schemas.openxmlformats.org/officeDocument/2006/relationships/chartsheet" Target="chartsheets/sheet12.xml"/><Relationship Id="rId15" Type="http://schemas.openxmlformats.org/officeDocument/2006/relationships/chartsheet" Target="chartsheets/sheet13.xml"/><Relationship Id="rId16" Type="http://schemas.openxmlformats.org/officeDocument/2006/relationships/chartsheet" Target="chartsheets/sheet14.xml"/><Relationship Id="rId17" Type="http://schemas.openxmlformats.org/officeDocument/2006/relationships/chartsheet" Target="chartsheets/sheet15.xml"/><Relationship Id="rId18" Type="http://schemas.openxmlformats.org/officeDocument/2006/relationships/chartsheet" Target="chartsheets/sheet16.xml"/><Relationship Id="rId19" Type="http://schemas.openxmlformats.org/officeDocument/2006/relationships/chartsheet" Target="chartsheets/sheet17.xml"/><Relationship Id="rId37" Type="http://schemas.openxmlformats.org/officeDocument/2006/relationships/sharedStrings" Target="sharedStrings.xml"/><Relationship Id="rId3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505 Front Street (PFF)</a:t>
            </a:r>
          </a:p>
        </c:rich>
      </c:tx>
      <c:layout/>
    </c:title>
    <c:plotArea>
      <c:layout/>
      <c:scatterChart>
        <c:scatterStyle val="smoothMarker"/>
        <c:ser>
          <c:idx val="0"/>
          <c:order val="0"/>
          <c:tx>
            <c:strRef>
              <c:f>'505 Front'!$J$1</c:f>
              <c:strCache>
                <c:ptCount val="1"/>
                <c:pt idx="0">
                  <c:v>Turbidity (NTU)</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Front'!$J$2:$J$34</c:f>
              <c:numCache>
                <c:formatCode>0.00</c:formatCode>
                <c:ptCount val="33"/>
                <c:pt idx="0">
                  <c:v>2.89</c:v>
                </c:pt>
                <c:pt idx="1">
                  <c:v>1.65</c:v>
                </c:pt>
                <c:pt idx="2">
                  <c:v>2.64</c:v>
                </c:pt>
                <c:pt idx="3">
                  <c:v>5.005</c:v>
                </c:pt>
                <c:pt idx="4">
                  <c:v>0.96</c:v>
                </c:pt>
                <c:pt idx="5">
                  <c:v>4.43</c:v>
                </c:pt>
                <c:pt idx="6">
                  <c:v>6.466666666666665</c:v>
                </c:pt>
                <c:pt idx="7">
                  <c:v>12.36666666666667</c:v>
                </c:pt>
                <c:pt idx="8">
                  <c:v>3.323333333333333</c:v>
                </c:pt>
                <c:pt idx="9">
                  <c:v>8.216666666666666</c:v>
                </c:pt>
                <c:pt idx="10">
                  <c:v>5.64</c:v>
                </c:pt>
                <c:pt idx="11">
                  <c:v>7.386666666666666</c:v>
                </c:pt>
                <c:pt idx="12">
                  <c:v>9.303333333333332</c:v>
                </c:pt>
                <c:pt idx="13">
                  <c:v>4.306666666666667</c:v>
                </c:pt>
                <c:pt idx="14">
                  <c:v>5.566666666666667</c:v>
                </c:pt>
                <c:pt idx="15">
                  <c:v>6.313333333333333</c:v>
                </c:pt>
                <c:pt idx="16">
                  <c:v>4.183333333333333</c:v>
                </c:pt>
                <c:pt idx="17">
                  <c:v>1.81</c:v>
                </c:pt>
                <c:pt idx="18">
                  <c:v>11.33333333333333</c:v>
                </c:pt>
                <c:pt idx="19">
                  <c:v>2.183333333333333</c:v>
                </c:pt>
                <c:pt idx="20">
                  <c:v>2.24</c:v>
                </c:pt>
                <c:pt idx="21">
                  <c:v>3.936666666666667</c:v>
                </c:pt>
                <c:pt idx="22">
                  <c:v>4.8775</c:v>
                </c:pt>
                <c:pt idx="23">
                  <c:v>2.136666666666667</c:v>
                </c:pt>
                <c:pt idx="24">
                  <c:v>1.2375</c:v>
                </c:pt>
                <c:pt idx="25">
                  <c:v>2.146666666666667</c:v>
                </c:pt>
                <c:pt idx="26">
                  <c:v>4.203333333333333</c:v>
                </c:pt>
                <c:pt idx="27">
                  <c:v>10.33333333333333</c:v>
                </c:pt>
                <c:pt idx="28">
                  <c:v>7.293333333333333</c:v>
                </c:pt>
                <c:pt idx="29">
                  <c:v>4.626666666666666</c:v>
                </c:pt>
                <c:pt idx="30">
                  <c:v>3.563333333333333</c:v>
                </c:pt>
                <c:pt idx="31">
                  <c:v>5.393333333333333</c:v>
                </c:pt>
                <c:pt idx="32">
                  <c:v>1.576666666666666</c:v>
                </c:pt>
              </c:numCache>
            </c:numRef>
          </c:yVal>
          <c:smooth val="1"/>
        </c:ser>
        <c:axId val="459078552"/>
        <c:axId val="459070616"/>
      </c:scatterChart>
      <c:valAx>
        <c:axId val="459078552"/>
        <c:scaling>
          <c:orientation val="minMax"/>
        </c:scaling>
        <c:axPos val="b"/>
        <c:title>
          <c:tx>
            <c:rich>
              <a:bodyPr/>
              <a:lstStyle/>
              <a:p>
                <a:pPr>
                  <a:defRPr/>
                </a:pPr>
                <a:r>
                  <a:rPr lang="en-US"/>
                  <a:t>Date</a:t>
                </a:r>
              </a:p>
            </c:rich>
          </c:tx>
          <c:layout/>
        </c:title>
        <c:numFmt formatCode="m/d/yy" sourceLinked="1"/>
        <c:tickLblPos val="nextTo"/>
        <c:crossAx val="459070616"/>
        <c:crosses val="autoZero"/>
        <c:crossBetween val="midCat"/>
      </c:valAx>
      <c:valAx>
        <c:axId val="459070616"/>
        <c:scaling>
          <c:orientation val="minMax"/>
          <c:max val="45.0"/>
        </c:scaling>
        <c:axPos val="l"/>
        <c:majorGridlines/>
        <c:title>
          <c:tx>
            <c:rich>
              <a:bodyPr/>
              <a:lstStyle/>
              <a:p>
                <a:pPr>
                  <a:defRPr/>
                </a:pPr>
                <a:r>
                  <a:rPr lang="en-US"/>
                  <a:t>Turbidity (NTU)</a:t>
                </a:r>
              </a:p>
            </c:rich>
          </c:tx>
          <c:layout/>
        </c:title>
        <c:numFmt formatCode="0.00" sourceLinked="1"/>
        <c:tickLblPos val="nextTo"/>
        <c:crossAx val="459078552"/>
        <c:crosses val="autoZero"/>
        <c:crossBetween val="midCat"/>
      </c:valAx>
    </c:plotArea>
    <c:plotVisOnly val="1"/>
  </c:chart>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Lindsey Hale Nitrates vs Silicates</a:t>
            </a:r>
          </a:p>
        </c:rich>
      </c:tx>
      <c:layout/>
    </c:title>
    <c:plotArea>
      <c:layout/>
      <c:scatterChart>
        <c:scatterStyle val="lineMarker"/>
        <c:ser>
          <c:idx val="0"/>
          <c:order val="0"/>
          <c:tx>
            <c:strRef>
              <c:f>'Lindsey Hale'!$Q$1</c:f>
              <c:strCache>
                <c:ptCount val="1"/>
                <c:pt idx="0">
                  <c:v>NNN (ug/L)</c:v>
                </c:pt>
              </c:strCache>
            </c:strRef>
          </c:tx>
          <c:spPr>
            <a:ln w="28575">
              <a:noFill/>
            </a:ln>
          </c:spPr>
          <c:trendline>
            <c:trendlineType val="linear"/>
            <c:dispRSqr val="1"/>
            <c:dispEq val="1"/>
            <c:trendlineLbl>
              <c:layout>
                <c:manualLayout>
                  <c:x val="0.124845115862651"/>
                  <c:y val="-0.420231033352697"/>
                </c:manualLayout>
              </c:layout>
              <c:numFmt formatCode="General" sourceLinked="0"/>
            </c:trendlineLbl>
          </c:trendline>
          <c:xVal>
            <c:numRef>
              <c:f>'Lindsey Hale'!$P$2:$P$31</c:f>
              <c:numCache>
                <c:formatCode>0.00</c:formatCode>
                <c:ptCount val="30"/>
                <c:pt idx="0">
                  <c:v>169.92</c:v>
                </c:pt>
                <c:pt idx="1">
                  <c:v>245.7043383941022</c:v>
                </c:pt>
                <c:pt idx="2">
                  <c:v>279.7265475034843</c:v>
                </c:pt>
                <c:pt idx="3">
                  <c:v>408.472472382819</c:v>
                </c:pt>
                <c:pt idx="4">
                  <c:v>447.2011256351759</c:v>
                </c:pt>
                <c:pt idx="5">
                  <c:v>699.5191282642697</c:v>
                </c:pt>
                <c:pt idx="6">
                  <c:v>99.9367577968727</c:v>
                </c:pt>
                <c:pt idx="7">
                  <c:v>571.4429549752832</c:v>
                </c:pt>
                <c:pt idx="8">
                  <c:v>614.3367857154178</c:v>
                </c:pt>
                <c:pt idx="9">
                  <c:v>694.777337342005</c:v>
                </c:pt>
                <c:pt idx="10">
                  <c:v>568.9336356396537</c:v>
                </c:pt>
                <c:pt idx="11">
                  <c:v>469.5300105849307</c:v>
                </c:pt>
                <c:pt idx="12">
                  <c:v>469.5228839040712</c:v>
                </c:pt>
                <c:pt idx="13">
                  <c:v>601.1210201382665</c:v>
                </c:pt>
                <c:pt idx="14">
                  <c:v>400.3948292866231</c:v>
                </c:pt>
                <c:pt idx="15">
                  <c:v>195.9472717778357</c:v>
                </c:pt>
                <c:pt idx="16">
                  <c:v>386.3333610544375</c:v>
                </c:pt>
                <c:pt idx="17">
                  <c:v>290.109065594019</c:v>
                </c:pt>
                <c:pt idx="18">
                  <c:v>321.2881911429311</c:v>
                </c:pt>
                <c:pt idx="19">
                  <c:v>261.1124271652247</c:v>
                </c:pt>
                <c:pt idx="20">
                  <c:v>203.9609043877662</c:v>
                </c:pt>
                <c:pt idx="21">
                  <c:v>331.0901421181226</c:v>
                </c:pt>
                <c:pt idx="22">
                  <c:v>196.8886596540255</c:v>
                </c:pt>
                <c:pt idx="23">
                  <c:v>278.2724791739217</c:v>
                </c:pt>
                <c:pt idx="24">
                  <c:v>273.5194638192588</c:v>
                </c:pt>
                <c:pt idx="25">
                  <c:v>290.5783100414611</c:v>
                </c:pt>
                <c:pt idx="26">
                  <c:v>371.3798119811529</c:v>
                </c:pt>
                <c:pt idx="27">
                  <c:v>332.7028504545503</c:v>
                </c:pt>
                <c:pt idx="28">
                  <c:v>323.0049260359658</c:v>
                </c:pt>
                <c:pt idx="29">
                  <c:v>404.3162915127581</c:v>
                </c:pt>
              </c:numCache>
            </c:numRef>
          </c:xVal>
          <c:yVal>
            <c:numRef>
              <c:f>'Lindsey Hale'!$Q$2:$Q$31</c:f>
              <c:numCache>
                <c:formatCode>0.00</c:formatCode>
                <c:ptCount val="30"/>
                <c:pt idx="0">
                  <c:v>2.79</c:v>
                </c:pt>
                <c:pt idx="1">
                  <c:v>5.672161461152416</c:v>
                </c:pt>
                <c:pt idx="2">
                  <c:v>8.045118034498078</c:v>
                </c:pt>
                <c:pt idx="3">
                  <c:v>7.682546544226955</c:v>
                </c:pt>
                <c:pt idx="4">
                  <c:v>8.711284742349072</c:v>
                </c:pt>
                <c:pt idx="5">
                  <c:v>28.62313313919933</c:v>
                </c:pt>
                <c:pt idx="6">
                  <c:v>5.968965816674535</c:v>
                </c:pt>
                <c:pt idx="7">
                  <c:v>24.79415627787397</c:v>
                </c:pt>
                <c:pt idx="8">
                  <c:v>9.876335038564455</c:v>
                </c:pt>
                <c:pt idx="9">
                  <c:v>9.233931177496864</c:v>
                </c:pt>
                <c:pt idx="10">
                  <c:v>8.802752456306817</c:v>
                </c:pt>
                <c:pt idx="11">
                  <c:v>12.18555670761548</c:v>
                </c:pt>
                <c:pt idx="12">
                  <c:v>18.07927914310286</c:v>
                </c:pt>
                <c:pt idx="13">
                  <c:v>21.6337782127956</c:v>
                </c:pt>
                <c:pt idx="14">
                  <c:v>10.19248667466557</c:v>
                </c:pt>
                <c:pt idx="15">
                  <c:v>5.21797438882421</c:v>
                </c:pt>
                <c:pt idx="16">
                  <c:v>26.12940205312731</c:v>
                </c:pt>
                <c:pt idx="17">
                  <c:v>13.05852444703143</c:v>
                </c:pt>
                <c:pt idx="18">
                  <c:v>12.08776496948613</c:v>
                </c:pt>
                <c:pt idx="19">
                  <c:v>3.38777913944814</c:v>
                </c:pt>
                <c:pt idx="20">
                  <c:v>7.819392946232422</c:v>
                </c:pt>
                <c:pt idx="21">
                  <c:v>9.626752518193771</c:v>
                </c:pt>
                <c:pt idx="22">
                  <c:v>7.60106576614165</c:v>
                </c:pt>
                <c:pt idx="23">
                  <c:v>12.29916553934683</c:v>
                </c:pt>
                <c:pt idx="24">
                  <c:v>7.148784379994671</c:v>
                </c:pt>
                <c:pt idx="25">
                  <c:v>7.745779585109218</c:v>
                </c:pt>
                <c:pt idx="26">
                  <c:v>3.709253723950917</c:v>
                </c:pt>
                <c:pt idx="27">
                  <c:v>7.59024161778867</c:v>
                </c:pt>
                <c:pt idx="28">
                  <c:v>6.053800140068283</c:v>
                </c:pt>
                <c:pt idx="29">
                  <c:v>5.655049689526133</c:v>
                </c:pt>
              </c:numCache>
            </c:numRef>
          </c:yVal>
        </c:ser>
        <c:axId val="332911640"/>
        <c:axId val="332920488"/>
      </c:scatterChart>
      <c:valAx>
        <c:axId val="332911640"/>
        <c:scaling>
          <c:orientation val="minMax"/>
        </c:scaling>
        <c:axPos val="b"/>
        <c:title>
          <c:tx>
            <c:rich>
              <a:bodyPr/>
              <a:lstStyle/>
              <a:p>
                <a:pPr>
                  <a:defRPr/>
                </a:pPr>
                <a:r>
                  <a:rPr lang="en-US"/>
                  <a:t>Silicates (ug/L)</a:t>
                </a:r>
              </a:p>
            </c:rich>
          </c:tx>
          <c:layout/>
        </c:title>
        <c:numFmt formatCode="0.00" sourceLinked="1"/>
        <c:tickLblPos val="nextTo"/>
        <c:crossAx val="332920488"/>
        <c:crosses val="autoZero"/>
        <c:crossBetween val="midCat"/>
      </c:valAx>
      <c:valAx>
        <c:axId val="332920488"/>
        <c:scaling>
          <c:orientation val="minMax"/>
        </c:scaling>
        <c:axPos val="l"/>
        <c:majorGridlines/>
        <c:title>
          <c:tx>
            <c:rich>
              <a:bodyPr/>
              <a:lstStyle/>
              <a:p>
                <a:pPr>
                  <a:defRPr/>
                </a:pPr>
                <a:r>
                  <a:rPr lang="en-US"/>
                  <a:t>Nitrates + Nitrites (ug/L)</a:t>
                </a:r>
              </a:p>
            </c:rich>
          </c:tx>
          <c:layout/>
        </c:title>
        <c:numFmt formatCode="0.00" sourceLinked="1"/>
        <c:tickLblPos val="nextTo"/>
        <c:crossAx val="332911640"/>
        <c:crosses val="autoZero"/>
        <c:crossBetween val="midCat"/>
      </c:valAx>
    </c:plotArea>
    <c:plotVisOnly val="1"/>
  </c:char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'Lindsey Hale'!$H$1</c:f>
              <c:strCache>
                <c:ptCount val="1"/>
                <c:pt idx="0">
                  <c:v>Salinity (ppt)</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Hale'!$H$2:$H$34</c:f>
              <c:numCache>
                <c:formatCode>0.0</c:formatCode>
                <c:ptCount val="33"/>
                <c:pt idx="0">
                  <c:v>28.1</c:v>
                </c:pt>
                <c:pt idx="1">
                  <c:v>29.1</c:v>
                </c:pt>
                <c:pt idx="2">
                  <c:v>36.0</c:v>
                </c:pt>
                <c:pt idx="3">
                  <c:v>35.0</c:v>
                </c:pt>
                <c:pt idx="4">
                  <c:v>35.0</c:v>
                </c:pt>
                <c:pt idx="5">
                  <c:v>35.2</c:v>
                </c:pt>
                <c:pt idx="6">
                  <c:v>36.5</c:v>
                </c:pt>
                <c:pt idx="7">
                  <c:v>34.4</c:v>
                </c:pt>
                <c:pt idx="8">
                  <c:v>35.4</c:v>
                </c:pt>
                <c:pt idx="9">
                  <c:v>34.0</c:v>
                </c:pt>
                <c:pt idx="10">
                  <c:v>34.0</c:v>
                </c:pt>
                <c:pt idx="11">
                  <c:v>34.1</c:v>
                </c:pt>
                <c:pt idx="12">
                  <c:v>33.9</c:v>
                </c:pt>
                <c:pt idx="13">
                  <c:v>33.1</c:v>
                </c:pt>
                <c:pt idx="14">
                  <c:v>34.7</c:v>
                </c:pt>
                <c:pt idx="15">
                  <c:v>34.8</c:v>
                </c:pt>
                <c:pt idx="16">
                  <c:v>34.1</c:v>
                </c:pt>
                <c:pt idx="17">
                  <c:v>33.9</c:v>
                </c:pt>
                <c:pt idx="18">
                  <c:v>33.4</c:v>
                </c:pt>
                <c:pt idx="19">
                  <c:v>33.7</c:v>
                </c:pt>
                <c:pt idx="20">
                  <c:v>33.9</c:v>
                </c:pt>
                <c:pt idx="21">
                  <c:v>34.4</c:v>
                </c:pt>
                <c:pt idx="22">
                  <c:v>33.9</c:v>
                </c:pt>
                <c:pt idx="23">
                  <c:v>34.1</c:v>
                </c:pt>
                <c:pt idx="24">
                  <c:v>34.3</c:v>
                </c:pt>
                <c:pt idx="25">
                  <c:v>34.3</c:v>
                </c:pt>
                <c:pt idx="26">
                  <c:v>34.5</c:v>
                </c:pt>
                <c:pt idx="27">
                  <c:v>33.8</c:v>
                </c:pt>
                <c:pt idx="28">
                  <c:v>34.1</c:v>
                </c:pt>
                <c:pt idx="29">
                  <c:v>34.5</c:v>
                </c:pt>
                <c:pt idx="30">
                  <c:v>34.6</c:v>
                </c:pt>
                <c:pt idx="31">
                  <c:v>34.9</c:v>
                </c:pt>
                <c:pt idx="32">
                  <c:v>34.1</c:v>
                </c:pt>
              </c:numCache>
            </c:numRef>
          </c:yVal>
          <c:smooth val="1"/>
        </c:ser>
        <c:axId val="332948712"/>
        <c:axId val="332951816"/>
      </c:scatterChart>
      <c:valAx>
        <c:axId val="332948712"/>
        <c:scaling>
          <c:orientation val="minMax"/>
        </c:scaling>
        <c:axPos val="b"/>
        <c:numFmt formatCode="m/d/yy" sourceLinked="1"/>
        <c:tickLblPos val="nextTo"/>
        <c:crossAx val="332951816"/>
        <c:crosses val="autoZero"/>
        <c:crossBetween val="midCat"/>
      </c:valAx>
      <c:valAx>
        <c:axId val="332951816"/>
        <c:scaling>
          <c:orientation val="minMax"/>
          <c:min val="25.0"/>
        </c:scaling>
        <c:axPos val="l"/>
        <c:majorGridlines/>
        <c:numFmt formatCode="0.0" sourceLinked="1"/>
        <c:tickLblPos val="nextTo"/>
        <c:crossAx val="332948712"/>
        <c:crosses val="autoZero"/>
        <c:crossBetween val="midCat"/>
      </c:valAx>
    </c:plotArea>
    <c:plotVisOnly val="1"/>
  </c:chart>
</c:chartSpace>
</file>

<file path=xl/charts/chart1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Lahaina Town (PLT)</a:t>
            </a:r>
          </a:p>
        </c:rich>
      </c:tx>
    </c:title>
    <c:plotArea>
      <c:layout/>
      <c:scatterChart>
        <c:scatterStyle val="smoothMarker"/>
        <c:ser>
          <c:idx val="0"/>
          <c:order val="0"/>
          <c:tx>
            <c:strRef>
              <c:f>'Lahaina Town'!$J$1</c:f>
              <c:strCache>
                <c:ptCount val="1"/>
                <c:pt idx="0">
                  <c:v>Turbidity (NTU)</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Town'!$J$2:$J$34</c:f>
              <c:numCache>
                <c:formatCode>0.00</c:formatCode>
                <c:ptCount val="32"/>
                <c:pt idx="0">
                  <c:v>2.91</c:v>
                </c:pt>
                <c:pt idx="1">
                  <c:v>1.98</c:v>
                </c:pt>
                <c:pt idx="2">
                  <c:v>4.96</c:v>
                </c:pt>
                <c:pt idx="3">
                  <c:v>3.696666666666667</c:v>
                </c:pt>
                <c:pt idx="4">
                  <c:v>4.343333333333333</c:v>
                </c:pt>
                <c:pt idx="5">
                  <c:v>6.57</c:v>
                </c:pt>
                <c:pt idx="6">
                  <c:v>4.326666666666667</c:v>
                </c:pt>
                <c:pt idx="7">
                  <c:v>45.33333333333334</c:v>
                </c:pt>
                <c:pt idx="8">
                  <c:v>20.36666666666667</c:v>
                </c:pt>
                <c:pt idx="9">
                  <c:v>43.66666666666666</c:v>
                </c:pt>
                <c:pt idx="10">
                  <c:v>4.176666666666666</c:v>
                </c:pt>
                <c:pt idx="11">
                  <c:v>10.86666666666667</c:v>
                </c:pt>
                <c:pt idx="12">
                  <c:v>12.5</c:v>
                </c:pt>
                <c:pt idx="13">
                  <c:v>7.503333333333333</c:v>
                </c:pt>
                <c:pt idx="14">
                  <c:v>35.3</c:v>
                </c:pt>
                <c:pt idx="15">
                  <c:v>1.696666666666666</c:v>
                </c:pt>
                <c:pt idx="16">
                  <c:v>8.646666666666666</c:v>
                </c:pt>
                <c:pt idx="17">
                  <c:v>3.03</c:v>
                </c:pt>
                <c:pt idx="18">
                  <c:v>7.53</c:v>
                </c:pt>
                <c:pt idx="19">
                  <c:v>11.36666666666667</c:v>
                </c:pt>
                <c:pt idx="20">
                  <c:v>1.573333333333333</c:v>
                </c:pt>
                <c:pt idx="21">
                  <c:v>13.23333333333333</c:v>
                </c:pt>
                <c:pt idx="22">
                  <c:v>2.243333333333332</c:v>
                </c:pt>
                <c:pt idx="23">
                  <c:v>6.113333333333333</c:v>
                </c:pt>
                <c:pt idx="24">
                  <c:v>6.45</c:v>
                </c:pt>
                <c:pt idx="25">
                  <c:v>3.74</c:v>
                </c:pt>
                <c:pt idx="26">
                  <c:v>19.2</c:v>
                </c:pt>
                <c:pt idx="27">
                  <c:v>4.126666666666666</c:v>
                </c:pt>
                <c:pt idx="28">
                  <c:v>15.36666666666667</c:v>
                </c:pt>
                <c:pt idx="29">
                  <c:v>2.49</c:v>
                </c:pt>
                <c:pt idx="30">
                  <c:v>16.26666666666667</c:v>
                </c:pt>
                <c:pt idx="31">
                  <c:v>10.06</c:v>
                </c:pt>
              </c:numCache>
            </c:numRef>
          </c:yVal>
          <c:smooth val="1"/>
        </c:ser>
        <c:axId val="333045864"/>
        <c:axId val="333042744"/>
      </c:scatterChart>
      <c:valAx>
        <c:axId val="333045864"/>
        <c:scaling>
          <c:orientation val="minMax"/>
        </c:scaling>
        <c:axPos val="b"/>
        <c:title>
          <c:tx>
            <c:rich>
              <a:bodyPr/>
              <a:lstStyle/>
              <a:p>
                <a:pPr>
                  <a:defRPr/>
                </a:pPr>
                <a:r>
                  <a:rPr lang="en-US"/>
                  <a:t>Date</a:t>
                </a:r>
              </a:p>
            </c:rich>
          </c:tx>
        </c:title>
        <c:numFmt formatCode="m/d/yy" sourceLinked="1"/>
        <c:tickLblPos val="nextTo"/>
        <c:crossAx val="333042744"/>
        <c:crosses val="autoZero"/>
        <c:crossBetween val="midCat"/>
      </c:valAx>
      <c:valAx>
        <c:axId val="333042744"/>
        <c:scaling>
          <c:orientation val="minMax"/>
          <c:max val="50.0"/>
        </c:scaling>
        <c:axPos val="l"/>
        <c:majorGridlines/>
        <c:title>
          <c:tx>
            <c:rich>
              <a:bodyPr/>
              <a:lstStyle/>
              <a:p>
                <a:pPr>
                  <a:defRPr/>
                </a:pPr>
                <a:r>
                  <a:rPr lang="en-US"/>
                  <a:t>Turbidity (NTU)</a:t>
                </a:r>
              </a:p>
            </c:rich>
          </c:tx>
        </c:title>
        <c:numFmt formatCode="0.00" sourceLinked="1"/>
        <c:tickLblPos val="nextTo"/>
        <c:crossAx val="333045864"/>
        <c:crosses val="autoZero"/>
        <c:crossBetween val="midCat"/>
      </c:valAx>
    </c:plotArea>
    <c:plotVisOnly val="1"/>
  </c:chart>
</c:chartSpace>
</file>

<file path=xl/charts/chart1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Nutrients Lahaina Town (PLT)</a:t>
            </a:r>
          </a:p>
        </c:rich>
      </c:tx>
    </c:title>
    <c:plotArea>
      <c:layout/>
      <c:scatterChart>
        <c:scatterStyle val="smoothMarker"/>
        <c:ser>
          <c:idx val="1"/>
          <c:order val="0"/>
          <c:tx>
            <c:strRef>
              <c:f>'Lahaina Town'!$K$1</c:f>
              <c:strCache>
                <c:ptCount val="1"/>
                <c:pt idx="0">
                  <c:v>Total N (ug/L)</c:v>
                </c:pt>
              </c:strCache>
            </c:strRef>
          </c:tx>
          <c:spPr>
            <a:ln>
              <a:solidFill>
                <a:schemeClr val="accent1"/>
              </a:solidFill>
            </a:ln>
          </c:spPr>
          <c:marker>
            <c:spPr>
              <a:solidFill>
                <a:schemeClr val="accent1"/>
              </a:solidFill>
              <a:ln>
                <a:solidFill>
                  <a:schemeClr val="accent1"/>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Town'!$K$2:$K$31</c:f>
              <c:numCache>
                <c:formatCode>0.00</c:formatCode>
                <c:ptCount val="30"/>
                <c:pt idx="0">
                  <c:v>72.13024969246429</c:v>
                </c:pt>
                <c:pt idx="1">
                  <c:v>72.7900111464097</c:v>
                </c:pt>
                <c:pt idx="2">
                  <c:v>97.02998430717592</c:v>
                </c:pt>
                <c:pt idx="3">
                  <c:v>75.74341798023506</c:v>
                </c:pt>
                <c:pt idx="4">
                  <c:v>72.33956012821091</c:v>
                </c:pt>
                <c:pt idx="5">
                  <c:v>82.15095827080989</c:v>
                </c:pt>
                <c:pt idx="6">
                  <c:v>87.18000000000001</c:v>
                </c:pt>
                <c:pt idx="7">
                  <c:v>111.6219730575269</c:v>
                </c:pt>
                <c:pt idx="8">
                  <c:v>82.07335191192452</c:v>
                </c:pt>
                <c:pt idx="9">
                  <c:v>77.93420216919517</c:v>
                </c:pt>
                <c:pt idx="10">
                  <c:v>76.58904957188295</c:v>
                </c:pt>
                <c:pt idx="11">
                  <c:v>81.31121368599838</c:v>
                </c:pt>
                <c:pt idx="12">
                  <c:v>103.4521147795234</c:v>
                </c:pt>
                <c:pt idx="13">
                  <c:v>90.52209108334228</c:v>
                </c:pt>
                <c:pt idx="14">
                  <c:v>93.72287292639582</c:v>
                </c:pt>
                <c:pt idx="15">
                  <c:v>76.34919739193064</c:v>
                </c:pt>
                <c:pt idx="16">
                  <c:v>107.6740207191597</c:v>
                </c:pt>
                <c:pt idx="17">
                  <c:v>71.71049353315168</c:v>
                </c:pt>
                <c:pt idx="18">
                  <c:v>123.1459330099475</c:v>
                </c:pt>
                <c:pt idx="19">
                  <c:v>109.0093291470253</c:v>
                </c:pt>
                <c:pt idx="20">
                  <c:v>69.50353236675399</c:v>
                </c:pt>
                <c:pt idx="21">
                  <c:v>112.1358359002125</c:v>
                </c:pt>
                <c:pt idx="22">
                  <c:v>69.92394910661086</c:v>
                </c:pt>
                <c:pt idx="23">
                  <c:v>77.06524056285532</c:v>
                </c:pt>
                <c:pt idx="24">
                  <c:v>85.55666974493857</c:v>
                </c:pt>
                <c:pt idx="25">
                  <c:v>88.20337397958963</c:v>
                </c:pt>
                <c:pt idx="26">
                  <c:v>52.61817279512144</c:v>
                </c:pt>
                <c:pt idx="27">
                  <c:v>78.79190736669601</c:v>
                </c:pt>
                <c:pt idx="28">
                  <c:v>62.90734140642796</c:v>
                </c:pt>
                <c:pt idx="29">
                  <c:v>106.6051780989221</c:v>
                </c:pt>
              </c:numCache>
            </c:numRef>
          </c:yVal>
          <c:smooth val="1"/>
        </c:ser>
        <c:ser>
          <c:idx val="2"/>
          <c:order val="1"/>
          <c:tx>
            <c:strRef>
              <c:f>'Lahaina Town'!$O$1</c:f>
              <c:strCache>
                <c:ptCount val="1"/>
                <c:pt idx="0">
                  <c:v>NNN (ug/L)</c:v>
                </c:pt>
              </c:strCache>
            </c:strRef>
          </c:tx>
          <c:spPr>
            <a:ln>
              <a:solidFill>
                <a:schemeClr val="accent2"/>
              </a:solidFill>
            </a:ln>
          </c:spPr>
          <c:marker>
            <c:spPr>
              <a:solidFill>
                <a:schemeClr val="accent2"/>
              </a:solidFill>
              <a:ln>
                <a:solidFill>
                  <a:schemeClr val="accent2"/>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Town'!$O$2:$O$31</c:f>
              <c:numCache>
                <c:formatCode>0.00</c:formatCode>
                <c:ptCount val="30"/>
                <c:pt idx="0">
                  <c:v>4.238251293789808</c:v>
                </c:pt>
                <c:pt idx="1">
                  <c:v>6.276253934987724</c:v>
                </c:pt>
                <c:pt idx="2">
                  <c:v>22.19113738413295</c:v>
                </c:pt>
                <c:pt idx="3">
                  <c:v>7.185921149467786</c:v>
                </c:pt>
                <c:pt idx="4">
                  <c:v>13.55298980694602</c:v>
                </c:pt>
                <c:pt idx="5">
                  <c:v>11.69528277978907</c:v>
                </c:pt>
                <c:pt idx="6">
                  <c:v>5.45</c:v>
                </c:pt>
                <c:pt idx="7">
                  <c:v>27.3210850254473</c:v>
                </c:pt>
                <c:pt idx="8">
                  <c:v>16.63645125662417</c:v>
                </c:pt>
                <c:pt idx="9">
                  <c:v>9.331926341403692</c:v>
                </c:pt>
                <c:pt idx="10">
                  <c:v>6.787726898472653</c:v>
                </c:pt>
                <c:pt idx="11">
                  <c:v>9.706153769586169</c:v>
                </c:pt>
                <c:pt idx="12">
                  <c:v>33.6823614187798</c:v>
                </c:pt>
                <c:pt idx="13">
                  <c:v>45.98281634413596</c:v>
                </c:pt>
                <c:pt idx="14">
                  <c:v>22.99963078613116</c:v>
                </c:pt>
                <c:pt idx="15">
                  <c:v>4.759672187533067</c:v>
                </c:pt>
                <c:pt idx="16">
                  <c:v>26.2714633823685</c:v>
                </c:pt>
                <c:pt idx="17">
                  <c:v>6.935063498782935</c:v>
                </c:pt>
                <c:pt idx="18">
                  <c:v>47.97232170759751</c:v>
                </c:pt>
                <c:pt idx="19">
                  <c:v>23.81796151214787</c:v>
                </c:pt>
                <c:pt idx="20">
                  <c:v>4.651447982949823</c:v>
                </c:pt>
                <c:pt idx="21">
                  <c:v>27.14260402807667</c:v>
                </c:pt>
                <c:pt idx="22">
                  <c:v>6.337265307186814</c:v>
                </c:pt>
                <c:pt idx="23">
                  <c:v>21.68029445762455</c:v>
                </c:pt>
                <c:pt idx="24">
                  <c:v>17.83289974027704</c:v>
                </c:pt>
                <c:pt idx="25">
                  <c:v>14.34770702916889</c:v>
                </c:pt>
                <c:pt idx="26">
                  <c:v>10.30219784301829</c:v>
                </c:pt>
                <c:pt idx="27">
                  <c:v>19.84498713122647</c:v>
                </c:pt>
                <c:pt idx="28">
                  <c:v>8.577340891184451</c:v>
                </c:pt>
                <c:pt idx="29">
                  <c:v>48.19208257371184</c:v>
                </c:pt>
              </c:numCache>
            </c:numRef>
          </c:yVal>
          <c:smooth val="1"/>
        </c:ser>
        <c:axId val="333117944"/>
        <c:axId val="333120760"/>
      </c:scatterChart>
      <c:scatterChart>
        <c:scatterStyle val="smoothMarker"/>
        <c:ser>
          <c:idx val="0"/>
          <c:order val="2"/>
          <c:tx>
            <c:strRef>
              <c:f>'Lahaina Town'!$N$1</c:f>
              <c:strCache>
                <c:ptCount val="1"/>
                <c:pt idx="0">
                  <c:v>Silicate (ug/L)</c:v>
                </c:pt>
              </c:strCache>
            </c:strRef>
          </c:tx>
          <c:spPr>
            <a:ln>
              <a:solidFill>
                <a:schemeClr val="accent3"/>
              </a:solidFill>
            </a:ln>
          </c:spPr>
          <c:marker>
            <c:spPr>
              <a:solidFill>
                <a:schemeClr val="accent3"/>
              </a:solidFill>
              <a:ln>
                <a:solidFill>
                  <a:schemeClr val="accent3"/>
                </a:solidFill>
              </a:ln>
            </c:spPr>
          </c:marker>
          <c:xVal>
            <c:numRef>
              <c:f>'Lahaina Town'!$C$2:$C$31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'Lahaina Town'!$N$1:$N$31</c:f>
              <c:numCache>
                <c:formatCode>0.00</c:formatCode>
                <c:ptCount val="31"/>
                <c:pt idx="0" formatCode="General">
                  <c:v>0.0</c:v>
                </c:pt>
                <c:pt idx="1">
                  <c:v>125.3611166222865</c:v>
                </c:pt>
                <c:pt idx="2">
                  <c:v>217.7110255425063</c:v>
                </c:pt>
                <c:pt idx="3">
                  <c:v>550.8436664285201</c:v>
                </c:pt>
                <c:pt idx="4">
                  <c:v>217.9711213953292</c:v>
                </c:pt>
                <c:pt idx="5">
                  <c:v>349.5029538964068</c:v>
                </c:pt>
                <c:pt idx="6">
                  <c:v>344.2621037148435</c:v>
                </c:pt>
                <c:pt idx="7">
                  <c:v>164.84</c:v>
                </c:pt>
                <c:pt idx="8">
                  <c:v>660.2199607168602</c:v>
                </c:pt>
                <c:pt idx="9">
                  <c:v>506.4410143399945</c:v>
                </c:pt>
                <c:pt idx="10">
                  <c:v>632.9114306808294</c:v>
                </c:pt>
                <c:pt idx="11">
                  <c:v>400.7279376090679</c:v>
                </c:pt>
                <c:pt idx="12">
                  <c:v>345.4459014998723</c:v>
                </c:pt>
                <c:pt idx="13">
                  <c:v>542.0572954817667</c:v>
                </c:pt>
                <c:pt idx="14">
                  <c:v>669.2337527489687</c:v>
                </c:pt>
                <c:pt idx="15">
                  <c:v>554.286330711874</c:v>
                </c:pt>
                <c:pt idx="16">
                  <c:v>181.8191355148252</c:v>
                </c:pt>
                <c:pt idx="17">
                  <c:v>321.1926841240122</c:v>
                </c:pt>
                <c:pt idx="18">
                  <c:v>175.614443068418</c:v>
                </c:pt>
                <c:pt idx="19">
                  <c:v>497.5344253531049</c:v>
                </c:pt>
                <c:pt idx="20">
                  <c:v>562.0218048694943</c:v>
                </c:pt>
                <c:pt idx="21">
                  <c:v>61.30357884065316</c:v>
                </c:pt>
                <c:pt idx="22">
                  <c:v>530.0619543105885</c:v>
                </c:pt>
                <c:pt idx="23">
                  <c:v>120.3026859289804</c:v>
                </c:pt>
                <c:pt idx="24">
                  <c:v>512.4746643483042</c:v>
                </c:pt>
                <c:pt idx="25">
                  <c:v>352.8984350545627</c:v>
                </c:pt>
                <c:pt idx="26">
                  <c:v>348.7997324052013</c:v>
                </c:pt>
                <c:pt idx="27">
                  <c:v>571.5180061579041</c:v>
                </c:pt>
                <c:pt idx="28">
                  <c:v>477.5861816740816</c:v>
                </c:pt>
                <c:pt idx="29">
                  <c:v>374.0379660424413</c:v>
                </c:pt>
                <c:pt idx="30">
                  <c:v>668.9708556975192</c:v>
                </c:pt>
              </c:numCache>
            </c:numRef>
          </c:yVal>
          <c:smooth val="1"/>
        </c:ser>
        <c:axId val="333132920"/>
        <c:axId val="333128088"/>
      </c:scatterChart>
      <c:valAx>
        <c:axId val="333117944"/>
        <c:scaling>
          <c:orientation val="minMax"/>
        </c:scaling>
        <c:axPos val="b"/>
        <c:numFmt formatCode="m/d/yy" sourceLinked="1"/>
        <c:tickLblPos val="nextTo"/>
        <c:crossAx val="333120760"/>
        <c:crosses val="autoZero"/>
        <c:crossBetween val="midCat"/>
      </c:valAx>
      <c:valAx>
        <c:axId val="333120760"/>
        <c:scaling>
          <c:orientation val="minMax"/>
        </c:scaling>
        <c:axPos val="l"/>
        <c:majorGridlines/>
        <c:title>
          <c:tx>
            <c:rich>
              <a:bodyPr/>
              <a:lstStyle/>
              <a:p>
                <a:pPr>
                  <a:defRPr/>
                </a:pPr>
                <a:r>
                  <a:rPr lang="en-US"/>
                  <a:t>TN and NNN (ug/L)</a:t>
                </a:r>
              </a:p>
            </c:rich>
          </c:tx>
        </c:title>
        <c:numFmt formatCode="0.00" sourceLinked="1"/>
        <c:tickLblPos val="nextTo"/>
        <c:crossAx val="333117944"/>
        <c:crosses val="autoZero"/>
        <c:crossBetween val="midCat"/>
      </c:valAx>
      <c:valAx>
        <c:axId val="333128088"/>
        <c:scaling>
          <c:orientation val="minMax"/>
        </c:scaling>
        <c:axPos val="r"/>
        <c:title>
          <c:tx>
            <c:rich>
              <a:bodyPr/>
              <a:lstStyle/>
              <a:p>
                <a:pPr>
                  <a:defRPr/>
                </a:pPr>
                <a:r>
                  <a:rPr lang="en-US"/>
                  <a:t>Silicates (ug/L)</a:t>
                </a:r>
              </a:p>
            </c:rich>
          </c:tx>
        </c:title>
        <c:numFmt formatCode="General" sourceLinked="1"/>
        <c:tickLblPos val="nextTo"/>
        <c:crossAx val="333132920"/>
        <c:crosses val="max"/>
        <c:crossBetween val="midCat"/>
      </c:valAx>
      <c:valAx>
        <c:axId val="333132920"/>
        <c:scaling>
          <c:orientation val="minMax"/>
        </c:scaling>
        <c:delete val="1"/>
        <c:axPos val="b"/>
        <c:numFmt formatCode="m/d/yy" sourceLinked="1"/>
        <c:tickLblPos val="nextTo"/>
        <c:crossAx val="333128088"/>
        <c:crosses val="autoZero"/>
        <c:crossBetween val="midCat"/>
      </c:valAx>
    </c:plotArea>
    <c:legend>
      <c:legendPos val="t"/>
    </c:legend>
    <c:plotVisOnly val="1"/>
  </c:chart>
</c:chartSpace>
</file>

<file path=xl/charts/chart1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Lahaina Town (PLT)</a:t>
            </a:r>
          </a:p>
        </c:rich>
      </c:tx>
    </c:title>
    <c:plotArea>
      <c:layout/>
      <c:scatterChart>
        <c:scatterStyle val="smoothMarker"/>
        <c:ser>
          <c:idx val="0"/>
          <c:order val="0"/>
          <c:tx>
            <c:strRef>
              <c:f>'Lahaina Town'!$I$1</c:f>
              <c:strCache>
                <c:ptCount val="1"/>
                <c:pt idx="0">
                  <c:v>pH</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Town'!$I$2:$I$34</c:f>
              <c:numCache>
                <c:formatCode>0.00</c:formatCode>
                <c:ptCount val="32"/>
                <c:pt idx="0">
                  <c:v>8.09</c:v>
                </c:pt>
                <c:pt idx="1">
                  <c:v>8.02</c:v>
                </c:pt>
                <c:pt idx="2">
                  <c:v>8.0</c:v>
                </c:pt>
                <c:pt idx="3">
                  <c:v>8.0</c:v>
                </c:pt>
                <c:pt idx="4">
                  <c:v>8.04</c:v>
                </c:pt>
                <c:pt idx="5">
                  <c:v>8.03</c:v>
                </c:pt>
                <c:pt idx="6">
                  <c:v>8.01</c:v>
                </c:pt>
                <c:pt idx="7">
                  <c:v>7.98</c:v>
                </c:pt>
                <c:pt idx="8">
                  <c:v>7.87</c:v>
                </c:pt>
                <c:pt idx="9">
                  <c:v>7.98</c:v>
                </c:pt>
                <c:pt idx="10">
                  <c:v>7.98</c:v>
                </c:pt>
                <c:pt idx="11">
                  <c:v>8.03</c:v>
                </c:pt>
                <c:pt idx="12">
                  <c:v>7.95</c:v>
                </c:pt>
                <c:pt idx="13">
                  <c:v>7.94</c:v>
                </c:pt>
                <c:pt idx="14">
                  <c:v>8.05</c:v>
                </c:pt>
                <c:pt idx="15">
                  <c:v>8.0</c:v>
                </c:pt>
                <c:pt idx="16">
                  <c:v>8.07</c:v>
                </c:pt>
                <c:pt idx="17">
                  <c:v>8.11</c:v>
                </c:pt>
                <c:pt idx="18">
                  <c:v>8.07</c:v>
                </c:pt>
                <c:pt idx="19">
                  <c:v>8.1</c:v>
                </c:pt>
                <c:pt idx="20">
                  <c:v>8.140000000000001</c:v>
                </c:pt>
                <c:pt idx="21">
                  <c:v>8.05</c:v>
                </c:pt>
                <c:pt idx="22">
                  <c:v>8.1</c:v>
                </c:pt>
                <c:pt idx="23">
                  <c:v>8.04</c:v>
                </c:pt>
                <c:pt idx="24">
                  <c:v>8.06</c:v>
                </c:pt>
                <c:pt idx="25">
                  <c:v>8.07</c:v>
                </c:pt>
                <c:pt idx="26">
                  <c:v>8.08</c:v>
                </c:pt>
                <c:pt idx="27">
                  <c:v>8.05</c:v>
                </c:pt>
                <c:pt idx="28">
                  <c:v>8.07</c:v>
                </c:pt>
                <c:pt idx="29">
                  <c:v>8.11</c:v>
                </c:pt>
                <c:pt idx="30">
                  <c:v>8.130000000000001</c:v>
                </c:pt>
                <c:pt idx="31">
                  <c:v>8.130000000000001</c:v>
                </c:pt>
              </c:numCache>
            </c:numRef>
          </c:yVal>
          <c:smooth val="1"/>
        </c:ser>
        <c:axId val="333147064"/>
        <c:axId val="333150168"/>
      </c:scatterChart>
      <c:valAx>
        <c:axId val="333147064"/>
        <c:scaling>
          <c:orientation val="minMax"/>
        </c:scaling>
        <c:axPos val="b"/>
        <c:numFmt formatCode="m/d/yy" sourceLinked="1"/>
        <c:tickLblPos val="nextTo"/>
        <c:crossAx val="333150168"/>
        <c:crosses val="autoZero"/>
        <c:crossBetween val="midCat"/>
      </c:valAx>
      <c:valAx>
        <c:axId val="333150168"/>
        <c:scaling>
          <c:orientation val="minMax"/>
          <c:max val="8.3"/>
          <c:min val="7.7"/>
        </c:scaling>
        <c:axPos val="l"/>
        <c:majorGridlines/>
        <c:numFmt formatCode="0.00" sourceLinked="1"/>
        <c:tickLblPos val="nextTo"/>
        <c:crossAx val="333147064"/>
        <c:crosses val="autoZero"/>
        <c:crossBetween val="midCat"/>
      </c:valAx>
    </c:plotArea>
    <c:plotVisOnly val="1"/>
  </c:chart>
</c:chartSpace>
</file>

<file path=xl/charts/chart1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Lahaina Town (PLT) </a:t>
            </a:r>
          </a:p>
        </c:rich>
      </c:tx>
    </c:title>
    <c:plotArea>
      <c:layout/>
      <c:scatterChart>
        <c:scatterStyle val="smoothMarker"/>
        <c:ser>
          <c:idx val="0"/>
          <c:order val="0"/>
          <c:tx>
            <c:strRef>
              <c:f>'Lahaina Town'!$E$1</c:f>
              <c:strCache>
                <c:ptCount val="1"/>
                <c:pt idx="0">
                  <c:v>Temp (degrees C)</c:v>
                </c:pt>
              </c:strCache>
            </c:strRef>
          </c:tx>
          <c:xVal>
            <c:numRef>
              <c:f>'Lahaina Town'!$C$2:$C$34</c:f>
              <c:numCache>
                <c:formatCode>m/d/yy</c:formatCode>
                <c:ptCount val="32"/>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numCache>
            </c:numRef>
          </c:xVal>
          <c:yVal>
            <c:numRef>
              <c:f>'Lahaina Town'!$E$2:$E$34</c:f>
              <c:numCache>
                <c:formatCode>0.0</c:formatCode>
                <c:ptCount val="32"/>
                <c:pt idx="0">
                  <c:v>27.2</c:v>
                </c:pt>
                <c:pt idx="1">
                  <c:v>27.3</c:v>
                </c:pt>
                <c:pt idx="2">
                  <c:v>27.4</c:v>
                </c:pt>
                <c:pt idx="3">
                  <c:v>27.6</c:v>
                </c:pt>
                <c:pt idx="4">
                  <c:v>27.5</c:v>
                </c:pt>
                <c:pt idx="5">
                  <c:v>28.3</c:v>
                </c:pt>
                <c:pt idx="6">
                  <c:v>27.5</c:v>
                </c:pt>
                <c:pt idx="7">
                  <c:v>26.9</c:v>
                </c:pt>
                <c:pt idx="8">
                  <c:v>28.2</c:v>
                </c:pt>
                <c:pt idx="9">
                  <c:v>27.5</c:v>
                </c:pt>
                <c:pt idx="10">
                  <c:v>26.8</c:v>
                </c:pt>
                <c:pt idx="11">
                  <c:v>26.5</c:v>
                </c:pt>
                <c:pt idx="12">
                  <c:v>25.0</c:v>
                </c:pt>
                <c:pt idx="13">
                  <c:v>24.0</c:v>
                </c:pt>
                <c:pt idx="14">
                  <c:v>23.7</c:v>
                </c:pt>
                <c:pt idx="15">
                  <c:v>24.3</c:v>
                </c:pt>
                <c:pt idx="16">
                  <c:v>24.9</c:v>
                </c:pt>
                <c:pt idx="17">
                  <c:v>24.6</c:v>
                </c:pt>
                <c:pt idx="18">
                  <c:v>26.3</c:v>
                </c:pt>
                <c:pt idx="19">
                  <c:v>26.2</c:v>
                </c:pt>
                <c:pt idx="20">
                  <c:v>25.9</c:v>
                </c:pt>
                <c:pt idx="21">
                  <c:v>26.8</c:v>
                </c:pt>
                <c:pt idx="22">
                  <c:v>27.3</c:v>
                </c:pt>
                <c:pt idx="23">
                  <c:v>28.2</c:v>
                </c:pt>
                <c:pt idx="24">
                  <c:v>27.8</c:v>
                </c:pt>
                <c:pt idx="25">
                  <c:v>27.6</c:v>
                </c:pt>
                <c:pt idx="26">
                  <c:v>27.7</c:v>
                </c:pt>
                <c:pt idx="27">
                  <c:v>28.3</c:v>
                </c:pt>
                <c:pt idx="28">
                  <c:v>26.8</c:v>
                </c:pt>
                <c:pt idx="29">
                  <c:v>26.2</c:v>
                </c:pt>
                <c:pt idx="30">
                  <c:v>23.6</c:v>
                </c:pt>
                <c:pt idx="31">
                  <c:v>23.9</c:v>
                </c:pt>
              </c:numCache>
            </c:numRef>
          </c:yVal>
          <c:smooth val="1"/>
        </c:ser>
        <c:axId val="333183512"/>
        <c:axId val="333176456"/>
      </c:scatterChart>
      <c:valAx>
        <c:axId val="333183512"/>
        <c:scaling>
          <c:orientation val="minMax"/>
        </c:scaling>
        <c:axPos val="b"/>
        <c:numFmt formatCode="m/d/yy" sourceLinked="1"/>
        <c:tickLblPos val="nextTo"/>
        <c:crossAx val="333176456"/>
        <c:crosses val="autoZero"/>
        <c:crossBetween val="midCat"/>
      </c:valAx>
      <c:valAx>
        <c:axId val="333176456"/>
        <c:scaling>
          <c:orientation val="minMax"/>
          <c:max val="29.0"/>
          <c:min val="22.0"/>
        </c:scaling>
        <c:axPos val="l"/>
        <c:majorGridlines/>
        <c:title>
          <c:tx>
            <c:rich>
              <a:bodyPr/>
              <a:lstStyle/>
              <a:p>
                <a:pPr>
                  <a:defRPr/>
                </a:pPr>
                <a:r>
                  <a:rPr lang="en-US"/>
                  <a:t>Temperature (C)</a:t>
                </a:r>
              </a:p>
            </c:rich>
          </c:tx>
        </c:title>
        <c:numFmt formatCode="0.0" sourceLinked="1"/>
        <c:tickLblPos val="nextTo"/>
        <c:crossAx val="333183512"/>
        <c:crosses val="autoZero"/>
        <c:crossBetween val="midCat"/>
      </c:valAx>
    </c:plotArea>
    <c:plotVisOnly val="1"/>
  </c:char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Lahaina Town Nitrates vs Silicates</a:t>
            </a:r>
          </a:p>
        </c:rich>
      </c:tx>
    </c:title>
    <c:plotArea>
      <c:layout/>
      <c:scatterChart>
        <c:scatterStyle val="lineMarker"/>
        <c:ser>
          <c:idx val="0"/>
          <c:order val="0"/>
          <c:tx>
            <c:strRef>
              <c:f>'Lahaina Town'!$O$1</c:f>
              <c:strCache>
                <c:ptCount val="1"/>
                <c:pt idx="0">
                  <c:v>NNN (ug/L)</c:v>
                </c:pt>
              </c:strCache>
            </c:strRef>
          </c:tx>
          <c:spPr>
            <a:ln w="28575">
              <a:noFill/>
            </a:ln>
          </c:spPr>
          <c:trendline>
            <c:trendlineType val="linear"/>
            <c:dispRSqr val="1"/>
            <c:dispEq val="1"/>
            <c:trendlineLbl>
              <c:layout>
                <c:manualLayout>
                  <c:x val="0.150198018787329"/>
                  <c:y val="-0.446106864788905"/>
                </c:manualLayout>
              </c:layout>
              <c:numFmt formatCode="General" sourceLinked="0"/>
            </c:trendlineLbl>
          </c:trendline>
          <c:xVal>
            <c:numRef>
              <c:f>'Lahaina Town'!$N$2:$N$31</c:f>
              <c:numCache>
                <c:formatCode>0.00</c:formatCode>
                <c:ptCount val="30"/>
                <c:pt idx="0">
                  <c:v>125.3611166222865</c:v>
                </c:pt>
                <c:pt idx="1">
                  <c:v>217.7110255425063</c:v>
                </c:pt>
                <c:pt idx="2">
                  <c:v>550.8436664285201</c:v>
                </c:pt>
                <c:pt idx="3">
                  <c:v>217.9711213953292</c:v>
                </c:pt>
                <c:pt idx="4">
                  <c:v>349.5029538964068</c:v>
                </c:pt>
                <c:pt idx="5">
                  <c:v>344.2621037148435</c:v>
                </c:pt>
                <c:pt idx="6">
                  <c:v>164.84</c:v>
                </c:pt>
                <c:pt idx="7">
                  <c:v>660.2199607168602</c:v>
                </c:pt>
                <c:pt idx="8">
                  <c:v>506.4410143399945</c:v>
                </c:pt>
                <c:pt idx="9">
                  <c:v>632.9114306808294</c:v>
                </c:pt>
                <c:pt idx="10">
                  <c:v>400.7279376090679</c:v>
                </c:pt>
                <c:pt idx="11">
                  <c:v>345.4459014998723</c:v>
                </c:pt>
                <c:pt idx="12">
                  <c:v>542.0572954817667</c:v>
                </c:pt>
                <c:pt idx="13">
                  <c:v>669.2337527489687</c:v>
                </c:pt>
                <c:pt idx="14">
                  <c:v>554.286330711874</c:v>
                </c:pt>
                <c:pt idx="15">
                  <c:v>181.8191355148252</c:v>
                </c:pt>
                <c:pt idx="16">
                  <c:v>321.1926841240122</c:v>
                </c:pt>
                <c:pt idx="17">
                  <c:v>175.614443068418</c:v>
                </c:pt>
                <c:pt idx="18">
                  <c:v>497.5344253531049</c:v>
                </c:pt>
                <c:pt idx="19">
                  <c:v>562.0218048694943</c:v>
                </c:pt>
                <c:pt idx="20">
                  <c:v>61.30357884065316</c:v>
                </c:pt>
                <c:pt idx="21">
                  <c:v>530.0619543105885</c:v>
                </c:pt>
                <c:pt idx="22">
                  <c:v>120.3026859289804</c:v>
                </c:pt>
                <c:pt idx="23">
                  <c:v>512.4746643483042</c:v>
                </c:pt>
                <c:pt idx="24">
                  <c:v>352.8984350545627</c:v>
                </c:pt>
                <c:pt idx="25">
                  <c:v>348.7997324052013</c:v>
                </c:pt>
                <c:pt idx="26">
                  <c:v>571.5180061579041</c:v>
                </c:pt>
                <c:pt idx="27">
                  <c:v>477.5861816740816</c:v>
                </c:pt>
                <c:pt idx="28">
                  <c:v>374.0379660424413</c:v>
                </c:pt>
                <c:pt idx="29">
                  <c:v>668.9708556975192</c:v>
                </c:pt>
              </c:numCache>
            </c:numRef>
          </c:xVal>
          <c:yVal>
            <c:numRef>
              <c:f>'Lahaina Town'!$O$2:$O$31</c:f>
              <c:numCache>
                <c:formatCode>0.00</c:formatCode>
                <c:ptCount val="30"/>
                <c:pt idx="0">
                  <c:v>4.238251293789808</c:v>
                </c:pt>
                <c:pt idx="1">
                  <c:v>6.276253934987724</c:v>
                </c:pt>
                <c:pt idx="2">
                  <c:v>22.19113738413295</c:v>
                </c:pt>
                <c:pt idx="3">
                  <c:v>7.185921149467786</c:v>
                </c:pt>
                <c:pt idx="4">
                  <c:v>13.55298980694602</c:v>
                </c:pt>
                <c:pt idx="5">
                  <c:v>11.69528277978907</c:v>
                </c:pt>
                <c:pt idx="6">
                  <c:v>5.45</c:v>
                </c:pt>
                <c:pt idx="7">
                  <c:v>27.3210850254473</c:v>
                </c:pt>
                <c:pt idx="8">
                  <c:v>16.63645125662417</c:v>
                </c:pt>
                <c:pt idx="9">
                  <c:v>9.331926341403692</c:v>
                </c:pt>
                <c:pt idx="10">
                  <c:v>6.787726898472653</c:v>
                </c:pt>
                <c:pt idx="11">
                  <c:v>9.706153769586169</c:v>
                </c:pt>
                <c:pt idx="12">
                  <c:v>33.6823614187798</c:v>
                </c:pt>
                <c:pt idx="13">
                  <c:v>45.98281634413596</c:v>
                </c:pt>
                <c:pt idx="14">
                  <c:v>22.99963078613116</c:v>
                </c:pt>
                <c:pt idx="15">
                  <c:v>4.759672187533067</c:v>
                </c:pt>
                <c:pt idx="16">
                  <c:v>26.2714633823685</c:v>
                </c:pt>
                <c:pt idx="17">
                  <c:v>6.935063498782935</c:v>
                </c:pt>
                <c:pt idx="18">
                  <c:v>47.97232170759751</c:v>
                </c:pt>
                <c:pt idx="19">
                  <c:v>23.81796151214787</c:v>
                </c:pt>
                <c:pt idx="20">
                  <c:v>4.651447982949823</c:v>
                </c:pt>
                <c:pt idx="21">
                  <c:v>27.14260402807667</c:v>
                </c:pt>
                <c:pt idx="22">
                  <c:v>6.337265307186814</c:v>
                </c:pt>
                <c:pt idx="23">
                  <c:v>21.68029445762455</c:v>
                </c:pt>
                <c:pt idx="24">
                  <c:v>17.83289974027704</c:v>
                </c:pt>
                <c:pt idx="25">
                  <c:v>14.34770702916889</c:v>
                </c:pt>
                <c:pt idx="26">
                  <c:v>10.30219784301829</c:v>
                </c:pt>
                <c:pt idx="27">
                  <c:v>19.84498713122647</c:v>
                </c:pt>
                <c:pt idx="28">
                  <c:v>8.577340891184451</c:v>
                </c:pt>
                <c:pt idx="29">
                  <c:v>48.19208257371184</c:v>
                </c:pt>
              </c:numCache>
            </c:numRef>
          </c:yVal>
        </c:ser>
        <c:axId val="333236088"/>
        <c:axId val="333247112"/>
      </c:scatterChart>
      <c:valAx>
        <c:axId val="333236088"/>
        <c:scaling>
          <c:orientation val="minMax"/>
        </c:scaling>
        <c:axPos val="b"/>
        <c:title>
          <c:tx>
            <c:rich>
              <a:bodyPr/>
              <a:lstStyle/>
              <a:p>
                <a:pPr>
                  <a:defRPr/>
                </a:pPr>
                <a:r>
                  <a:rPr lang="en-US"/>
                  <a:t>Silicates (ug/L)</a:t>
                </a:r>
              </a:p>
            </c:rich>
          </c:tx>
        </c:title>
        <c:numFmt formatCode="0.00" sourceLinked="1"/>
        <c:tickLblPos val="nextTo"/>
        <c:crossAx val="333247112"/>
        <c:crosses val="autoZero"/>
        <c:crossBetween val="midCat"/>
      </c:valAx>
      <c:valAx>
        <c:axId val="333247112"/>
        <c:scaling>
          <c:orientation val="minMax"/>
        </c:scaling>
        <c:axPos val="l"/>
        <c:majorGridlines/>
        <c:title>
          <c:tx>
            <c:rich>
              <a:bodyPr/>
              <a:lstStyle/>
              <a:p>
                <a:pPr>
                  <a:defRPr/>
                </a:pPr>
                <a:r>
                  <a:rPr lang="en-US"/>
                  <a:t>Nitrates + Nitrites (ug/L)</a:t>
                </a:r>
              </a:p>
            </c:rich>
          </c:tx>
        </c:title>
        <c:numFmt formatCode="0.00" sourceLinked="1"/>
        <c:tickLblPos val="nextTo"/>
        <c:crossAx val="333236088"/>
        <c:crosses val="autoZero"/>
        <c:crossBetween val="midCat"/>
      </c:valAx>
    </c:plotArea>
    <c:plotVisOnly val="1"/>
  </c:chart>
</c:chartSpace>
</file>

<file path=xl/charts/chart17.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'Lahaina Town'!$F$1</c:f>
              <c:strCache>
                <c:ptCount val="1"/>
                <c:pt idx="0">
                  <c:v>Salinity (ppt)</c:v>
                </c:pt>
              </c:strCache>
            </c:strRef>
          </c:tx>
          <c:xVal>
            <c:numRef>
              <c:f>'Lahaina Town'!$C$2:$C$35</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'Lahaina Town'!$F$2:$F$35</c:f>
              <c:numCache>
                <c:formatCode>0.0</c:formatCode>
                <c:ptCount val="33"/>
                <c:pt idx="0">
                  <c:v>28.2</c:v>
                </c:pt>
                <c:pt idx="1">
                  <c:v>28.9</c:v>
                </c:pt>
                <c:pt idx="2">
                  <c:v>36.0</c:v>
                </c:pt>
                <c:pt idx="3">
                  <c:v>35.2</c:v>
                </c:pt>
                <c:pt idx="4">
                  <c:v>35.1</c:v>
                </c:pt>
                <c:pt idx="5">
                  <c:v>35.7</c:v>
                </c:pt>
                <c:pt idx="6">
                  <c:v>36.6</c:v>
                </c:pt>
                <c:pt idx="7">
                  <c:v>34.3</c:v>
                </c:pt>
                <c:pt idx="8">
                  <c:v>36.0</c:v>
                </c:pt>
                <c:pt idx="9">
                  <c:v>33.9</c:v>
                </c:pt>
                <c:pt idx="10">
                  <c:v>33.7</c:v>
                </c:pt>
                <c:pt idx="11">
                  <c:v>34.3</c:v>
                </c:pt>
                <c:pt idx="12">
                  <c:v>34.0</c:v>
                </c:pt>
                <c:pt idx="13">
                  <c:v>33.8</c:v>
                </c:pt>
                <c:pt idx="14">
                  <c:v>34.6</c:v>
                </c:pt>
                <c:pt idx="15">
                  <c:v>34.9</c:v>
                </c:pt>
                <c:pt idx="16">
                  <c:v>34.4</c:v>
                </c:pt>
                <c:pt idx="17">
                  <c:v>34.2</c:v>
                </c:pt>
                <c:pt idx="18">
                  <c:v>33.1</c:v>
                </c:pt>
                <c:pt idx="19">
                  <c:v>33.0</c:v>
                </c:pt>
                <c:pt idx="20">
                  <c:v>34.7</c:v>
                </c:pt>
                <c:pt idx="21">
                  <c:v>33.7</c:v>
                </c:pt>
                <c:pt idx="22">
                  <c:v>34.5</c:v>
                </c:pt>
                <c:pt idx="23">
                  <c:v>33.7</c:v>
                </c:pt>
                <c:pt idx="24">
                  <c:v>33.9</c:v>
                </c:pt>
                <c:pt idx="25">
                  <c:v>34.2</c:v>
                </c:pt>
                <c:pt idx="26">
                  <c:v>33.8</c:v>
                </c:pt>
                <c:pt idx="27">
                  <c:v>33.7</c:v>
                </c:pt>
                <c:pt idx="28">
                  <c:v>34.2</c:v>
                </c:pt>
                <c:pt idx="29">
                  <c:v>34.6</c:v>
                </c:pt>
                <c:pt idx="30">
                  <c:v>34.3</c:v>
                </c:pt>
                <c:pt idx="31">
                  <c:v>34.5</c:v>
                </c:pt>
                <c:pt idx="32">
                  <c:v>34.2</c:v>
                </c:pt>
              </c:numCache>
            </c:numRef>
          </c:yVal>
          <c:smooth val="1"/>
        </c:ser>
        <c:axId val="333275640"/>
        <c:axId val="333278744"/>
      </c:scatterChart>
      <c:valAx>
        <c:axId val="333275640"/>
        <c:scaling>
          <c:orientation val="minMax"/>
        </c:scaling>
        <c:axPos val="b"/>
        <c:numFmt formatCode="m/d/yy" sourceLinked="1"/>
        <c:tickLblPos val="nextTo"/>
        <c:crossAx val="333278744"/>
        <c:crosses val="autoZero"/>
        <c:crossBetween val="midCat"/>
      </c:valAx>
      <c:valAx>
        <c:axId val="333278744"/>
        <c:scaling>
          <c:orientation val="minMax"/>
          <c:min val="30.0"/>
        </c:scaling>
        <c:axPos val="l"/>
        <c:majorGridlines/>
        <c:numFmt formatCode="0.0" sourceLinked="1"/>
        <c:tickLblPos val="nextTo"/>
        <c:crossAx val="333275640"/>
        <c:crosses val="autoZero"/>
        <c:crossBetween val="midCat"/>
      </c:valAx>
    </c:plotArea>
    <c:plotVisOnly val="1"/>
  </c:chart>
</c:chartSpace>
</file>

<file path=xl/charts/chart1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Puamana!$J$10:$J$34</c:f>
              <c:numCache>
                <c:formatCode>0.00</c:formatCode>
                <c:ptCount val="25"/>
                <c:pt idx="0">
                  <c:v>2.613333333333333</c:v>
                </c:pt>
                <c:pt idx="1">
                  <c:v>6.036666666666666</c:v>
                </c:pt>
                <c:pt idx="2">
                  <c:v>1.856666666666667</c:v>
                </c:pt>
                <c:pt idx="3">
                  <c:v>2.043333333333333</c:v>
                </c:pt>
                <c:pt idx="4">
                  <c:v>2.023333333333333</c:v>
                </c:pt>
                <c:pt idx="5">
                  <c:v>2.716666666666667</c:v>
                </c:pt>
                <c:pt idx="6">
                  <c:v>2.700000000000001</c:v>
                </c:pt>
                <c:pt idx="7">
                  <c:v>1.923333333333333</c:v>
                </c:pt>
                <c:pt idx="8">
                  <c:v>3.12</c:v>
                </c:pt>
                <c:pt idx="9">
                  <c:v>2.18</c:v>
                </c:pt>
                <c:pt idx="10">
                  <c:v>2.503333333333333</c:v>
                </c:pt>
                <c:pt idx="11">
                  <c:v>1.636666666666667</c:v>
                </c:pt>
                <c:pt idx="12">
                  <c:v>1.673333333333333</c:v>
                </c:pt>
                <c:pt idx="13">
                  <c:v>3.096666666666666</c:v>
                </c:pt>
                <c:pt idx="14">
                  <c:v>3.9575</c:v>
                </c:pt>
                <c:pt idx="15">
                  <c:v>1.136666666666666</c:v>
                </c:pt>
                <c:pt idx="16">
                  <c:v>1.293333333333333</c:v>
                </c:pt>
                <c:pt idx="17">
                  <c:v>5.126666666666666</c:v>
                </c:pt>
                <c:pt idx="19">
                  <c:v>2.436666666666667</c:v>
                </c:pt>
                <c:pt idx="20">
                  <c:v>13.46666666666667</c:v>
                </c:pt>
                <c:pt idx="21">
                  <c:v>1.43</c:v>
                </c:pt>
                <c:pt idx="22">
                  <c:v>2.046666666666667</c:v>
                </c:pt>
                <c:pt idx="23">
                  <c:v>5.343333333333333</c:v>
                </c:pt>
                <c:pt idx="24">
                  <c:v>1.32</c:v>
                </c:pt>
              </c:numCache>
            </c:numRef>
          </c:yVal>
          <c:smooth val="1"/>
        </c:ser>
        <c:axId val="333371720"/>
        <c:axId val="333360824"/>
      </c:scatterChart>
      <c:valAx>
        <c:axId val="333371720"/>
        <c:scaling>
          <c:orientation val="minMax"/>
        </c:scaling>
        <c:axPos val="b"/>
        <c:numFmt formatCode="m/d/yy" sourceLinked="1"/>
        <c:tickLblPos val="nextTo"/>
        <c:crossAx val="333360824"/>
        <c:crosses val="autoZero"/>
        <c:crossBetween val="midCat"/>
      </c:valAx>
      <c:valAx>
        <c:axId val="333360824"/>
        <c:scaling>
          <c:orientation val="minMax"/>
          <c:max val="15.0"/>
          <c:min val="0.0"/>
        </c:scaling>
        <c:axPos val="l"/>
        <c:majorGridlines/>
        <c:title>
          <c:tx>
            <c:rich>
              <a:bodyPr/>
              <a:lstStyle/>
              <a:p>
                <a:pPr>
                  <a:defRPr/>
                </a:pPr>
                <a:r>
                  <a:rPr lang="en-US"/>
                  <a:t>Turbidity (NTU)</a:t>
                </a:r>
              </a:p>
            </c:rich>
          </c:tx>
        </c:title>
        <c:numFmt formatCode="0.00" sourceLinked="1"/>
        <c:tickLblPos val="nextTo"/>
        <c:crossAx val="333371720"/>
        <c:crosses val="autoZero"/>
        <c:crossBetween val="midCat"/>
      </c:valAx>
    </c:plotArea>
    <c:plotVisOnly val="1"/>
  </c:chart>
</c:chartSpace>
</file>

<file path=xl/charts/chart1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Puamana!$E$10:$E$34</c:f>
              <c:numCache>
                <c:formatCode>0.0</c:formatCode>
                <c:ptCount val="25"/>
                <c:pt idx="0">
                  <c:v>28.3</c:v>
                </c:pt>
                <c:pt idx="1">
                  <c:v>27.7</c:v>
                </c:pt>
                <c:pt idx="2">
                  <c:v>26.7</c:v>
                </c:pt>
                <c:pt idx="3">
                  <c:v>26.6</c:v>
                </c:pt>
                <c:pt idx="4">
                  <c:v>25.4</c:v>
                </c:pt>
                <c:pt idx="5">
                  <c:v>24.9</c:v>
                </c:pt>
                <c:pt idx="6">
                  <c:v>24.1</c:v>
                </c:pt>
                <c:pt idx="7">
                  <c:v>24.8</c:v>
                </c:pt>
                <c:pt idx="8">
                  <c:v>25.1</c:v>
                </c:pt>
                <c:pt idx="9">
                  <c:v>25.2</c:v>
                </c:pt>
                <c:pt idx="10">
                  <c:v>26.2</c:v>
                </c:pt>
                <c:pt idx="11">
                  <c:v>26.1</c:v>
                </c:pt>
                <c:pt idx="12">
                  <c:v>26.1</c:v>
                </c:pt>
                <c:pt idx="13">
                  <c:v>26.9</c:v>
                </c:pt>
                <c:pt idx="14">
                  <c:v>27.3</c:v>
                </c:pt>
                <c:pt idx="15">
                  <c:v>27.6</c:v>
                </c:pt>
                <c:pt idx="16">
                  <c:v>28.0</c:v>
                </c:pt>
                <c:pt idx="17">
                  <c:v>27.4</c:v>
                </c:pt>
                <c:pt idx="19">
                  <c:v>28.1</c:v>
                </c:pt>
                <c:pt idx="20">
                  <c:v>27.2</c:v>
                </c:pt>
                <c:pt idx="21">
                  <c:v>26.7</c:v>
                </c:pt>
                <c:pt idx="22">
                  <c:v>24.6</c:v>
                </c:pt>
                <c:pt idx="23">
                  <c:v>24.4</c:v>
                </c:pt>
                <c:pt idx="24">
                  <c:v>24.3</c:v>
                </c:pt>
              </c:numCache>
            </c:numRef>
          </c:yVal>
          <c:smooth val="1"/>
        </c:ser>
        <c:axId val="333399736"/>
        <c:axId val="333402696"/>
      </c:scatterChart>
      <c:valAx>
        <c:axId val="333399736"/>
        <c:scaling>
          <c:orientation val="minMax"/>
        </c:scaling>
        <c:axPos val="b"/>
        <c:numFmt formatCode="m/d/yy" sourceLinked="1"/>
        <c:tickLblPos val="nextTo"/>
        <c:crossAx val="333402696"/>
        <c:crosses val="autoZero"/>
        <c:crossBetween val="midCat"/>
      </c:valAx>
      <c:valAx>
        <c:axId val="333402696"/>
        <c:scaling>
          <c:orientation val="minMax"/>
          <c:max val="29.0"/>
          <c:min val="22.0"/>
        </c:scaling>
        <c:axPos val="l"/>
        <c:majorGridlines/>
        <c:title>
          <c:tx>
            <c:rich>
              <a:bodyPr/>
              <a:lstStyle/>
              <a:p>
                <a:pPr>
                  <a:defRPr/>
                </a:pPr>
                <a:r>
                  <a:rPr lang="en-US"/>
                  <a:t>Temperature (C)</a:t>
                </a:r>
              </a:p>
            </c:rich>
          </c:tx>
        </c:title>
        <c:numFmt formatCode="0.0" sourceLinked="1"/>
        <c:tickLblPos val="nextTo"/>
        <c:crossAx val="333399736"/>
        <c:crosses val="autoZero"/>
        <c:crossBetween val="midCat"/>
      </c:valAx>
    </c:plotArea>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505 Front Street (PFF)</a:t>
            </a:r>
          </a:p>
        </c:rich>
      </c:tx>
    </c:title>
    <c:plotArea>
      <c:layout/>
      <c:scatterChart>
        <c:scatterStyle val="smoothMarker"/>
        <c:ser>
          <c:idx val="0"/>
          <c:order val="0"/>
          <c:tx>
            <c:strRef>
              <c:f>'505 Front'!$I$1</c:f>
              <c:strCache>
                <c:ptCount val="1"/>
                <c:pt idx="0">
                  <c:v>pH</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Front'!$I$2:$I$34</c:f>
              <c:numCache>
                <c:formatCode>0.00</c:formatCode>
                <c:ptCount val="33"/>
                <c:pt idx="0">
                  <c:v>8.05</c:v>
                </c:pt>
                <c:pt idx="1">
                  <c:v>7.98</c:v>
                </c:pt>
                <c:pt idx="2">
                  <c:v>8.04</c:v>
                </c:pt>
                <c:pt idx="3">
                  <c:v>8.04</c:v>
                </c:pt>
                <c:pt idx="4">
                  <c:v>8.06</c:v>
                </c:pt>
                <c:pt idx="5">
                  <c:v>8.05</c:v>
                </c:pt>
                <c:pt idx="6">
                  <c:v>8.0</c:v>
                </c:pt>
                <c:pt idx="7">
                  <c:v>8.04</c:v>
                </c:pt>
                <c:pt idx="8">
                  <c:v>7.79</c:v>
                </c:pt>
                <c:pt idx="9">
                  <c:v>8.09</c:v>
                </c:pt>
                <c:pt idx="10">
                  <c:v>7.99</c:v>
                </c:pt>
                <c:pt idx="11">
                  <c:v>8.05</c:v>
                </c:pt>
                <c:pt idx="12">
                  <c:v>8.07</c:v>
                </c:pt>
                <c:pt idx="13">
                  <c:v>8.03</c:v>
                </c:pt>
                <c:pt idx="14">
                  <c:v>8.08</c:v>
                </c:pt>
                <c:pt idx="15">
                  <c:v>7.87</c:v>
                </c:pt>
                <c:pt idx="16">
                  <c:v>8.1</c:v>
                </c:pt>
                <c:pt idx="17">
                  <c:v>8.1</c:v>
                </c:pt>
                <c:pt idx="18">
                  <c:v>8.07</c:v>
                </c:pt>
                <c:pt idx="19">
                  <c:v>8.12</c:v>
                </c:pt>
                <c:pt idx="20">
                  <c:v>8.140000000000001</c:v>
                </c:pt>
                <c:pt idx="21">
                  <c:v>8.07</c:v>
                </c:pt>
                <c:pt idx="22">
                  <c:v>8.08</c:v>
                </c:pt>
                <c:pt idx="23">
                  <c:v>8.06</c:v>
                </c:pt>
                <c:pt idx="24">
                  <c:v>8.03</c:v>
                </c:pt>
                <c:pt idx="25">
                  <c:v>8.05</c:v>
                </c:pt>
                <c:pt idx="26">
                  <c:v>8.08</c:v>
                </c:pt>
                <c:pt idx="27">
                  <c:v>8.04</c:v>
                </c:pt>
                <c:pt idx="28">
                  <c:v>8.06</c:v>
                </c:pt>
                <c:pt idx="29">
                  <c:v>8.11</c:v>
                </c:pt>
                <c:pt idx="30">
                  <c:v>8.17</c:v>
                </c:pt>
                <c:pt idx="31">
                  <c:v>8.15</c:v>
                </c:pt>
                <c:pt idx="32">
                  <c:v>8.07</c:v>
                </c:pt>
              </c:numCache>
            </c:numRef>
          </c:yVal>
          <c:smooth val="1"/>
        </c:ser>
        <c:axId val="459194248"/>
        <c:axId val="459200968"/>
      </c:scatterChart>
      <c:valAx>
        <c:axId val="459194248"/>
        <c:scaling>
          <c:orientation val="minMax"/>
        </c:scaling>
        <c:axPos val="b"/>
        <c:numFmt formatCode="m/d/yy" sourceLinked="1"/>
        <c:tickLblPos val="nextTo"/>
        <c:crossAx val="459200968"/>
        <c:crosses val="autoZero"/>
        <c:crossBetween val="midCat"/>
      </c:valAx>
      <c:valAx>
        <c:axId val="459200968"/>
        <c:scaling>
          <c:orientation val="minMax"/>
          <c:max val="8.3"/>
          <c:min val="7.7"/>
        </c:scaling>
        <c:axPos val="l"/>
        <c:majorGridlines/>
        <c:numFmt formatCode="0.00" sourceLinked="1"/>
        <c:tickLblPos val="nextTo"/>
        <c:crossAx val="459194248"/>
        <c:crosses val="autoZero"/>
        <c:crossBetween val="midCat"/>
      </c:valAx>
    </c:plotArea>
    <c:plotVisOnly val="1"/>
  </c:chart>
</c:chartSpace>
</file>

<file path=xl/charts/chart2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Puamana (PPU)</a:t>
            </a:r>
          </a:p>
        </c:rich>
      </c:tx>
    </c:title>
    <c:plotArea>
      <c:layout/>
      <c:scatterChart>
        <c:scatterStyle val="smoothMarker"/>
        <c:ser>
          <c:idx val="0"/>
          <c:order val="0"/>
          <c:xVal>
            <c:numRef>
              <c:f>Puamana!$C$10:$C$34</c:f>
              <c:numCache>
                <c:formatCode>m/d/yy</c:formatCode>
                <c:ptCount val="25"/>
                <c:pt idx="0">
                  <c:v>42648.0</c:v>
                </c:pt>
                <c:pt idx="1">
                  <c:v>42662.0</c:v>
                </c:pt>
                <c:pt idx="2">
                  <c:v>42676.0</c:v>
                </c:pt>
                <c:pt idx="3">
                  <c:v>42690.0</c:v>
                </c:pt>
                <c:pt idx="4">
                  <c:v>42704.0</c:v>
                </c:pt>
                <c:pt idx="5">
                  <c:v>42718.0</c:v>
                </c:pt>
                <c:pt idx="6">
                  <c:v>42739.0</c:v>
                </c:pt>
                <c:pt idx="7">
                  <c:v>42760.0</c:v>
                </c:pt>
                <c:pt idx="8">
                  <c:v>42781.0</c:v>
                </c:pt>
                <c:pt idx="9">
                  <c:v>42802.0</c:v>
                </c:pt>
                <c:pt idx="10">
                  <c:v>42823.0</c:v>
                </c:pt>
                <c:pt idx="11">
                  <c:v>42844.0</c:v>
                </c:pt>
                <c:pt idx="12">
                  <c:v>42865.0</c:v>
                </c:pt>
                <c:pt idx="13">
                  <c:v>42886.0</c:v>
                </c:pt>
                <c:pt idx="14">
                  <c:v>42907.0</c:v>
                </c:pt>
                <c:pt idx="15">
                  <c:v>42928.0</c:v>
                </c:pt>
                <c:pt idx="16">
                  <c:v>42949.0</c:v>
                </c:pt>
                <c:pt idx="17">
                  <c:v>42970.0</c:v>
                </c:pt>
                <c:pt idx="18">
                  <c:v>42991.0</c:v>
                </c:pt>
                <c:pt idx="19">
                  <c:v>43012.0</c:v>
                </c:pt>
                <c:pt idx="20">
                  <c:v>43033.0</c:v>
                </c:pt>
                <c:pt idx="21">
                  <c:v>43054.0</c:v>
                </c:pt>
                <c:pt idx="22">
                  <c:v>43075.0</c:v>
                </c:pt>
                <c:pt idx="23">
                  <c:v>43089.0</c:v>
                </c:pt>
                <c:pt idx="24">
                  <c:v>43110.0</c:v>
                </c:pt>
              </c:numCache>
            </c:numRef>
          </c:xVal>
          <c:yVal>
            <c:numRef>
              <c:f>Puamana!$I$10:$I$34</c:f>
              <c:numCache>
                <c:formatCode>0.00</c:formatCode>
                <c:ptCount val="25"/>
                <c:pt idx="0">
                  <c:v>8.11</c:v>
                </c:pt>
                <c:pt idx="1">
                  <c:v>8.15</c:v>
                </c:pt>
                <c:pt idx="2">
                  <c:v>8.17</c:v>
                </c:pt>
                <c:pt idx="3">
                  <c:v>8.16</c:v>
                </c:pt>
                <c:pt idx="4">
                  <c:v>8.1</c:v>
                </c:pt>
                <c:pt idx="5">
                  <c:v>8.08</c:v>
                </c:pt>
                <c:pt idx="6">
                  <c:v>8.11</c:v>
                </c:pt>
                <c:pt idx="7">
                  <c:v>8.06</c:v>
                </c:pt>
                <c:pt idx="8">
                  <c:v>8.19</c:v>
                </c:pt>
                <c:pt idx="9">
                  <c:v>8.2</c:v>
                </c:pt>
                <c:pt idx="10">
                  <c:v>8.18</c:v>
                </c:pt>
                <c:pt idx="11">
                  <c:v>8.18</c:v>
                </c:pt>
                <c:pt idx="12">
                  <c:v>8.23</c:v>
                </c:pt>
                <c:pt idx="13">
                  <c:v>8.15</c:v>
                </c:pt>
                <c:pt idx="14">
                  <c:v>8.17</c:v>
                </c:pt>
                <c:pt idx="15">
                  <c:v>8.16</c:v>
                </c:pt>
                <c:pt idx="16">
                  <c:v>8.18</c:v>
                </c:pt>
                <c:pt idx="17">
                  <c:v>8.17</c:v>
                </c:pt>
                <c:pt idx="19">
                  <c:v>8.18</c:v>
                </c:pt>
                <c:pt idx="20">
                  <c:v>8.140000000000001</c:v>
                </c:pt>
                <c:pt idx="21">
                  <c:v>8.19</c:v>
                </c:pt>
                <c:pt idx="22">
                  <c:v>8.210000000000001</c:v>
                </c:pt>
                <c:pt idx="23">
                  <c:v>8.17</c:v>
                </c:pt>
                <c:pt idx="24">
                  <c:v>8.140000000000001</c:v>
                </c:pt>
              </c:numCache>
            </c:numRef>
          </c:yVal>
          <c:smooth val="1"/>
        </c:ser>
        <c:axId val="326547816"/>
        <c:axId val="326550728"/>
      </c:scatterChart>
      <c:valAx>
        <c:axId val="326547816"/>
        <c:scaling>
          <c:orientation val="minMax"/>
        </c:scaling>
        <c:axPos val="b"/>
        <c:numFmt formatCode="m/d/yy" sourceLinked="1"/>
        <c:tickLblPos val="nextTo"/>
        <c:crossAx val="326550728"/>
        <c:crosses val="autoZero"/>
        <c:crossBetween val="midCat"/>
      </c:valAx>
      <c:valAx>
        <c:axId val="326550728"/>
        <c:scaling>
          <c:orientation val="minMax"/>
          <c:max val="8.3"/>
          <c:min val="7.7"/>
        </c:scaling>
        <c:axPos val="l"/>
        <c:majorGridlines/>
        <c:title>
          <c:tx>
            <c:rich>
              <a:bodyPr/>
              <a:lstStyle/>
              <a:p>
                <a:pPr>
                  <a:defRPr/>
                </a:pPr>
                <a:r>
                  <a:rPr lang="en-US"/>
                  <a:t>pH</a:t>
                </a:r>
              </a:p>
            </c:rich>
          </c:tx>
        </c:title>
        <c:numFmt formatCode="0.00" sourceLinked="1"/>
        <c:tickLblPos val="nextTo"/>
        <c:crossAx val="326547816"/>
        <c:crosses val="autoZero"/>
        <c:crossBetween val="midCat"/>
      </c:valAx>
    </c:plotArea>
    <c:plotVisOnly val="1"/>
  </c:chart>
</c:chartSpace>
</file>

<file path=xl/charts/chart2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Puamana Silicates vs Nitrates + Nitrites (PPU)</a:t>
            </a:r>
          </a:p>
        </c:rich>
      </c:tx>
      <c:layout/>
    </c:title>
    <c:plotArea>
      <c:layout/>
      <c:scatterChart>
        <c:scatterStyle val="lineMarker"/>
        <c:ser>
          <c:idx val="0"/>
          <c:order val="0"/>
          <c:spPr>
            <a:ln w="28575">
              <a:noFill/>
            </a:ln>
          </c:spPr>
          <c:trendline>
            <c:trendlineType val="linear"/>
            <c:dispRSqr val="1"/>
            <c:dispEq val="1"/>
            <c:trendlineLbl>
              <c:layout>
                <c:manualLayout>
                  <c:x val="0.0196779868114229"/>
                  <c:y val="-0.558868976087162"/>
                </c:manualLayout>
              </c:layout>
              <c:numFmt formatCode="General" sourceLinked="0"/>
            </c:trendlineLbl>
          </c:trendline>
          <c:xVal>
            <c:numRef>
              <c:f>Puamana!$N$10:$N$31</c:f>
              <c:numCache>
                <c:formatCode>0.00</c:formatCode>
                <c:ptCount val="22"/>
                <c:pt idx="0">
                  <c:v>148.4833360965518</c:v>
                </c:pt>
                <c:pt idx="1">
                  <c:v>153.6991115131887</c:v>
                </c:pt>
                <c:pt idx="2">
                  <c:v>152.3947098667181</c:v>
                </c:pt>
                <c:pt idx="3">
                  <c:v>191.2791277020838</c:v>
                </c:pt>
                <c:pt idx="4">
                  <c:v>332.0042557029782</c:v>
                </c:pt>
                <c:pt idx="5">
                  <c:v>261.2823511397604</c:v>
                </c:pt>
                <c:pt idx="6">
                  <c:v>136.9792605873859</c:v>
                </c:pt>
                <c:pt idx="7">
                  <c:v>118.5518975779135</c:v>
                </c:pt>
                <c:pt idx="8">
                  <c:v>130.6433134672418</c:v>
                </c:pt>
                <c:pt idx="9">
                  <c:v>101.6479778520366</c:v>
                </c:pt>
                <c:pt idx="10">
                  <c:v>150.1576168590627</c:v>
                </c:pt>
                <c:pt idx="11">
                  <c:v>97.3761284965223</c:v>
                </c:pt>
                <c:pt idx="12">
                  <c:v>222.5244628490738</c:v>
                </c:pt>
                <c:pt idx="13">
                  <c:v>132.3332628432044</c:v>
                </c:pt>
                <c:pt idx="14">
                  <c:v>109.2273892500772</c:v>
                </c:pt>
                <c:pt idx="15">
                  <c:v>177.7536599296748</c:v>
                </c:pt>
                <c:pt idx="16">
                  <c:v>39.53468091642446</c:v>
                </c:pt>
                <c:pt idx="17">
                  <c:v>176.5702626047559</c:v>
                </c:pt>
                <c:pt idx="19">
                  <c:v>214.2509377683118</c:v>
                </c:pt>
                <c:pt idx="20">
                  <c:v>166.7128101466469</c:v>
                </c:pt>
                <c:pt idx="21">
                  <c:v>163.9708898338225</c:v>
                </c:pt>
              </c:numCache>
            </c:numRef>
          </c:xVal>
          <c:yVal>
            <c:numRef>
              <c:f>Puamana!$O$10:$O$31</c:f>
              <c:numCache>
                <c:formatCode>0.00</c:formatCode>
                <c:ptCount val="22"/>
                <c:pt idx="0">
                  <c:v>1.880314260979063</c:v>
                </c:pt>
                <c:pt idx="1">
                  <c:v>0.1</c:v>
                </c:pt>
                <c:pt idx="2">
                  <c:v>1.510687322089929</c:v>
                </c:pt>
                <c:pt idx="3">
                  <c:v>4.449912489527775</c:v>
                </c:pt>
                <c:pt idx="4">
                  <c:v>3.665014724661854</c:v>
                </c:pt>
                <c:pt idx="5">
                  <c:v>1.558050299858158</c:v>
                </c:pt>
                <c:pt idx="6">
                  <c:v>2.471694226483007</c:v>
                </c:pt>
                <c:pt idx="7">
                  <c:v>1.009253095565664</c:v>
                </c:pt>
                <c:pt idx="8">
                  <c:v>2.717694994179274</c:v>
                </c:pt>
                <c:pt idx="9">
                  <c:v>2.554633294528517</c:v>
                </c:pt>
                <c:pt idx="10">
                  <c:v>2.143823225920575</c:v>
                </c:pt>
                <c:pt idx="11">
                  <c:v>1.254126863395634</c:v>
                </c:pt>
                <c:pt idx="12">
                  <c:v>1.6772086327472</c:v>
                </c:pt>
                <c:pt idx="13">
                  <c:v>4.130093403740283</c:v>
                </c:pt>
                <c:pt idx="14">
                  <c:v>2.576302284343381</c:v>
                </c:pt>
                <c:pt idx="15">
                  <c:v>7.889646080460353</c:v>
                </c:pt>
                <c:pt idx="16">
                  <c:v>2.954659862813</c:v>
                </c:pt>
                <c:pt idx="17">
                  <c:v>1.944898441662227</c:v>
                </c:pt>
                <c:pt idx="19">
                  <c:v>1.410141819136829</c:v>
                </c:pt>
                <c:pt idx="20">
                  <c:v>6.177647378096822</c:v>
                </c:pt>
                <c:pt idx="21">
                  <c:v>1.361922333557222</c:v>
                </c:pt>
              </c:numCache>
            </c:numRef>
          </c:yVal>
        </c:ser>
        <c:axId val="330646232"/>
        <c:axId val="330649336"/>
      </c:scatterChart>
      <c:valAx>
        <c:axId val="330646232"/>
        <c:scaling>
          <c:orientation val="minMax"/>
        </c:scaling>
        <c:axPos val="b"/>
        <c:title>
          <c:tx>
            <c:rich>
              <a:bodyPr/>
              <a:lstStyle/>
              <a:p>
                <a:pPr>
                  <a:defRPr/>
                </a:pPr>
                <a:r>
                  <a:rPr lang="en-US"/>
                  <a:t>Silicates (ug/L)</a:t>
                </a:r>
              </a:p>
            </c:rich>
          </c:tx>
          <c:layout/>
        </c:title>
        <c:numFmt formatCode="0.00" sourceLinked="1"/>
        <c:tickLblPos val="nextTo"/>
        <c:crossAx val="330649336"/>
        <c:crosses val="autoZero"/>
        <c:crossBetween val="midCat"/>
      </c:valAx>
      <c:valAx>
        <c:axId val="330649336"/>
        <c:scaling>
          <c:orientation val="minMax"/>
        </c:scaling>
        <c:axPos val="l"/>
        <c:majorGridlines/>
        <c:title>
          <c:tx>
            <c:rich>
              <a:bodyPr/>
              <a:lstStyle/>
              <a:p>
                <a:pPr>
                  <a:defRPr/>
                </a:pPr>
                <a:r>
                  <a:rPr lang="en-US"/>
                  <a:t>Nitrates + Nitrites (ug/L)</a:t>
                </a:r>
              </a:p>
            </c:rich>
          </c:tx>
          <c:layout/>
        </c:title>
        <c:numFmt formatCode="0.00" sourceLinked="1"/>
        <c:tickLblPos val="nextTo"/>
        <c:crossAx val="330646232"/>
        <c:crosses val="autoZero"/>
        <c:crossBetween val="midCat"/>
      </c:valAx>
    </c:plotArea>
    <c:plotVisOnly val="1"/>
  </c:chart>
</c:chartSpace>
</file>

<file path=xl/charts/chart2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Launiupoko!$J$4:$J$34</c:f>
              <c:numCache>
                <c:formatCode>0.00</c:formatCode>
                <c:ptCount val="31"/>
                <c:pt idx="0">
                  <c:v>2.57</c:v>
                </c:pt>
                <c:pt idx="1">
                  <c:v>0.876666666666667</c:v>
                </c:pt>
                <c:pt idx="2">
                  <c:v>4.02</c:v>
                </c:pt>
                <c:pt idx="3">
                  <c:v>3.773333333333333</c:v>
                </c:pt>
                <c:pt idx="4">
                  <c:v>2.306666666666667</c:v>
                </c:pt>
                <c:pt idx="5">
                  <c:v>10.26333333333333</c:v>
                </c:pt>
                <c:pt idx="6">
                  <c:v>3.36</c:v>
                </c:pt>
                <c:pt idx="7">
                  <c:v>4.35</c:v>
                </c:pt>
                <c:pt idx="8">
                  <c:v>1.623333333333333</c:v>
                </c:pt>
                <c:pt idx="9">
                  <c:v>3.333333333333333</c:v>
                </c:pt>
                <c:pt idx="10">
                  <c:v>1.51</c:v>
                </c:pt>
                <c:pt idx="11">
                  <c:v>1.993333333333333</c:v>
                </c:pt>
                <c:pt idx="12">
                  <c:v>5.013333333333332</c:v>
                </c:pt>
                <c:pt idx="13">
                  <c:v>2.06</c:v>
                </c:pt>
                <c:pt idx="14">
                  <c:v>5.913333333333333</c:v>
                </c:pt>
                <c:pt idx="15">
                  <c:v>1.68</c:v>
                </c:pt>
                <c:pt idx="16">
                  <c:v>3.99</c:v>
                </c:pt>
                <c:pt idx="17">
                  <c:v>2.533333333333333</c:v>
                </c:pt>
                <c:pt idx="18">
                  <c:v>2.186666666666667</c:v>
                </c:pt>
                <c:pt idx="19">
                  <c:v>2.59</c:v>
                </c:pt>
                <c:pt idx="20">
                  <c:v>1.796666666666667</c:v>
                </c:pt>
                <c:pt idx="21">
                  <c:v>2.123333333333333</c:v>
                </c:pt>
                <c:pt idx="22">
                  <c:v>1.756666666666667</c:v>
                </c:pt>
                <c:pt idx="23">
                  <c:v>3.783333333333333</c:v>
                </c:pt>
                <c:pt idx="24">
                  <c:v>2.433333333333333</c:v>
                </c:pt>
                <c:pt idx="25">
                  <c:v>1.666666666666667</c:v>
                </c:pt>
                <c:pt idx="26">
                  <c:v>11.36666666666667</c:v>
                </c:pt>
                <c:pt idx="27">
                  <c:v>2.15</c:v>
                </c:pt>
                <c:pt idx="28">
                  <c:v>1.8</c:v>
                </c:pt>
                <c:pt idx="29">
                  <c:v>4.830000000000001</c:v>
                </c:pt>
                <c:pt idx="30">
                  <c:v>1.076666666666666</c:v>
                </c:pt>
              </c:numCache>
            </c:numRef>
          </c:yVal>
          <c:smooth val="1"/>
        </c:ser>
        <c:axId val="326637704"/>
        <c:axId val="326631256"/>
      </c:scatterChart>
      <c:valAx>
        <c:axId val="326637704"/>
        <c:scaling>
          <c:orientation val="minMax"/>
        </c:scaling>
        <c:axPos val="b"/>
        <c:numFmt formatCode="m/d/yy" sourceLinked="1"/>
        <c:tickLblPos val="nextTo"/>
        <c:crossAx val="326631256"/>
        <c:crosses val="autoZero"/>
        <c:crossBetween val="midCat"/>
      </c:valAx>
      <c:valAx>
        <c:axId val="326631256"/>
        <c:scaling>
          <c:orientation val="minMax"/>
          <c:max val="15.0"/>
          <c:min val="0.0"/>
        </c:scaling>
        <c:axPos val="l"/>
        <c:majorGridlines/>
        <c:title>
          <c:tx>
            <c:rich>
              <a:bodyPr/>
              <a:lstStyle/>
              <a:p>
                <a:pPr>
                  <a:defRPr/>
                </a:pPr>
                <a:r>
                  <a:rPr lang="en-US"/>
                  <a:t>Turbidity (NTU)</a:t>
                </a:r>
              </a:p>
            </c:rich>
          </c:tx>
        </c:title>
        <c:numFmt formatCode="0.00" sourceLinked="1"/>
        <c:tickLblPos val="nextTo"/>
        <c:crossAx val="326637704"/>
        <c:crosses val="autoZero"/>
        <c:crossBetween val="midCat"/>
      </c:valAx>
    </c:plotArea>
    <c:plotVisOnly val="1"/>
  </c:chart>
</c:chartSpace>
</file>

<file path=xl/charts/chart2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Launiupoko!$I$4:$I$34</c:f>
              <c:numCache>
                <c:formatCode>0.00</c:formatCode>
                <c:ptCount val="31"/>
                <c:pt idx="0">
                  <c:v>8.1</c:v>
                </c:pt>
                <c:pt idx="1">
                  <c:v>8.130000000000001</c:v>
                </c:pt>
                <c:pt idx="2">
                  <c:v>8.1</c:v>
                </c:pt>
                <c:pt idx="3">
                  <c:v>8.130000000000001</c:v>
                </c:pt>
                <c:pt idx="4">
                  <c:v>7.97</c:v>
                </c:pt>
                <c:pt idx="5">
                  <c:v>8.11</c:v>
                </c:pt>
                <c:pt idx="6">
                  <c:v>7.97</c:v>
                </c:pt>
                <c:pt idx="7">
                  <c:v>8.06</c:v>
                </c:pt>
                <c:pt idx="8">
                  <c:v>8.130000000000001</c:v>
                </c:pt>
                <c:pt idx="9">
                  <c:v>8.11</c:v>
                </c:pt>
                <c:pt idx="10">
                  <c:v>8.04</c:v>
                </c:pt>
                <c:pt idx="11">
                  <c:v>8.130000000000001</c:v>
                </c:pt>
                <c:pt idx="12">
                  <c:v>8.12</c:v>
                </c:pt>
                <c:pt idx="13">
                  <c:v>8.04</c:v>
                </c:pt>
                <c:pt idx="14">
                  <c:v>8.130000000000001</c:v>
                </c:pt>
                <c:pt idx="15">
                  <c:v>8.210000000000001</c:v>
                </c:pt>
                <c:pt idx="16">
                  <c:v>8.16</c:v>
                </c:pt>
                <c:pt idx="17">
                  <c:v>8.18</c:v>
                </c:pt>
                <c:pt idx="18">
                  <c:v>8.18</c:v>
                </c:pt>
                <c:pt idx="19">
                  <c:v>8.12</c:v>
                </c:pt>
                <c:pt idx="20">
                  <c:v>8.2</c:v>
                </c:pt>
                <c:pt idx="21">
                  <c:v>8.11</c:v>
                </c:pt>
                <c:pt idx="22">
                  <c:v>8.140000000000001</c:v>
                </c:pt>
                <c:pt idx="23">
                  <c:v>8.17</c:v>
                </c:pt>
                <c:pt idx="24">
                  <c:v>8.11</c:v>
                </c:pt>
                <c:pt idx="25">
                  <c:v>8.140000000000001</c:v>
                </c:pt>
                <c:pt idx="26">
                  <c:v>8.09</c:v>
                </c:pt>
                <c:pt idx="27">
                  <c:v>8.15</c:v>
                </c:pt>
                <c:pt idx="28">
                  <c:v>8.19</c:v>
                </c:pt>
                <c:pt idx="29">
                  <c:v>8.130000000000001</c:v>
                </c:pt>
                <c:pt idx="30">
                  <c:v>8.15</c:v>
                </c:pt>
              </c:numCache>
            </c:numRef>
          </c:yVal>
          <c:smooth val="1"/>
        </c:ser>
        <c:axId val="326673480"/>
        <c:axId val="326684616"/>
      </c:scatterChart>
      <c:valAx>
        <c:axId val="326673480"/>
        <c:scaling>
          <c:orientation val="minMax"/>
        </c:scaling>
        <c:axPos val="b"/>
        <c:numFmt formatCode="m/d/yy" sourceLinked="1"/>
        <c:tickLblPos val="nextTo"/>
        <c:crossAx val="326684616"/>
        <c:crosses val="autoZero"/>
        <c:crossBetween val="midCat"/>
      </c:valAx>
      <c:valAx>
        <c:axId val="326684616"/>
        <c:scaling>
          <c:orientation val="minMax"/>
          <c:max val="8.3"/>
          <c:min val="7.7"/>
        </c:scaling>
        <c:axPos val="l"/>
        <c:majorGridlines/>
        <c:title>
          <c:tx>
            <c:rich>
              <a:bodyPr/>
              <a:lstStyle/>
              <a:p>
                <a:pPr>
                  <a:defRPr/>
                </a:pPr>
                <a:r>
                  <a:rPr lang="en-US"/>
                  <a:t>pH</a:t>
                </a:r>
              </a:p>
            </c:rich>
          </c:tx>
        </c:title>
        <c:numFmt formatCode="0.00" sourceLinked="1"/>
        <c:tickLblPos val="nextTo"/>
        <c:crossAx val="326673480"/>
        <c:crosses val="autoZero"/>
        <c:crossBetween val="midCat"/>
      </c:valAx>
    </c:plotArea>
    <c:plotVisOnly val="1"/>
  </c:chart>
</c:chartSpace>
</file>

<file path=xl/charts/chart2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Launiupoko (OLP)</a:t>
            </a:r>
          </a:p>
        </c:rich>
      </c:tx>
    </c:title>
    <c:plotArea>
      <c:layout/>
      <c:scatterChart>
        <c:scatterStyle val="smoothMarker"/>
        <c:ser>
          <c:idx val="0"/>
          <c:order val="0"/>
          <c:xVal>
            <c:numRef>
              <c:f>Launiupoko!$C$4:$C$34</c:f>
              <c:numCache>
                <c:formatCode>m/d/yy</c:formatCode>
                <c:ptCount val="31"/>
                <c:pt idx="0">
                  <c:v>42564.0</c:v>
                </c:pt>
                <c:pt idx="1">
                  <c:v>42578.0</c:v>
                </c:pt>
                <c:pt idx="2">
                  <c:v>42592.0</c:v>
                </c:pt>
                <c:pt idx="3">
                  <c:v>42606.0</c:v>
                </c:pt>
                <c:pt idx="4">
                  <c:v>42620.0</c:v>
                </c:pt>
                <c:pt idx="5">
                  <c:v>42634.0</c:v>
                </c:pt>
                <c:pt idx="6">
                  <c:v>42648.0</c:v>
                </c:pt>
                <c:pt idx="7">
                  <c:v>42662.0</c:v>
                </c:pt>
                <c:pt idx="8">
                  <c:v>42676.0</c:v>
                </c:pt>
                <c:pt idx="9">
                  <c:v>42690.0</c:v>
                </c:pt>
                <c:pt idx="10">
                  <c:v>42704.0</c:v>
                </c:pt>
                <c:pt idx="11">
                  <c:v>42718.0</c:v>
                </c:pt>
                <c:pt idx="12">
                  <c:v>42739.0</c:v>
                </c:pt>
                <c:pt idx="13">
                  <c:v>42760.0</c:v>
                </c:pt>
                <c:pt idx="14">
                  <c:v>42781.0</c:v>
                </c:pt>
                <c:pt idx="15">
                  <c:v>42802.0</c:v>
                </c:pt>
                <c:pt idx="16">
                  <c:v>42823.0</c:v>
                </c:pt>
                <c:pt idx="17">
                  <c:v>42844.0</c:v>
                </c:pt>
                <c:pt idx="18">
                  <c:v>42865.0</c:v>
                </c:pt>
                <c:pt idx="19">
                  <c:v>42886.0</c:v>
                </c:pt>
                <c:pt idx="20">
                  <c:v>42907.0</c:v>
                </c:pt>
                <c:pt idx="21">
                  <c:v>42928.0</c:v>
                </c:pt>
                <c:pt idx="22">
                  <c:v>42949.0</c:v>
                </c:pt>
                <c:pt idx="23">
                  <c:v>42970.0</c:v>
                </c:pt>
                <c:pt idx="24">
                  <c:v>42991.0</c:v>
                </c:pt>
                <c:pt idx="25">
                  <c:v>43012.0</c:v>
                </c:pt>
                <c:pt idx="26">
                  <c:v>43033.0</c:v>
                </c:pt>
                <c:pt idx="27">
                  <c:v>43054.0</c:v>
                </c:pt>
                <c:pt idx="28">
                  <c:v>43075.0</c:v>
                </c:pt>
                <c:pt idx="29">
                  <c:v>43089.0</c:v>
                </c:pt>
                <c:pt idx="30">
                  <c:v>43110.0</c:v>
                </c:pt>
              </c:numCache>
            </c:numRef>
          </c:xVal>
          <c:yVal>
            <c:numRef>
              <c:f>Launiupoko!$E$4:$E$34</c:f>
              <c:numCache>
                <c:formatCode>0.0</c:formatCode>
                <c:ptCount val="31"/>
                <c:pt idx="0">
                  <c:v>28.1</c:v>
                </c:pt>
                <c:pt idx="1">
                  <c:v>28.1</c:v>
                </c:pt>
                <c:pt idx="2">
                  <c:v>28.2</c:v>
                </c:pt>
                <c:pt idx="3">
                  <c:v>28.6</c:v>
                </c:pt>
                <c:pt idx="4">
                  <c:v>27.8</c:v>
                </c:pt>
                <c:pt idx="5">
                  <c:v>27.7</c:v>
                </c:pt>
                <c:pt idx="6">
                  <c:v>28.8</c:v>
                </c:pt>
                <c:pt idx="7">
                  <c:v>27.7</c:v>
                </c:pt>
                <c:pt idx="8">
                  <c:v>26.5</c:v>
                </c:pt>
                <c:pt idx="9">
                  <c:v>26.7</c:v>
                </c:pt>
                <c:pt idx="10">
                  <c:v>24.5</c:v>
                </c:pt>
                <c:pt idx="11">
                  <c:v>24.9</c:v>
                </c:pt>
                <c:pt idx="12">
                  <c:v>24.3</c:v>
                </c:pt>
                <c:pt idx="13">
                  <c:v>24.6</c:v>
                </c:pt>
                <c:pt idx="14">
                  <c:v>25.2</c:v>
                </c:pt>
                <c:pt idx="15">
                  <c:v>25.7</c:v>
                </c:pt>
                <c:pt idx="16">
                  <c:v>27.3</c:v>
                </c:pt>
                <c:pt idx="17">
                  <c:v>26.7</c:v>
                </c:pt>
                <c:pt idx="18">
                  <c:v>26.8</c:v>
                </c:pt>
                <c:pt idx="19">
                  <c:v>26.9</c:v>
                </c:pt>
                <c:pt idx="20">
                  <c:v>27.4</c:v>
                </c:pt>
                <c:pt idx="21">
                  <c:v>27.8</c:v>
                </c:pt>
                <c:pt idx="22">
                  <c:v>28.4</c:v>
                </c:pt>
                <c:pt idx="23">
                  <c:v>28.1</c:v>
                </c:pt>
                <c:pt idx="24">
                  <c:v>28.0</c:v>
                </c:pt>
                <c:pt idx="25">
                  <c:v>28.4</c:v>
                </c:pt>
                <c:pt idx="26">
                  <c:v>27.9</c:v>
                </c:pt>
                <c:pt idx="27">
                  <c:v>26.5</c:v>
                </c:pt>
                <c:pt idx="28">
                  <c:v>24.7</c:v>
                </c:pt>
                <c:pt idx="29">
                  <c:v>24.6</c:v>
                </c:pt>
                <c:pt idx="30">
                  <c:v>25.0</c:v>
                </c:pt>
              </c:numCache>
            </c:numRef>
          </c:yVal>
          <c:smooth val="1"/>
        </c:ser>
        <c:axId val="326720760"/>
        <c:axId val="326714312"/>
      </c:scatterChart>
      <c:valAx>
        <c:axId val="326720760"/>
        <c:scaling>
          <c:orientation val="minMax"/>
        </c:scaling>
        <c:axPos val="b"/>
        <c:numFmt formatCode="m/d/yy" sourceLinked="1"/>
        <c:tickLblPos val="nextTo"/>
        <c:crossAx val="326714312"/>
        <c:crosses val="autoZero"/>
        <c:crossBetween val="midCat"/>
      </c:valAx>
      <c:valAx>
        <c:axId val="326714312"/>
        <c:scaling>
          <c:orientation val="minMax"/>
          <c:max val="29.0"/>
          <c:min val="22.0"/>
        </c:scaling>
        <c:axPos val="l"/>
        <c:majorGridlines/>
        <c:title>
          <c:tx>
            <c:rich>
              <a:bodyPr/>
              <a:lstStyle/>
              <a:p>
                <a:pPr>
                  <a:defRPr/>
                </a:pPr>
                <a:r>
                  <a:rPr lang="en-US"/>
                  <a:t>Temperature (C)</a:t>
                </a:r>
              </a:p>
            </c:rich>
          </c:tx>
        </c:title>
        <c:numFmt formatCode="0.0" sourceLinked="1"/>
        <c:tickLblPos val="nextTo"/>
        <c:crossAx val="326720760"/>
        <c:crosses val="autoZero"/>
        <c:crossBetween val="midCat"/>
      </c:valAx>
    </c:plotArea>
    <c:plotVisOnly val="1"/>
  </c:chart>
</c:chartSpace>
</file>

<file path=xl/charts/chart2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Olowalu Shore Front (OSF) </a:t>
            </a:r>
          </a:p>
        </c:rich>
      </c:tx>
    </c:title>
    <c:plotArea>
      <c:layout/>
      <c:scatterChart>
        <c:scatterStyle val="smoothMarker"/>
        <c:ser>
          <c:idx val="0"/>
          <c:order val="0"/>
          <c:tx>
            <c:strRef>
              <c:f>'Olowalu Shore Front'!$I$1</c:f>
              <c:strCache>
                <c:ptCount val="1"/>
                <c:pt idx="0">
                  <c:v>pH</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Front'!$I$2:$I$34</c:f>
              <c:numCache>
                <c:formatCode>0.00</c:formatCode>
                <c:ptCount val="33"/>
                <c:pt idx="0">
                  <c:v>8.11</c:v>
                </c:pt>
                <c:pt idx="1">
                  <c:v>8.1</c:v>
                </c:pt>
                <c:pt idx="2">
                  <c:v>8.04</c:v>
                </c:pt>
                <c:pt idx="3">
                  <c:v>8.12</c:v>
                </c:pt>
                <c:pt idx="4">
                  <c:v>8.07</c:v>
                </c:pt>
                <c:pt idx="5">
                  <c:v>8.1</c:v>
                </c:pt>
                <c:pt idx="6">
                  <c:v>8.06</c:v>
                </c:pt>
                <c:pt idx="7">
                  <c:v>8.17</c:v>
                </c:pt>
                <c:pt idx="8">
                  <c:v>7.99</c:v>
                </c:pt>
                <c:pt idx="9">
                  <c:v>8.12</c:v>
                </c:pt>
                <c:pt idx="10">
                  <c:v>8.07</c:v>
                </c:pt>
                <c:pt idx="11">
                  <c:v>8.11</c:v>
                </c:pt>
                <c:pt idx="12">
                  <c:v>8.130000000000001</c:v>
                </c:pt>
                <c:pt idx="13">
                  <c:v>8.08</c:v>
                </c:pt>
                <c:pt idx="14">
                  <c:v>8.130000000000001</c:v>
                </c:pt>
                <c:pt idx="15">
                  <c:v>7.9</c:v>
                </c:pt>
                <c:pt idx="16">
                  <c:v>8.1</c:v>
                </c:pt>
                <c:pt idx="17">
                  <c:v>8.130000000000001</c:v>
                </c:pt>
                <c:pt idx="18">
                  <c:v>8.130000000000001</c:v>
                </c:pt>
                <c:pt idx="19">
                  <c:v>8.15</c:v>
                </c:pt>
                <c:pt idx="20">
                  <c:v>8.18</c:v>
                </c:pt>
                <c:pt idx="21">
                  <c:v>8.1</c:v>
                </c:pt>
                <c:pt idx="22">
                  <c:v>8.16</c:v>
                </c:pt>
                <c:pt idx="23">
                  <c:v>8.07</c:v>
                </c:pt>
                <c:pt idx="24">
                  <c:v>8.03</c:v>
                </c:pt>
                <c:pt idx="25">
                  <c:v>8.09</c:v>
                </c:pt>
                <c:pt idx="26">
                  <c:v>8.04</c:v>
                </c:pt>
                <c:pt idx="27">
                  <c:v>8.15</c:v>
                </c:pt>
                <c:pt idx="28">
                  <c:v>8.1</c:v>
                </c:pt>
                <c:pt idx="29">
                  <c:v>8.09</c:v>
                </c:pt>
                <c:pt idx="30">
                  <c:v>8.16</c:v>
                </c:pt>
                <c:pt idx="31">
                  <c:v>8.08</c:v>
                </c:pt>
                <c:pt idx="32">
                  <c:v>8.130000000000001</c:v>
                </c:pt>
              </c:numCache>
            </c:numRef>
          </c:yVal>
          <c:smooth val="1"/>
        </c:ser>
        <c:axId val="326813384"/>
        <c:axId val="326806392"/>
      </c:scatterChart>
      <c:valAx>
        <c:axId val="326813384"/>
        <c:scaling>
          <c:orientation val="minMax"/>
        </c:scaling>
        <c:axPos val="b"/>
        <c:numFmt formatCode="m/d/yy" sourceLinked="1"/>
        <c:tickLblPos val="nextTo"/>
        <c:crossAx val="326806392"/>
        <c:crosses val="autoZero"/>
        <c:crossBetween val="midCat"/>
      </c:valAx>
      <c:valAx>
        <c:axId val="326806392"/>
        <c:scaling>
          <c:orientation val="minMax"/>
          <c:max val="8.3"/>
          <c:min val="7.7"/>
        </c:scaling>
        <c:axPos val="l"/>
        <c:majorGridlines/>
        <c:title>
          <c:tx>
            <c:rich>
              <a:bodyPr/>
              <a:lstStyle/>
              <a:p>
                <a:pPr>
                  <a:defRPr/>
                </a:pPr>
                <a:r>
                  <a:rPr lang="en-US"/>
                  <a:t>pH</a:t>
                </a:r>
              </a:p>
            </c:rich>
          </c:tx>
        </c:title>
        <c:numFmt formatCode="0.00" sourceLinked="1"/>
        <c:tickLblPos val="nextTo"/>
        <c:crossAx val="326813384"/>
        <c:crosses val="autoZero"/>
        <c:crossBetween val="midCat"/>
      </c:valAx>
    </c:plotArea>
    <c:plotVisOnly val="1"/>
  </c:chart>
</c:chartSpace>
</file>

<file path=xl/charts/chart2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Olowalu Shore Front (OSF)</a:t>
            </a:r>
          </a:p>
        </c:rich>
      </c:tx>
    </c:title>
    <c:plotArea>
      <c:layout/>
      <c:scatterChart>
        <c:scatterStyle val="smoothMarker"/>
        <c:ser>
          <c:idx val="0"/>
          <c:order val="0"/>
          <c:tx>
            <c:strRef>
              <c:f>'Olowalu Shore Front'!$J$1</c:f>
              <c:strCache>
                <c:ptCount val="1"/>
                <c:pt idx="0">
                  <c:v>Turbidity (NTU)</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Front'!$J$2:$J$34</c:f>
              <c:numCache>
                <c:formatCode>0.00</c:formatCode>
                <c:ptCount val="33"/>
                <c:pt idx="0">
                  <c:v>1.19</c:v>
                </c:pt>
                <c:pt idx="1">
                  <c:v>1.07</c:v>
                </c:pt>
                <c:pt idx="2">
                  <c:v>1.86</c:v>
                </c:pt>
                <c:pt idx="3">
                  <c:v>0.98</c:v>
                </c:pt>
                <c:pt idx="4">
                  <c:v>1.453333333333333</c:v>
                </c:pt>
                <c:pt idx="5">
                  <c:v>1.296666666666667</c:v>
                </c:pt>
                <c:pt idx="6">
                  <c:v>1.12</c:v>
                </c:pt>
                <c:pt idx="7">
                  <c:v>2.3475</c:v>
                </c:pt>
                <c:pt idx="8">
                  <c:v>2.073333333333333</c:v>
                </c:pt>
                <c:pt idx="9">
                  <c:v>2.94</c:v>
                </c:pt>
                <c:pt idx="10">
                  <c:v>1.746666666666667</c:v>
                </c:pt>
                <c:pt idx="11">
                  <c:v>4.373333333333333</c:v>
                </c:pt>
                <c:pt idx="12">
                  <c:v>2.423333333333333</c:v>
                </c:pt>
                <c:pt idx="13">
                  <c:v>4.100000000000001</c:v>
                </c:pt>
                <c:pt idx="14">
                  <c:v>2.18</c:v>
                </c:pt>
                <c:pt idx="15">
                  <c:v>1.213333333333333</c:v>
                </c:pt>
                <c:pt idx="16">
                  <c:v>4.156666666666666</c:v>
                </c:pt>
                <c:pt idx="17">
                  <c:v>1.666666666666667</c:v>
                </c:pt>
                <c:pt idx="18">
                  <c:v>2.176666666666666</c:v>
                </c:pt>
                <c:pt idx="19">
                  <c:v>1.5</c:v>
                </c:pt>
                <c:pt idx="20">
                  <c:v>1.74</c:v>
                </c:pt>
                <c:pt idx="21">
                  <c:v>2.31</c:v>
                </c:pt>
                <c:pt idx="22">
                  <c:v>3.586666666666666</c:v>
                </c:pt>
                <c:pt idx="23">
                  <c:v>1.65</c:v>
                </c:pt>
                <c:pt idx="24">
                  <c:v>1.336666666666667</c:v>
                </c:pt>
                <c:pt idx="25">
                  <c:v>1.62</c:v>
                </c:pt>
                <c:pt idx="26">
                  <c:v>1.15</c:v>
                </c:pt>
                <c:pt idx="27">
                  <c:v>1.226666666666667</c:v>
                </c:pt>
                <c:pt idx="28">
                  <c:v>1.64</c:v>
                </c:pt>
                <c:pt idx="29">
                  <c:v>1.403333333333333</c:v>
                </c:pt>
                <c:pt idx="30">
                  <c:v>1.376666666666667</c:v>
                </c:pt>
                <c:pt idx="31">
                  <c:v>2.643333333333333</c:v>
                </c:pt>
                <c:pt idx="32">
                  <c:v>2.846666666666666</c:v>
                </c:pt>
              </c:numCache>
            </c:numRef>
          </c:yVal>
          <c:smooth val="1"/>
        </c:ser>
        <c:axId val="326856104"/>
        <c:axId val="326849112"/>
      </c:scatterChart>
      <c:valAx>
        <c:axId val="326856104"/>
        <c:scaling>
          <c:orientation val="minMax"/>
        </c:scaling>
        <c:axPos val="b"/>
        <c:numFmt formatCode="m/d/yy" sourceLinked="1"/>
        <c:tickLblPos val="nextTo"/>
        <c:crossAx val="326849112"/>
        <c:crosses val="autoZero"/>
        <c:crossBetween val="midCat"/>
      </c:valAx>
      <c:valAx>
        <c:axId val="326849112"/>
        <c:scaling>
          <c:orientation val="minMax"/>
          <c:max val="10.0"/>
          <c:min val="0.0"/>
        </c:scaling>
        <c:axPos val="l"/>
        <c:majorGridlines/>
        <c:title>
          <c:tx>
            <c:rich>
              <a:bodyPr/>
              <a:lstStyle/>
              <a:p>
                <a:pPr>
                  <a:defRPr/>
                </a:pPr>
                <a:r>
                  <a:rPr lang="en-US"/>
                  <a:t>Turbidity (NTU)</a:t>
                </a:r>
              </a:p>
            </c:rich>
          </c:tx>
        </c:title>
        <c:numFmt formatCode="0.00" sourceLinked="1"/>
        <c:tickLblPos val="nextTo"/>
        <c:crossAx val="326856104"/>
        <c:crosses val="autoZero"/>
        <c:crossBetween val="midCat"/>
      </c:valAx>
    </c:plotArea>
    <c:plotVisOnly val="1"/>
  </c:chart>
</c:chartSpace>
</file>

<file path=xl/charts/chart2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Olowalu Shore Front (OSF) Temperature</a:t>
            </a:r>
          </a:p>
        </c:rich>
      </c:tx>
    </c:title>
    <c:plotArea>
      <c:layout/>
      <c:scatterChart>
        <c:scatterStyle val="smoothMarker"/>
        <c:ser>
          <c:idx val="0"/>
          <c:order val="0"/>
          <c:tx>
            <c:strRef>
              <c:f>'Olowalu Shore Front'!$E$1</c:f>
              <c:strCache>
                <c:ptCount val="1"/>
                <c:pt idx="0">
                  <c:v>Temp (degrees C)</c:v>
                </c:pt>
              </c:strCache>
            </c:strRef>
          </c:tx>
          <c:xVal>
            <c:numRef>
              <c:f>'Olowalu Shore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'Olowalu Shore Front'!$E$2:$E$34</c:f>
              <c:numCache>
                <c:formatCode>0.0</c:formatCode>
                <c:ptCount val="33"/>
                <c:pt idx="0">
                  <c:v>27.4</c:v>
                </c:pt>
                <c:pt idx="1">
                  <c:v>28.0</c:v>
                </c:pt>
                <c:pt idx="2">
                  <c:v>28.0</c:v>
                </c:pt>
                <c:pt idx="3">
                  <c:v>27.8</c:v>
                </c:pt>
                <c:pt idx="4">
                  <c:v>27.9</c:v>
                </c:pt>
                <c:pt idx="5">
                  <c:v>29.0</c:v>
                </c:pt>
                <c:pt idx="6">
                  <c:v>28.4</c:v>
                </c:pt>
                <c:pt idx="7">
                  <c:v>27.6</c:v>
                </c:pt>
                <c:pt idx="8">
                  <c:v>28.8</c:v>
                </c:pt>
                <c:pt idx="9">
                  <c:v>27.4</c:v>
                </c:pt>
                <c:pt idx="10">
                  <c:v>26.3</c:v>
                </c:pt>
                <c:pt idx="11">
                  <c:v>26.8</c:v>
                </c:pt>
                <c:pt idx="12">
                  <c:v>24.7</c:v>
                </c:pt>
                <c:pt idx="13">
                  <c:v>24.7</c:v>
                </c:pt>
                <c:pt idx="14">
                  <c:v>24.3</c:v>
                </c:pt>
                <c:pt idx="15">
                  <c:v>24.7</c:v>
                </c:pt>
                <c:pt idx="16">
                  <c:v>25.1</c:v>
                </c:pt>
                <c:pt idx="17">
                  <c:v>26.0</c:v>
                </c:pt>
                <c:pt idx="18">
                  <c:v>26.8</c:v>
                </c:pt>
                <c:pt idx="19">
                  <c:v>27.0</c:v>
                </c:pt>
                <c:pt idx="20">
                  <c:v>26.8</c:v>
                </c:pt>
                <c:pt idx="21">
                  <c:v>27.1</c:v>
                </c:pt>
                <c:pt idx="22">
                  <c:v>27.6</c:v>
                </c:pt>
                <c:pt idx="23">
                  <c:v>27.8</c:v>
                </c:pt>
                <c:pt idx="24">
                  <c:v>28.3</c:v>
                </c:pt>
                <c:pt idx="25">
                  <c:v>27.8</c:v>
                </c:pt>
                <c:pt idx="26">
                  <c:v>28.3</c:v>
                </c:pt>
                <c:pt idx="27">
                  <c:v>27.9</c:v>
                </c:pt>
                <c:pt idx="28">
                  <c:v>27.1</c:v>
                </c:pt>
                <c:pt idx="29">
                  <c:v>25.5</c:v>
                </c:pt>
                <c:pt idx="30">
                  <c:v>24.6</c:v>
                </c:pt>
                <c:pt idx="31">
                  <c:v>24.6</c:v>
                </c:pt>
                <c:pt idx="32">
                  <c:v>24.5</c:v>
                </c:pt>
              </c:numCache>
            </c:numRef>
          </c:yVal>
          <c:smooth val="1"/>
        </c:ser>
        <c:axId val="326897816"/>
        <c:axId val="326890872"/>
      </c:scatterChart>
      <c:valAx>
        <c:axId val="326897816"/>
        <c:scaling>
          <c:orientation val="minMax"/>
        </c:scaling>
        <c:axPos val="b"/>
        <c:numFmt formatCode="m/d/yy" sourceLinked="1"/>
        <c:tickLblPos val="nextTo"/>
        <c:crossAx val="326890872"/>
        <c:crosses val="autoZero"/>
        <c:crossBetween val="midCat"/>
      </c:valAx>
      <c:valAx>
        <c:axId val="326890872"/>
        <c:scaling>
          <c:orientation val="minMax"/>
          <c:max val="29.0"/>
          <c:min val="22.0"/>
        </c:scaling>
        <c:axPos val="l"/>
        <c:majorGridlines/>
        <c:title>
          <c:tx>
            <c:rich>
              <a:bodyPr/>
              <a:lstStyle/>
              <a:p>
                <a:pPr>
                  <a:defRPr/>
                </a:pPr>
                <a:r>
                  <a:rPr lang="en-US"/>
                  <a:t>Temperature (C)</a:t>
                </a:r>
              </a:p>
            </c:rich>
          </c:tx>
        </c:title>
        <c:numFmt formatCode="0.0" sourceLinked="1"/>
        <c:tickLblPos val="nextTo"/>
        <c:crossAx val="326897816"/>
        <c:crosses val="autoZero"/>
        <c:crossBetween val="midCat"/>
      </c:valAx>
    </c:plotArea>
    <c:plotVisOnly val="1"/>
  </c:chart>
</c:chartSpace>
</file>

<file path=xl/charts/chart2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Olowalu Shore Front (OSF) Nitrogen and Silicates</a:t>
            </a:r>
          </a:p>
        </c:rich>
      </c:tx>
    </c:title>
    <c:plotArea>
      <c:layout/>
      <c:scatterChart>
        <c:scatterStyle val="smoothMarker"/>
        <c:ser>
          <c:idx val="0"/>
          <c:order val="0"/>
          <c:tx>
            <c:strRef>
              <c:f>'Olowalu Shore Front'!$K$1</c:f>
              <c:strCache>
                <c:ptCount val="1"/>
                <c:pt idx="0">
                  <c:v>Total N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Front'!$K$2:$K$31</c:f>
              <c:numCache>
                <c:formatCode>0.00</c:formatCode>
                <c:ptCount val="30"/>
                <c:pt idx="0">
                  <c:v>71.07115893744665</c:v>
                </c:pt>
                <c:pt idx="1">
                  <c:v>87.4378729002328</c:v>
                </c:pt>
                <c:pt idx="2">
                  <c:v>75.49801837026682</c:v>
                </c:pt>
                <c:pt idx="3">
                  <c:v>88.96342638073275</c:v>
                </c:pt>
                <c:pt idx="4">
                  <c:v>54.69796869667284</c:v>
                </c:pt>
                <c:pt idx="5">
                  <c:v>79.93270984600323</c:v>
                </c:pt>
                <c:pt idx="6">
                  <c:v>82.56485885153184</c:v>
                </c:pt>
                <c:pt idx="7">
                  <c:v>69.94735833608638</c:v>
                </c:pt>
                <c:pt idx="8">
                  <c:v>64.4114380689304</c:v>
                </c:pt>
                <c:pt idx="9">
                  <c:v>72.83613524787489</c:v>
                </c:pt>
                <c:pt idx="10">
                  <c:v>69.27363065225349</c:v>
                </c:pt>
                <c:pt idx="11">
                  <c:v>72.1905211195684</c:v>
                </c:pt>
                <c:pt idx="12">
                  <c:v>78.81639379172951</c:v>
                </c:pt>
                <c:pt idx="13">
                  <c:v>75.5574214736889</c:v>
                </c:pt>
                <c:pt idx="14">
                  <c:v>80.4616079177325</c:v>
                </c:pt>
                <c:pt idx="15">
                  <c:v>77.50133320080811</c:v>
                </c:pt>
                <c:pt idx="16">
                  <c:v>83.21375524796503</c:v>
                </c:pt>
                <c:pt idx="17">
                  <c:v>80.98186912605578</c:v>
                </c:pt>
                <c:pt idx="18">
                  <c:v>77.95376478162778</c:v>
                </c:pt>
                <c:pt idx="19">
                  <c:v>118.5402748235317</c:v>
                </c:pt>
                <c:pt idx="20">
                  <c:v>73.02221708216241</c:v>
                </c:pt>
                <c:pt idx="21">
                  <c:v>66.90804358538032</c:v>
                </c:pt>
                <c:pt idx="22">
                  <c:v>70.71077612998124</c:v>
                </c:pt>
                <c:pt idx="23">
                  <c:v>65.00691102431892</c:v>
                </c:pt>
                <c:pt idx="24">
                  <c:v>79.02615008281084</c:v>
                </c:pt>
                <c:pt idx="25">
                  <c:v>69.1471034901021</c:v>
                </c:pt>
                <c:pt idx="26">
                  <c:v>62.09822708864254</c:v>
                </c:pt>
                <c:pt idx="27">
                  <c:v>130.7904654852935</c:v>
                </c:pt>
                <c:pt idx="28">
                  <c:v>68.20017115064888</c:v>
                </c:pt>
                <c:pt idx="29">
                  <c:v>100.756598250889</c:v>
                </c:pt>
              </c:numCache>
            </c:numRef>
          </c:yVal>
          <c:smooth val="1"/>
        </c:ser>
        <c:ser>
          <c:idx val="1"/>
          <c:order val="1"/>
          <c:tx>
            <c:strRef>
              <c:f>'Olowalu Shore Front'!$O$1</c:f>
              <c:strCache>
                <c:ptCount val="1"/>
                <c:pt idx="0">
                  <c:v>NNN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Front'!$O$2:$O$31</c:f>
              <c:numCache>
                <c:formatCode>0.00</c:formatCode>
                <c:ptCount val="30"/>
                <c:pt idx="0">
                  <c:v>4.072364251592356</c:v>
                </c:pt>
                <c:pt idx="1">
                  <c:v>3.879292633183367</c:v>
                </c:pt>
                <c:pt idx="2">
                  <c:v>5.099188661096709</c:v>
                </c:pt>
                <c:pt idx="3">
                  <c:v>3.815076282539931</c:v>
                </c:pt>
                <c:pt idx="4">
                  <c:v>4.774389079923371</c:v>
                </c:pt>
                <c:pt idx="5">
                  <c:v>4.550554042709479</c:v>
                </c:pt>
                <c:pt idx="6">
                  <c:v>4.701214360669498</c:v>
                </c:pt>
                <c:pt idx="7">
                  <c:v>4.632621045175505</c:v>
                </c:pt>
                <c:pt idx="8">
                  <c:v>4.796755050107559</c:v>
                </c:pt>
                <c:pt idx="9">
                  <c:v>3.171705350310675</c:v>
                </c:pt>
                <c:pt idx="10">
                  <c:v>4.074485797802334</c:v>
                </c:pt>
                <c:pt idx="11">
                  <c:v>6.01261021757343</c:v>
                </c:pt>
                <c:pt idx="12">
                  <c:v>5.816324828646634</c:v>
                </c:pt>
                <c:pt idx="13">
                  <c:v>24.19102557296549</c:v>
                </c:pt>
                <c:pt idx="14">
                  <c:v>5.155106449716129</c:v>
                </c:pt>
                <c:pt idx="15">
                  <c:v>4.944969573499837</c:v>
                </c:pt>
                <c:pt idx="16">
                  <c:v>5.567292079585142</c:v>
                </c:pt>
                <c:pt idx="17">
                  <c:v>6.166697004974066</c:v>
                </c:pt>
                <c:pt idx="18">
                  <c:v>5.676353076446829</c:v>
                </c:pt>
                <c:pt idx="19">
                  <c:v>3.768788474457516</c:v>
                </c:pt>
                <c:pt idx="20">
                  <c:v>4.353533653972398</c:v>
                </c:pt>
                <c:pt idx="21">
                  <c:v>8.726262972024088</c:v>
                </c:pt>
                <c:pt idx="22">
                  <c:v>3.875411233962658</c:v>
                </c:pt>
                <c:pt idx="23">
                  <c:v>9.242432916056738</c:v>
                </c:pt>
                <c:pt idx="24">
                  <c:v>5.33914266449121</c:v>
                </c:pt>
                <c:pt idx="25">
                  <c:v>1.816637753063399</c:v>
                </c:pt>
                <c:pt idx="26">
                  <c:v>9.263884300590632</c:v>
                </c:pt>
                <c:pt idx="27">
                  <c:v>4.875412063380899</c:v>
                </c:pt>
                <c:pt idx="28">
                  <c:v>8.203346756543814</c:v>
                </c:pt>
                <c:pt idx="29">
                  <c:v>5.29280906885255</c:v>
                </c:pt>
              </c:numCache>
            </c:numRef>
          </c:yVal>
          <c:smooth val="1"/>
        </c:ser>
        <c:ser>
          <c:idx val="2"/>
          <c:order val="2"/>
          <c:tx>
            <c:strRef>
              <c:f>'Olowalu Shore Front'!$N$1</c:f>
              <c:strCache>
                <c:ptCount val="1"/>
                <c:pt idx="0">
                  <c:v>Silicate (ug/L)</c:v>
                </c:pt>
              </c:strCache>
            </c:strRef>
          </c:tx>
          <c:xVal>
            <c:numRef>
              <c:f>'Olowalu Shore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'Olowalu Shore Front'!$N$2:$N$31</c:f>
              <c:numCache>
                <c:formatCode>0.00</c:formatCode>
                <c:ptCount val="30"/>
                <c:pt idx="0">
                  <c:v>72.89549318190728</c:v>
                </c:pt>
                <c:pt idx="1">
                  <c:v>84.66224001901068</c:v>
                </c:pt>
                <c:pt idx="2">
                  <c:v>120.8604009821978</c:v>
                </c:pt>
                <c:pt idx="3">
                  <c:v>44.64443578691398</c:v>
                </c:pt>
                <c:pt idx="4">
                  <c:v>76.4801604315226</c:v>
                </c:pt>
                <c:pt idx="5">
                  <c:v>113.4679640637888</c:v>
                </c:pt>
                <c:pt idx="6">
                  <c:v>63.22649275614084</c:v>
                </c:pt>
                <c:pt idx="7">
                  <c:v>59.63182956341571</c:v>
                </c:pt>
                <c:pt idx="8">
                  <c:v>95.74608827167499</c:v>
                </c:pt>
                <c:pt idx="9">
                  <c:v>65.37248573789574</c:v>
                </c:pt>
                <c:pt idx="10">
                  <c:v>63.81962663495458</c:v>
                </c:pt>
                <c:pt idx="11">
                  <c:v>140.7681494901052</c:v>
                </c:pt>
                <c:pt idx="12">
                  <c:v>214.6356967678018</c:v>
                </c:pt>
                <c:pt idx="13">
                  <c:v>139.3548699398427</c:v>
                </c:pt>
                <c:pt idx="14">
                  <c:v>120.3043845332102</c:v>
                </c:pt>
                <c:pt idx="15">
                  <c:v>94.53234717942551</c:v>
                </c:pt>
                <c:pt idx="16">
                  <c:v>150.7097357142791</c:v>
                </c:pt>
                <c:pt idx="17">
                  <c:v>100.4362581360485</c:v>
                </c:pt>
                <c:pt idx="18">
                  <c:v>147.2021030853844</c:v>
                </c:pt>
                <c:pt idx="19">
                  <c:v>158.8047708709142</c:v>
                </c:pt>
                <c:pt idx="20">
                  <c:v>94.428285828079</c:v>
                </c:pt>
                <c:pt idx="21">
                  <c:v>70.32978858540757</c:v>
                </c:pt>
                <c:pt idx="22">
                  <c:v>76.78410067815605</c:v>
                </c:pt>
                <c:pt idx="23">
                  <c:v>125.8197909694693</c:v>
                </c:pt>
                <c:pt idx="24">
                  <c:v>48.2663677523079</c:v>
                </c:pt>
                <c:pt idx="25">
                  <c:v>61.9439751036218</c:v>
                </c:pt>
                <c:pt idx="26">
                  <c:v>121.0937308508962</c:v>
                </c:pt>
                <c:pt idx="27">
                  <c:v>122.5232111449838</c:v>
                </c:pt>
                <c:pt idx="28">
                  <c:v>167.627708676702</c:v>
                </c:pt>
                <c:pt idx="29">
                  <c:v>158.0631191690525</c:v>
                </c:pt>
              </c:numCache>
            </c:numRef>
          </c:yVal>
          <c:smooth val="1"/>
        </c:ser>
        <c:axId val="326956776"/>
        <c:axId val="326959912"/>
      </c:scatterChart>
      <c:valAx>
        <c:axId val="326956776"/>
        <c:scaling>
          <c:orientation val="minMax"/>
        </c:scaling>
        <c:axPos val="b"/>
        <c:numFmt formatCode="m/d/yy" sourceLinked="1"/>
        <c:tickLblPos val="nextTo"/>
        <c:crossAx val="326959912"/>
        <c:crosses val="autoZero"/>
        <c:crossBetween val="midCat"/>
      </c:valAx>
      <c:valAx>
        <c:axId val="326959912"/>
        <c:scaling>
          <c:orientation val="minMax"/>
        </c:scaling>
        <c:axPos val="l"/>
        <c:majorGridlines/>
        <c:numFmt formatCode="0.00" sourceLinked="1"/>
        <c:tickLblPos val="nextTo"/>
        <c:crossAx val="326956776"/>
        <c:crosses val="autoZero"/>
        <c:crossBetween val="midCat"/>
      </c:valAx>
    </c:plotArea>
    <c:legend>
      <c:legendPos val="t"/>
    </c:legend>
    <c:plotVisOnly val="1"/>
  </c:chart>
</c:chartSpace>
</file>

<file path=xl/charts/chart29.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'Olowalu Shore Front'!$J$1</c:f>
              <c:strCache>
                <c:ptCount val="1"/>
                <c:pt idx="0">
                  <c:v>Turbidity (NTU)</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Front'!$J$2:$J$10</c:f>
              <c:numCache>
                <c:formatCode>0.00</c:formatCode>
                <c:ptCount val="9"/>
                <c:pt idx="0">
                  <c:v>1.19</c:v>
                </c:pt>
                <c:pt idx="1">
                  <c:v>1.07</c:v>
                </c:pt>
                <c:pt idx="2">
                  <c:v>1.86</c:v>
                </c:pt>
                <c:pt idx="3">
                  <c:v>0.98</c:v>
                </c:pt>
                <c:pt idx="4">
                  <c:v>1.453333333333333</c:v>
                </c:pt>
                <c:pt idx="5">
                  <c:v>1.296666666666667</c:v>
                </c:pt>
                <c:pt idx="6">
                  <c:v>1.12</c:v>
                </c:pt>
                <c:pt idx="7">
                  <c:v>2.3475</c:v>
                </c:pt>
                <c:pt idx="8">
                  <c:v>2.073333333333333</c:v>
                </c:pt>
              </c:numCache>
            </c:numRef>
          </c:yVal>
          <c:smooth val="1"/>
        </c:ser>
        <c:ser>
          <c:idx val="1"/>
          <c:order val="1"/>
          <c:tx>
            <c:strRef>
              <c:f>'Olowalu Shore Front'!$K$1</c:f>
              <c:strCache>
                <c:ptCount val="1"/>
                <c:pt idx="0">
                  <c:v>Total N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Front'!$K$2:$K$10</c:f>
              <c:numCache>
                <c:formatCode>0.00</c:formatCode>
                <c:ptCount val="9"/>
                <c:pt idx="0">
                  <c:v>71.07115893744665</c:v>
                </c:pt>
                <c:pt idx="1">
                  <c:v>87.4378729002328</c:v>
                </c:pt>
                <c:pt idx="2">
                  <c:v>75.49801837026682</c:v>
                </c:pt>
                <c:pt idx="3">
                  <c:v>88.96342638073275</c:v>
                </c:pt>
                <c:pt idx="4">
                  <c:v>54.69796869667284</c:v>
                </c:pt>
                <c:pt idx="5">
                  <c:v>79.93270984600323</c:v>
                </c:pt>
                <c:pt idx="6">
                  <c:v>82.56485885153184</c:v>
                </c:pt>
                <c:pt idx="7">
                  <c:v>69.94735833608638</c:v>
                </c:pt>
                <c:pt idx="8">
                  <c:v>64.4114380689304</c:v>
                </c:pt>
              </c:numCache>
            </c:numRef>
          </c:yVal>
          <c:smooth val="1"/>
        </c:ser>
        <c:ser>
          <c:idx val="2"/>
          <c:order val="2"/>
          <c:tx>
            <c:strRef>
              <c:f>'Olowalu Shore Front'!$O$1</c:f>
              <c:strCache>
                <c:ptCount val="1"/>
                <c:pt idx="0">
                  <c:v>NNN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Front'!$O$2:$O$10</c:f>
              <c:numCache>
                <c:formatCode>0.00</c:formatCode>
                <c:ptCount val="9"/>
                <c:pt idx="0">
                  <c:v>4.072364251592356</c:v>
                </c:pt>
                <c:pt idx="1">
                  <c:v>3.879292633183367</c:v>
                </c:pt>
                <c:pt idx="2">
                  <c:v>5.099188661096709</c:v>
                </c:pt>
                <c:pt idx="3">
                  <c:v>3.815076282539931</c:v>
                </c:pt>
                <c:pt idx="4">
                  <c:v>4.774389079923371</c:v>
                </c:pt>
                <c:pt idx="5">
                  <c:v>4.550554042709479</c:v>
                </c:pt>
                <c:pt idx="6">
                  <c:v>4.701214360669498</c:v>
                </c:pt>
                <c:pt idx="7">
                  <c:v>4.632621045175505</c:v>
                </c:pt>
                <c:pt idx="8">
                  <c:v>4.796755050107559</c:v>
                </c:pt>
              </c:numCache>
            </c:numRef>
          </c:yVal>
          <c:smooth val="1"/>
        </c:ser>
        <c:ser>
          <c:idx val="3"/>
          <c:order val="3"/>
          <c:tx>
            <c:strRef>
              <c:f>'Olowalu Shore Front'!$P$1</c:f>
              <c:strCache>
                <c:ptCount val="1"/>
                <c:pt idx="0">
                  <c:v>NH4 (ug/L)</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Front'!$P$2:$P$10</c:f>
              <c:numCache>
                <c:formatCode>0.00</c:formatCode>
                <c:ptCount val="9"/>
                <c:pt idx="0">
                  <c:v>2.799039338078752</c:v>
                </c:pt>
                <c:pt idx="1">
                  <c:v>6.197514531210332</c:v>
                </c:pt>
                <c:pt idx="2">
                  <c:v>3.366422306922891</c:v>
                </c:pt>
                <c:pt idx="3">
                  <c:v>5.974908207343415</c:v>
                </c:pt>
                <c:pt idx="4">
                  <c:v>3.613131978130634</c:v>
                </c:pt>
                <c:pt idx="5">
                  <c:v>3.721051515151515</c:v>
                </c:pt>
                <c:pt idx="6">
                  <c:v>4.480643203629384</c:v>
                </c:pt>
                <c:pt idx="7">
                  <c:v>3.417891034141802</c:v>
                </c:pt>
                <c:pt idx="8">
                  <c:v>4.551643613679985</c:v>
                </c:pt>
              </c:numCache>
            </c:numRef>
          </c:yVal>
          <c:smooth val="1"/>
        </c:ser>
        <c:ser>
          <c:idx val="4"/>
          <c:order val="4"/>
          <c:tx>
            <c:strRef>
              <c:f>'Olowalu Shore Front'!#REF!</c:f>
              <c:strCache>
                <c:ptCount val="1"/>
                <c:pt idx="0">
                  <c:v>#REF!</c:v>
                </c:pt>
              </c:strCache>
            </c:strRef>
          </c:tx>
          <c:xVal>
            <c:numRef>
              <c:f>'Olowalu Shore Front'!$C$2:$C$10</c:f>
              <c:numCache>
                <c:formatCode>m/d/yy</c:formatCode>
                <c:ptCount val="9"/>
                <c:pt idx="0">
                  <c:v>42536.0</c:v>
                </c:pt>
                <c:pt idx="1">
                  <c:v>42550.0</c:v>
                </c:pt>
                <c:pt idx="2">
                  <c:v>42564.0</c:v>
                </c:pt>
                <c:pt idx="3">
                  <c:v>42578.0</c:v>
                </c:pt>
                <c:pt idx="4">
                  <c:v>42592.0</c:v>
                </c:pt>
                <c:pt idx="5">
                  <c:v>42606.0</c:v>
                </c:pt>
                <c:pt idx="6">
                  <c:v>42620.0</c:v>
                </c:pt>
                <c:pt idx="7">
                  <c:v>42634.0</c:v>
                </c:pt>
                <c:pt idx="8">
                  <c:v>42648.0</c:v>
                </c:pt>
              </c:numCache>
            </c:numRef>
          </c:xVal>
          <c:yVal>
            <c:numRef>
              <c:f>'Olowalu Shore Front'!#REF!</c:f>
              <c:numCache>
                <c:formatCode>General</c:formatCode>
                <c:ptCount val="1"/>
                <c:pt idx="0">
                  <c:v>1.0</c:v>
                </c:pt>
              </c:numCache>
            </c:numRef>
          </c:yVal>
          <c:smooth val="1"/>
        </c:ser>
        <c:axId val="327050344"/>
        <c:axId val="327053560"/>
      </c:scatterChart>
      <c:valAx>
        <c:axId val="327050344"/>
        <c:scaling>
          <c:orientation val="minMax"/>
        </c:scaling>
        <c:axPos val="b"/>
        <c:numFmt formatCode="m/d/yy" sourceLinked="1"/>
        <c:tickLblPos val="nextTo"/>
        <c:crossAx val="327053560"/>
        <c:crosses val="autoZero"/>
        <c:crossBetween val="midCat"/>
      </c:valAx>
      <c:valAx>
        <c:axId val="327053560"/>
        <c:scaling>
          <c:orientation val="minMax"/>
        </c:scaling>
        <c:axPos val="l"/>
        <c:majorGridlines/>
        <c:numFmt formatCode="0.00" sourceLinked="1"/>
        <c:tickLblPos val="nextTo"/>
        <c:crossAx val="327050344"/>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505 Front Street (PFF)</a:t>
            </a:r>
          </a:p>
        </c:rich>
      </c:tx>
    </c:title>
    <c:plotArea>
      <c:layout/>
      <c:scatterChart>
        <c:scatterStyle val="smoothMarker"/>
        <c:ser>
          <c:idx val="0"/>
          <c:order val="0"/>
          <c:tx>
            <c:strRef>
              <c:f>'505 Front'!$E$1</c:f>
              <c:strCache>
                <c:ptCount val="1"/>
                <c:pt idx="0">
                  <c:v>Temp (degrees C)</c:v>
                </c:pt>
              </c:strCache>
            </c:strRef>
          </c:tx>
          <c:xVal>
            <c:numRef>
              <c:f>'505 Front'!$C$2:$C$34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'505 Front'!$E$2:$E$34</c:f>
              <c:numCache>
                <c:formatCode>0.0</c:formatCode>
                <c:ptCount val="33"/>
                <c:pt idx="0">
                  <c:v>26.7</c:v>
                </c:pt>
                <c:pt idx="1">
                  <c:v>27.0</c:v>
                </c:pt>
                <c:pt idx="2">
                  <c:v>26.9</c:v>
                </c:pt>
                <c:pt idx="3">
                  <c:v>27.4</c:v>
                </c:pt>
                <c:pt idx="4">
                  <c:v>27.0</c:v>
                </c:pt>
                <c:pt idx="5">
                  <c:v>27.9</c:v>
                </c:pt>
                <c:pt idx="6">
                  <c:v>27.1</c:v>
                </c:pt>
                <c:pt idx="7">
                  <c:v>27.0</c:v>
                </c:pt>
                <c:pt idx="8">
                  <c:v>27.6</c:v>
                </c:pt>
                <c:pt idx="9">
                  <c:v>27.1</c:v>
                </c:pt>
                <c:pt idx="10">
                  <c:v>25.6</c:v>
                </c:pt>
                <c:pt idx="11">
                  <c:v>26.1</c:v>
                </c:pt>
                <c:pt idx="12">
                  <c:v>25.0</c:v>
                </c:pt>
                <c:pt idx="13">
                  <c:v>24.2</c:v>
                </c:pt>
                <c:pt idx="14">
                  <c:v>23.4</c:v>
                </c:pt>
                <c:pt idx="15">
                  <c:v>23.8</c:v>
                </c:pt>
                <c:pt idx="16">
                  <c:v>24.9</c:v>
                </c:pt>
                <c:pt idx="17">
                  <c:v>24.5</c:v>
                </c:pt>
                <c:pt idx="18">
                  <c:v>25.4</c:v>
                </c:pt>
                <c:pt idx="19">
                  <c:v>25.8</c:v>
                </c:pt>
                <c:pt idx="20">
                  <c:v>25.5</c:v>
                </c:pt>
                <c:pt idx="21">
                  <c:v>26.4</c:v>
                </c:pt>
                <c:pt idx="22">
                  <c:v>26.9</c:v>
                </c:pt>
                <c:pt idx="23">
                  <c:v>27.1</c:v>
                </c:pt>
                <c:pt idx="24">
                  <c:v>27.5</c:v>
                </c:pt>
                <c:pt idx="25">
                  <c:v>27.1</c:v>
                </c:pt>
                <c:pt idx="26">
                  <c:v>28.0</c:v>
                </c:pt>
                <c:pt idx="27">
                  <c:v>27.6</c:v>
                </c:pt>
                <c:pt idx="28">
                  <c:v>26.7</c:v>
                </c:pt>
                <c:pt idx="29">
                  <c:v>25.9</c:v>
                </c:pt>
                <c:pt idx="30">
                  <c:v>24.5</c:v>
                </c:pt>
                <c:pt idx="31">
                  <c:v>24.0</c:v>
                </c:pt>
                <c:pt idx="32">
                  <c:v>23.9</c:v>
                </c:pt>
              </c:numCache>
            </c:numRef>
          </c:yVal>
          <c:smooth val="1"/>
        </c:ser>
        <c:axId val="281380792"/>
        <c:axId val="459167464"/>
      </c:scatterChart>
      <c:valAx>
        <c:axId val="281380792"/>
        <c:scaling>
          <c:orientation val="minMax"/>
        </c:scaling>
        <c:axPos val="b"/>
        <c:numFmt formatCode="m/d/yy" sourceLinked="1"/>
        <c:tickLblPos val="nextTo"/>
        <c:crossAx val="459167464"/>
        <c:crosses val="autoZero"/>
        <c:crossBetween val="midCat"/>
      </c:valAx>
      <c:valAx>
        <c:axId val="459167464"/>
        <c:scaling>
          <c:orientation val="minMax"/>
          <c:max val="29.0"/>
          <c:min val="22.0"/>
        </c:scaling>
        <c:axPos val="l"/>
        <c:majorGridlines/>
        <c:title>
          <c:tx>
            <c:rich>
              <a:bodyPr/>
              <a:lstStyle/>
              <a:p>
                <a:pPr>
                  <a:defRPr/>
                </a:pPr>
                <a:r>
                  <a:rPr lang="en-US"/>
                  <a:t>Temp Degrees C</a:t>
                </a:r>
              </a:p>
            </c:rich>
          </c:tx>
        </c:title>
        <c:numFmt formatCode="0.0" sourceLinked="1"/>
        <c:tickLblPos val="nextTo"/>
        <c:crossAx val="281380792"/>
        <c:crosses val="autoZero"/>
        <c:crossBetween val="midCat"/>
      </c:valAx>
    </c:plotArea>
    <c:plotVisOnly val="1"/>
  </c:chart>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smoothMarker"/>
        <c:ser>
          <c:idx val="0"/>
          <c:order val="0"/>
          <c:tx>
            <c:strRef>
              <c:f>'505 Front'!$K$1</c:f>
              <c:strCache>
                <c:ptCount val="1"/>
                <c:pt idx="0">
                  <c:v>Total N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Front'!$K$2:$K$31</c:f>
              <c:numCache>
                <c:formatCode>0.00</c:formatCode>
                <c:ptCount val="30"/>
                <c:pt idx="0">
                  <c:v>65.9</c:v>
                </c:pt>
                <c:pt idx="1">
                  <c:v>63.47</c:v>
                </c:pt>
                <c:pt idx="2">
                  <c:v>69.4079449078533</c:v>
                </c:pt>
                <c:pt idx="3">
                  <c:v>71.18133472417047</c:v>
                </c:pt>
                <c:pt idx="4">
                  <c:v>50.94026937835764</c:v>
                </c:pt>
                <c:pt idx="5">
                  <c:v>69.4170482170364</c:v>
                </c:pt>
                <c:pt idx="6">
                  <c:v>61.96683776404143</c:v>
                </c:pt>
                <c:pt idx="7">
                  <c:v>79.95211143572457</c:v>
                </c:pt>
                <c:pt idx="8">
                  <c:v>78.96909755650995</c:v>
                </c:pt>
                <c:pt idx="9">
                  <c:v>66.81058868183248</c:v>
                </c:pt>
                <c:pt idx="10">
                  <c:v>73.98473586749765</c:v>
                </c:pt>
                <c:pt idx="11">
                  <c:v>70.63332970578767</c:v>
                </c:pt>
                <c:pt idx="12">
                  <c:v>70.02551781335127</c:v>
                </c:pt>
                <c:pt idx="13">
                  <c:v>53.94312366464754</c:v>
                </c:pt>
                <c:pt idx="14">
                  <c:v>89.71841790271236</c:v>
                </c:pt>
                <c:pt idx="15">
                  <c:v>80.45707428117442</c:v>
                </c:pt>
                <c:pt idx="16">
                  <c:v>80.68629501801915</c:v>
                </c:pt>
                <c:pt idx="17">
                  <c:v>96.43014036446011</c:v>
                </c:pt>
                <c:pt idx="18">
                  <c:v>73.6996269722288</c:v>
                </c:pt>
                <c:pt idx="19">
                  <c:v>90.58592989170765</c:v>
                </c:pt>
                <c:pt idx="20">
                  <c:v>64.53197138175755</c:v>
                </c:pt>
                <c:pt idx="21">
                  <c:v>70.5134115257229</c:v>
                </c:pt>
                <c:pt idx="22">
                  <c:v>68.12205515996116</c:v>
                </c:pt>
                <c:pt idx="23">
                  <c:v>71.26711465351183</c:v>
                </c:pt>
                <c:pt idx="24">
                  <c:v>80.20378477598142</c:v>
                </c:pt>
                <c:pt idx="25">
                  <c:v>70.27715698354863</c:v>
                </c:pt>
                <c:pt idx="26">
                  <c:v>49.30703512983526</c:v>
                </c:pt>
                <c:pt idx="27">
                  <c:v>57.24990800588872</c:v>
                </c:pt>
                <c:pt idx="28">
                  <c:v>70.7463200172718</c:v>
                </c:pt>
                <c:pt idx="29">
                  <c:v>82.31345756608596</c:v>
                </c:pt>
              </c:numCache>
            </c:numRef>
          </c:yVal>
          <c:smooth val="1"/>
        </c:ser>
        <c:ser>
          <c:idx val="2"/>
          <c:order val="2"/>
          <c:tx>
            <c:strRef>
              <c:f>'505 Front'!$O$1</c:f>
              <c:strCache>
                <c:ptCount val="1"/>
                <c:pt idx="0">
                  <c:v>NNN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Front'!$O$2:$O$31</c:f>
              <c:numCache>
                <c:formatCode>0.00</c:formatCode>
                <c:ptCount val="30"/>
                <c:pt idx="0">
                  <c:v>2.7</c:v>
                </c:pt>
                <c:pt idx="1">
                  <c:v>2.06</c:v>
                </c:pt>
                <c:pt idx="2">
                  <c:v>3.099388368652383</c:v>
                </c:pt>
                <c:pt idx="3">
                  <c:v>3.076346007835668</c:v>
                </c:pt>
                <c:pt idx="4">
                  <c:v>4.442969666453802</c:v>
                </c:pt>
                <c:pt idx="5">
                  <c:v>4.310477438480506</c:v>
                </c:pt>
                <c:pt idx="6">
                  <c:v>6.454018547667767</c:v>
                </c:pt>
                <c:pt idx="7">
                  <c:v>14.279780917152</c:v>
                </c:pt>
                <c:pt idx="8">
                  <c:v>4.147568314182274</c:v>
                </c:pt>
                <c:pt idx="9">
                  <c:v>3.599209252854215</c:v>
                </c:pt>
                <c:pt idx="10">
                  <c:v>4.853547350861622</c:v>
                </c:pt>
                <c:pt idx="11">
                  <c:v>7.157039408744409</c:v>
                </c:pt>
                <c:pt idx="12">
                  <c:v>5.736015741054442</c:v>
                </c:pt>
                <c:pt idx="13">
                  <c:v>5.603636537073749</c:v>
                </c:pt>
                <c:pt idx="14">
                  <c:v>8.492955167043433</c:v>
                </c:pt>
                <c:pt idx="15">
                  <c:v>6.158049793628951</c:v>
                </c:pt>
                <c:pt idx="16">
                  <c:v>5.229092231982216</c:v>
                </c:pt>
                <c:pt idx="17">
                  <c:v>2.527456344586724</c:v>
                </c:pt>
                <c:pt idx="18">
                  <c:v>6.164819127922404</c:v>
                </c:pt>
                <c:pt idx="19">
                  <c:v>3.467444727677373</c:v>
                </c:pt>
                <c:pt idx="20">
                  <c:v>3.008628226448787</c:v>
                </c:pt>
                <c:pt idx="21">
                  <c:v>7.046868966087376</c:v>
                </c:pt>
                <c:pt idx="22">
                  <c:v>3.041400333785334</c:v>
                </c:pt>
                <c:pt idx="23">
                  <c:v>7.732920776336381</c:v>
                </c:pt>
                <c:pt idx="24">
                  <c:v>3.87697081446457</c:v>
                </c:pt>
                <c:pt idx="25">
                  <c:v>3.512010855087907</c:v>
                </c:pt>
                <c:pt idx="26">
                  <c:v>2.665158925719097</c:v>
                </c:pt>
                <c:pt idx="27">
                  <c:v>2.926963932417053</c:v>
                </c:pt>
                <c:pt idx="28">
                  <c:v>5.710461262365403</c:v>
                </c:pt>
                <c:pt idx="29">
                  <c:v>7.296012501199403</c:v>
                </c:pt>
              </c:numCache>
            </c:numRef>
          </c:yVal>
          <c:smooth val="1"/>
        </c:ser>
        <c:axId val="281438984"/>
        <c:axId val="281442072"/>
      </c:scatterChart>
      <c:scatterChart>
        <c:scatterStyle val="smoothMarker"/>
        <c:ser>
          <c:idx val="1"/>
          <c:order val="1"/>
          <c:tx>
            <c:strRef>
              <c:f>'505 Front'!$N$1</c:f>
              <c:strCache>
                <c:ptCount val="1"/>
                <c:pt idx="0">
                  <c:v>Silicate (ug/L)</c:v>
                </c:pt>
              </c:strCache>
            </c:strRef>
          </c:tx>
          <c:xVal>
            <c:numRef>
              <c:f>'505 Front'!$C$2:$C$31</c:f>
              <c:numCache>
                <c:formatCode>m/d/yy</c:formatCode>
                <c:ptCount val="30"/>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numCache>
            </c:numRef>
          </c:xVal>
          <c:yVal>
            <c:numRef>
              <c:f>'505 Front'!$N$2:$N$31</c:f>
              <c:numCache>
                <c:formatCode>0.00</c:formatCode>
                <c:ptCount val="30"/>
                <c:pt idx="0">
                  <c:v>461.59</c:v>
                </c:pt>
                <c:pt idx="1">
                  <c:v>317.31</c:v>
                </c:pt>
                <c:pt idx="2">
                  <c:v>405.3975776501347</c:v>
                </c:pt>
                <c:pt idx="3">
                  <c:v>483.7810894913893</c:v>
                </c:pt>
                <c:pt idx="4">
                  <c:v>258.5378744746153</c:v>
                </c:pt>
                <c:pt idx="5">
                  <c:v>547.8541418478924</c:v>
                </c:pt>
                <c:pt idx="6">
                  <c:v>903.6606097350669</c:v>
                </c:pt>
                <c:pt idx="7">
                  <c:v>1564.762008832366</c:v>
                </c:pt>
                <c:pt idx="8">
                  <c:v>459.0957613042053</c:v>
                </c:pt>
                <c:pt idx="9">
                  <c:v>768.8176593702394</c:v>
                </c:pt>
                <c:pt idx="10">
                  <c:v>1383.128720493761</c:v>
                </c:pt>
                <c:pt idx="11">
                  <c:v>732.5927268724245</c:v>
                </c:pt>
                <c:pt idx="12">
                  <c:v>663.0452777713231</c:v>
                </c:pt>
                <c:pt idx="13">
                  <c:v>147.1921474458438</c:v>
                </c:pt>
                <c:pt idx="14">
                  <c:v>920.7973371268448</c:v>
                </c:pt>
                <c:pt idx="15">
                  <c:v>206.9558743039405</c:v>
                </c:pt>
                <c:pt idx="16">
                  <c:v>486.2701594744792</c:v>
                </c:pt>
                <c:pt idx="17">
                  <c:v>396.1044625940013</c:v>
                </c:pt>
                <c:pt idx="18">
                  <c:v>701.31122517375</c:v>
                </c:pt>
                <c:pt idx="19">
                  <c:v>690.7586198470972</c:v>
                </c:pt>
                <c:pt idx="20">
                  <c:v>296.9311694537404</c:v>
                </c:pt>
                <c:pt idx="21">
                  <c:v>1061.011675019744</c:v>
                </c:pt>
                <c:pt idx="22">
                  <c:v>159.6506988168188</c:v>
                </c:pt>
                <c:pt idx="23">
                  <c:v>265.1416424257994</c:v>
                </c:pt>
                <c:pt idx="24">
                  <c:v>771.0805941902422</c:v>
                </c:pt>
                <c:pt idx="25">
                  <c:v>201.1319481273721</c:v>
                </c:pt>
                <c:pt idx="26">
                  <c:v>143.4649891823801</c:v>
                </c:pt>
                <c:pt idx="27">
                  <c:v>445.4823922544469</c:v>
                </c:pt>
                <c:pt idx="28">
                  <c:v>238.5689406971773</c:v>
                </c:pt>
                <c:pt idx="29">
                  <c:v>167.920704941115</c:v>
                </c:pt>
              </c:numCache>
            </c:numRef>
          </c:yVal>
          <c:smooth val="1"/>
        </c:ser>
        <c:axId val="281448408"/>
        <c:axId val="281445464"/>
      </c:scatterChart>
      <c:valAx>
        <c:axId val="281438984"/>
        <c:scaling>
          <c:orientation val="minMax"/>
        </c:scaling>
        <c:axPos val="b"/>
        <c:numFmt formatCode="m/d/yy" sourceLinked="1"/>
        <c:tickLblPos val="nextTo"/>
        <c:crossAx val="281442072"/>
        <c:crosses val="autoZero"/>
        <c:crossBetween val="midCat"/>
      </c:valAx>
      <c:valAx>
        <c:axId val="281442072"/>
        <c:scaling>
          <c:orientation val="minMax"/>
        </c:scaling>
        <c:axPos val="l"/>
        <c:majorGridlines/>
        <c:numFmt formatCode="0.00" sourceLinked="1"/>
        <c:tickLblPos val="nextTo"/>
        <c:crossAx val="281438984"/>
        <c:crosses val="autoZero"/>
        <c:crossBetween val="midCat"/>
      </c:valAx>
      <c:valAx>
        <c:axId val="281445464"/>
        <c:scaling>
          <c:orientation val="minMax"/>
        </c:scaling>
        <c:axPos val="r"/>
        <c:numFmt formatCode="0.00" sourceLinked="1"/>
        <c:tickLblPos val="nextTo"/>
        <c:crossAx val="281448408"/>
        <c:crosses val="max"/>
        <c:crossBetween val="midCat"/>
      </c:valAx>
      <c:valAx>
        <c:axId val="281448408"/>
        <c:scaling>
          <c:orientation val="minMax"/>
        </c:scaling>
        <c:delete val="1"/>
        <c:axPos val="b"/>
        <c:numFmt formatCode="m/d/yy" sourceLinked="1"/>
        <c:tickLblPos val="nextTo"/>
        <c:crossAx val="281445464"/>
        <c:crosses val="autoZero"/>
        <c:crossBetween val="midCat"/>
      </c:valAx>
    </c:plotArea>
    <c:legend>
      <c:legendPos val="t"/>
    </c:legend>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Lindsey Hale (PLH)</a:t>
            </a:r>
          </a:p>
        </c:rich>
      </c:tx>
    </c:title>
    <c:plotArea>
      <c:layout/>
      <c:scatterChart>
        <c:scatterStyle val="smoothMarker"/>
        <c:ser>
          <c:idx val="0"/>
          <c:order val="0"/>
          <c:tx>
            <c:strRef>
              <c:f>'Lindsey Hale'!$L$1</c:f>
              <c:strCache>
                <c:ptCount val="1"/>
                <c:pt idx="0">
                  <c:v>Turbidity (NTU)</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Hale'!$L$2:$L$34</c:f>
              <c:numCache>
                <c:formatCode>0.00</c:formatCode>
                <c:ptCount val="33"/>
                <c:pt idx="0">
                  <c:v>2.8</c:v>
                </c:pt>
                <c:pt idx="1">
                  <c:v>3.43</c:v>
                </c:pt>
                <c:pt idx="2">
                  <c:v>2.01</c:v>
                </c:pt>
                <c:pt idx="3">
                  <c:v>8.046666666666666</c:v>
                </c:pt>
                <c:pt idx="4">
                  <c:v>5.503333333333332</c:v>
                </c:pt>
                <c:pt idx="5">
                  <c:v>25.4</c:v>
                </c:pt>
                <c:pt idx="6">
                  <c:v>6.769999999999999</c:v>
                </c:pt>
                <c:pt idx="7">
                  <c:v>40.1</c:v>
                </c:pt>
                <c:pt idx="8">
                  <c:v>14.73333333333333</c:v>
                </c:pt>
                <c:pt idx="9">
                  <c:v>40.7</c:v>
                </c:pt>
                <c:pt idx="10">
                  <c:v>12.7</c:v>
                </c:pt>
                <c:pt idx="11">
                  <c:v>14.03333333333333</c:v>
                </c:pt>
                <c:pt idx="12">
                  <c:v>9.443333333333333</c:v>
                </c:pt>
                <c:pt idx="13">
                  <c:v>14.26666666666667</c:v>
                </c:pt>
                <c:pt idx="14">
                  <c:v>8.916666666666666</c:v>
                </c:pt>
                <c:pt idx="15">
                  <c:v>3.526666666666667</c:v>
                </c:pt>
                <c:pt idx="16">
                  <c:v>10.7</c:v>
                </c:pt>
                <c:pt idx="17">
                  <c:v>7.562</c:v>
                </c:pt>
                <c:pt idx="18">
                  <c:v>7.187500000000001</c:v>
                </c:pt>
                <c:pt idx="19">
                  <c:v>9.15</c:v>
                </c:pt>
                <c:pt idx="20">
                  <c:v>1.996666666666667</c:v>
                </c:pt>
                <c:pt idx="21">
                  <c:v>5.143333333333333</c:v>
                </c:pt>
                <c:pt idx="22">
                  <c:v>2.45</c:v>
                </c:pt>
                <c:pt idx="23">
                  <c:v>4.57</c:v>
                </c:pt>
                <c:pt idx="24">
                  <c:v>6.2</c:v>
                </c:pt>
                <c:pt idx="25">
                  <c:v>7.563333333333332</c:v>
                </c:pt>
                <c:pt idx="26">
                  <c:v>8.293333333333335</c:v>
                </c:pt>
                <c:pt idx="27">
                  <c:v>4.086666666666666</c:v>
                </c:pt>
                <c:pt idx="28">
                  <c:v>19.23333333333333</c:v>
                </c:pt>
                <c:pt idx="29">
                  <c:v>3.55</c:v>
                </c:pt>
                <c:pt idx="30">
                  <c:v>12.26666666666667</c:v>
                </c:pt>
                <c:pt idx="31">
                  <c:v>6.943333333333334</c:v>
                </c:pt>
                <c:pt idx="32">
                  <c:v>2.643333333333333</c:v>
                </c:pt>
              </c:numCache>
            </c:numRef>
          </c:yVal>
          <c:smooth val="1"/>
        </c:ser>
        <c:ser>
          <c:idx val="1"/>
          <c:order val="1"/>
          <c:tx>
            <c:strRef>
              <c:f>'Lindsey Hale'!$M$1</c:f>
              <c:strCache>
                <c:ptCount val="1"/>
                <c:pt idx="0">
                  <c:v>Total N (ug/L)</c:v>
                </c:pt>
              </c:strCache>
            </c:strRef>
          </c:tx>
          <c:xVal>
            <c:numRef>
              <c:f>'Lindsey Hale'!$C$2:$C$11</c:f>
              <c:numCache>
                <c:formatCode>m/d/yy</c:formatCode>
                <c:ptCount val="10"/>
                <c:pt idx="0">
                  <c:v>42536.0</c:v>
                </c:pt>
                <c:pt idx="1">
                  <c:v>42550.0</c:v>
                </c:pt>
                <c:pt idx="2">
                  <c:v>42564.0</c:v>
                </c:pt>
                <c:pt idx="3">
                  <c:v>42578.0</c:v>
                </c:pt>
                <c:pt idx="4">
                  <c:v>42592.0</c:v>
                </c:pt>
                <c:pt idx="5">
                  <c:v>42606.0</c:v>
                </c:pt>
                <c:pt idx="6">
                  <c:v>42620.0</c:v>
                </c:pt>
                <c:pt idx="7">
                  <c:v>42634.0</c:v>
                </c:pt>
                <c:pt idx="8">
                  <c:v>42648.0</c:v>
                </c:pt>
                <c:pt idx="9">
                  <c:v>42662.0</c:v>
                </c:pt>
              </c:numCache>
            </c:numRef>
          </c:xVal>
          <c:yVal>
            <c:numRef>
              <c:f>'Lindsey Hale'!$M$2:$M$10</c:f>
              <c:numCache>
                <c:formatCode>0.00</c:formatCode>
                <c:ptCount val="9"/>
                <c:pt idx="0">
                  <c:v>90.04</c:v>
                </c:pt>
                <c:pt idx="1">
                  <c:v>65.04649513431355</c:v>
                </c:pt>
                <c:pt idx="2">
                  <c:v>81.9048201058168</c:v>
                </c:pt>
                <c:pt idx="3">
                  <c:v>85.14496859719614</c:v>
                </c:pt>
                <c:pt idx="4">
                  <c:v>61.8963834951018</c:v>
                </c:pt>
                <c:pt idx="5">
                  <c:v>91.127427115217</c:v>
                </c:pt>
                <c:pt idx="6">
                  <c:v>71.63529664184304</c:v>
                </c:pt>
                <c:pt idx="7">
                  <c:v>108.6017922575715</c:v>
                </c:pt>
                <c:pt idx="8">
                  <c:v>72.91580156345155</c:v>
                </c:pt>
              </c:numCache>
            </c:numRef>
          </c:yVal>
          <c:smooth val="1"/>
        </c:ser>
        <c:axId val="332660328"/>
        <c:axId val="332685144"/>
      </c:scatterChart>
      <c:valAx>
        <c:axId val="332660328"/>
        <c:scaling>
          <c:orientation val="minMax"/>
        </c:scaling>
        <c:axPos val="b"/>
        <c:title>
          <c:tx>
            <c:rich>
              <a:bodyPr/>
              <a:lstStyle/>
              <a:p>
                <a:pPr>
                  <a:defRPr/>
                </a:pPr>
                <a:r>
                  <a:rPr lang="en-US"/>
                  <a:t>Date</a:t>
                </a:r>
              </a:p>
            </c:rich>
          </c:tx>
        </c:title>
        <c:numFmt formatCode="m/d/yy" sourceLinked="1"/>
        <c:tickLblPos val="nextTo"/>
        <c:crossAx val="332685144"/>
        <c:crosses val="autoZero"/>
        <c:crossBetween val="midCat"/>
      </c:valAx>
      <c:valAx>
        <c:axId val="332685144"/>
        <c:scaling>
          <c:orientation val="minMax"/>
          <c:max val="45.0"/>
        </c:scaling>
        <c:axPos val="l"/>
        <c:majorGridlines/>
        <c:title>
          <c:tx>
            <c:rich>
              <a:bodyPr/>
              <a:lstStyle/>
              <a:p>
                <a:pPr>
                  <a:defRPr/>
                </a:pPr>
                <a:r>
                  <a:rPr lang="en-US"/>
                  <a:t>Turbidity (NTU)</a:t>
                </a:r>
              </a:p>
            </c:rich>
          </c:tx>
        </c:title>
        <c:numFmt formatCode="0.00" sourceLinked="1"/>
        <c:tickLblPos val="nextTo"/>
        <c:crossAx val="332660328"/>
        <c:crosses val="autoZero"/>
        <c:crossBetween val="midCat"/>
      </c:valAx>
    </c:plotArea>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Nitrogen Lindsey Hale (PLH) </a:t>
            </a:r>
          </a:p>
        </c:rich>
      </c:tx>
    </c:title>
    <c:plotArea>
      <c:layout/>
      <c:scatterChart>
        <c:scatterStyle val="smoothMarker"/>
        <c:ser>
          <c:idx val="0"/>
          <c:order val="0"/>
          <c:tx>
            <c:strRef>
              <c:f>'Lindsey Hale'!$M$1</c:f>
              <c:strCache>
                <c:ptCount val="1"/>
                <c:pt idx="0">
                  <c:v>Total N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Hale'!$M$2:$M$34</c:f>
              <c:numCache>
                <c:formatCode>0.00</c:formatCode>
                <c:ptCount val="33"/>
                <c:pt idx="0">
                  <c:v>90.04</c:v>
                </c:pt>
                <c:pt idx="1">
                  <c:v>65.04649513431355</c:v>
                </c:pt>
                <c:pt idx="2">
                  <c:v>81.9048201058168</c:v>
                </c:pt>
                <c:pt idx="3">
                  <c:v>85.14496859719614</c:v>
                </c:pt>
                <c:pt idx="4">
                  <c:v>61.8963834951018</c:v>
                </c:pt>
                <c:pt idx="5">
                  <c:v>91.127427115217</c:v>
                </c:pt>
                <c:pt idx="6">
                  <c:v>71.63529664184304</c:v>
                </c:pt>
                <c:pt idx="7">
                  <c:v>108.6017922575715</c:v>
                </c:pt>
                <c:pt idx="8">
                  <c:v>72.91580156345155</c:v>
                </c:pt>
                <c:pt idx="9">
                  <c:v>81.40457302527462</c:v>
                </c:pt>
                <c:pt idx="10">
                  <c:v>90.52581323992598</c:v>
                </c:pt>
                <c:pt idx="11">
                  <c:v>122.6519401769493</c:v>
                </c:pt>
                <c:pt idx="12">
                  <c:v>93.3024340464227</c:v>
                </c:pt>
                <c:pt idx="13">
                  <c:v>97.74288987851854</c:v>
                </c:pt>
                <c:pt idx="14">
                  <c:v>135.1332837914634</c:v>
                </c:pt>
                <c:pt idx="15">
                  <c:v>84.68559366349439</c:v>
                </c:pt>
                <c:pt idx="16">
                  <c:v>94.63256721762509</c:v>
                </c:pt>
                <c:pt idx="17">
                  <c:v>76.9403456080039</c:v>
                </c:pt>
                <c:pt idx="18">
                  <c:v>82.418561409649</c:v>
                </c:pt>
                <c:pt idx="19">
                  <c:v>91.6771709314051</c:v>
                </c:pt>
                <c:pt idx="20">
                  <c:v>67.51717809192665</c:v>
                </c:pt>
                <c:pt idx="21">
                  <c:v>70.1102180283426</c:v>
                </c:pt>
                <c:pt idx="22">
                  <c:v>74.99928372300753</c:v>
                </c:pt>
                <c:pt idx="23">
                  <c:v>69.26055797964515</c:v>
                </c:pt>
                <c:pt idx="24">
                  <c:v>71.38341987713312</c:v>
                </c:pt>
                <c:pt idx="25">
                  <c:v>73.92901406237052</c:v>
                </c:pt>
                <c:pt idx="26">
                  <c:v>54.941636144601</c:v>
                </c:pt>
                <c:pt idx="27">
                  <c:v>126.7919787210026</c:v>
                </c:pt>
                <c:pt idx="28">
                  <c:v>58.708322631162</c:v>
                </c:pt>
                <c:pt idx="29">
                  <c:v>69.6570069954745</c:v>
                </c:pt>
              </c:numCache>
            </c:numRef>
          </c:yVal>
          <c:smooth val="1"/>
        </c:ser>
        <c:ser>
          <c:idx val="1"/>
          <c:order val="1"/>
          <c:tx>
            <c:strRef>
              <c:f>'Lindsey Hale'!$Q$1</c:f>
              <c:strCache>
                <c:ptCount val="1"/>
                <c:pt idx="0">
                  <c:v>NNN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Hale'!$Q$2:$Q$34</c:f>
              <c:numCache>
                <c:formatCode>0.00</c:formatCode>
                <c:ptCount val="33"/>
                <c:pt idx="0">
                  <c:v>2.79</c:v>
                </c:pt>
                <c:pt idx="1">
                  <c:v>5.672161461152416</c:v>
                </c:pt>
                <c:pt idx="2">
                  <c:v>8.045118034498078</c:v>
                </c:pt>
                <c:pt idx="3">
                  <c:v>7.682546544226955</c:v>
                </c:pt>
                <c:pt idx="4">
                  <c:v>8.711284742349072</c:v>
                </c:pt>
                <c:pt idx="5">
                  <c:v>28.62313313919933</c:v>
                </c:pt>
                <c:pt idx="6">
                  <c:v>5.968965816674535</c:v>
                </c:pt>
                <c:pt idx="7">
                  <c:v>24.79415627787397</c:v>
                </c:pt>
                <c:pt idx="8">
                  <c:v>9.876335038564455</c:v>
                </c:pt>
                <c:pt idx="9">
                  <c:v>9.233931177496864</c:v>
                </c:pt>
                <c:pt idx="10">
                  <c:v>8.802752456306817</c:v>
                </c:pt>
                <c:pt idx="11">
                  <c:v>12.18555670761548</c:v>
                </c:pt>
                <c:pt idx="12">
                  <c:v>18.07927914310286</c:v>
                </c:pt>
                <c:pt idx="13">
                  <c:v>21.6337782127956</c:v>
                </c:pt>
                <c:pt idx="14">
                  <c:v>10.19248667466557</c:v>
                </c:pt>
                <c:pt idx="15">
                  <c:v>5.21797438882421</c:v>
                </c:pt>
                <c:pt idx="16">
                  <c:v>26.12940205312731</c:v>
                </c:pt>
                <c:pt idx="17">
                  <c:v>13.05852444703143</c:v>
                </c:pt>
                <c:pt idx="18">
                  <c:v>12.08776496948613</c:v>
                </c:pt>
                <c:pt idx="19">
                  <c:v>3.38777913944814</c:v>
                </c:pt>
                <c:pt idx="20">
                  <c:v>7.819392946232422</c:v>
                </c:pt>
                <c:pt idx="21">
                  <c:v>9.626752518193771</c:v>
                </c:pt>
                <c:pt idx="22">
                  <c:v>7.60106576614165</c:v>
                </c:pt>
                <c:pt idx="23">
                  <c:v>12.29916553934683</c:v>
                </c:pt>
                <c:pt idx="24">
                  <c:v>7.148784379994671</c:v>
                </c:pt>
                <c:pt idx="25">
                  <c:v>7.745779585109218</c:v>
                </c:pt>
                <c:pt idx="26">
                  <c:v>3.709253723950917</c:v>
                </c:pt>
                <c:pt idx="27">
                  <c:v>7.59024161778867</c:v>
                </c:pt>
                <c:pt idx="28">
                  <c:v>6.053800140068283</c:v>
                </c:pt>
                <c:pt idx="29">
                  <c:v>5.655049689526133</c:v>
                </c:pt>
              </c:numCache>
            </c:numRef>
          </c:yVal>
          <c:smooth val="1"/>
        </c:ser>
        <c:ser>
          <c:idx val="2"/>
          <c:order val="2"/>
          <c:tx>
            <c:strRef>
              <c:f>'Lindsey Hale'!$R$1</c:f>
              <c:strCache>
                <c:ptCount val="1"/>
                <c:pt idx="0">
                  <c:v>NH4 (ug/L)</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Hale'!$R$2:$R$34</c:f>
              <c:numCache>
                <c:formatCode>0.00</c:formatCode>
                <c:ptCount val="33"/>
                <c:pt idx="0">
                  <c:v>2.89</c:v>
                </c:pt>
                <c:pt idx="1">
                  <c:v>2.236882998077692</c:v>
                </c:pt>
                <c:pt idx="2">
                  <c:v>2.768326973205626</c:v>
                </c:pt>
                <c:pt idx="3">
                  <c:v>6.571779978171143</c:v>
                </c:pt>
                <c:pt idx="4">
                  <c:v>11.89764014133659</c:v>
                </c:pt>
                <c:pt idx="5">
                  <c:v>5.077948240563019</c:v>
                </c:pt>
                <c:pt idx="6">
                  <c:v>2.612092729599255</c:v>
                </c:pt>
                <c:pt idx="7">
                  <c:v>16.64763410690397</c:v>
                </c:pt>
                <c:pt idx="8">
                  <c:v>12.31210113127436</c:v>
                </c:pt>
                <c:pt idx="9">
                  <c:v>11.22615208988535</c:v>
                </c:pt>
                <c:pt idx="10">
                  <c:v>19.56996691971971</c:v>
                </c:pt>
                <c:pt idx="11">
                  <c:v>5.18187746401526</c:v>
                </c:pt>
                <c:pt idx="12">
                  <c:v>4.761772695905273</c:v>
                </c:pt>
                <c:pt idx="13">
                  <c:v>6.231971710561894</c:v>
                </c:pt>
                <c:pt idx="14">
                  <c:v>2.97860379943986</c:v>
                </c:pt>
                <c:pt idx="15">
                  <c:v>6.005791507491439</c:v>
                </c:pt>
                <c:pt idx="16">
                  <c:v>7.811776062740428</c:v>
                </c:pt>
                <c:pt idx="17">
                  <c:v>6.650078972144292</c:v>
                </c:pt>
                <c:pt idx="18">
                  <c:v>11.42964372394884</c:v>
                </c:pt>
                <c:pt idx="19">
                  <c:v>2.7444346068471</c:v>
                </c:pt>
                <c:pt idx="20">
                  <c:v>2.563583331144988</c:v>
                </c:pt>
                <c:pt idx="21">
                  <c:v>5.910742018516906</c:v>
                </c:pt>
                <c:pt idx="22">
                  <c:v>3.983476261379888</c:v>
                </c:pt>
                <c:pt idx="23">
                  <c:v>3.233327797134005</c:v>
                </c:pt>
                <c:pt idx="24">
                  <c:v>1.937618062554169</c:v>
                </c:pt>
                <c:pt idx="25">
                  <c:v>3.952226855333293</c:v>
                </c:pt>
                <c:pt idx="26">
                  <c:v>2.661935482382147</c:v>
                </c:pt>
                <c:pt idx="27">
                  <c:v>11.58644776442221</c:v>
                </c:pt>
                <c:pt idx="28">
                  <c:v>4.701015957255063</c:v>
                </c:pt>
                <c:pt idx="29">
                  <c:v>7.50565115767803</c:v>
                </c:pt>
              </c:numCache>
            </c:numRef>
          </c:yVal>
          <c:smooth val="1"/>
        </c:ser>
        <c:axId val="332731336"/>
        <c:axId val="332734472"/>
      </c:scatterChart>
      <c:valAx>
        <c:axId val="332731336"/>
        <c:scaling>
          <c:orientation val="minMax"/>
        </c:scaling>
        <c:axPos val="b"/>
        <c:numFmt formatCode="m/d/yy" sourceLinked="1"/>
        <c:tickLblPos val="nextTo"/>
        <c:crossAx val="332734472"/>
        <c:crosses val="autoZero"/>
        <c:crossBetween val="midCat"/>
      </c:valAx>
      <c:valAx>
        <c:axId val="332734472"/>
        <c:scaling>
          <c:orientation val="minMax"/>
        </c:scaling>
        <c:axPos val="l"/>
        <c:majorGridlines/>
        <c:numFmt formatCode="0.00" sourceLinked="1"/>
        <c:tickLblPos val="nextTo"/>
        <c:crossAx val="332731336"/>
        <c:crosses val="autoZero"/>
        <c:crossBetween val="midCat"/>
      </c:valAx>
    </c:plotArea>
    <c:legend>
      <c:legendPos val="t"/>
    </c:legend>
    <c:plotVisOnly val="1"/>
  </c:chart>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Lindsey Hale (PLH)</a:t>
            </a:r>
          </a:p>
        </c:rich>
      </c:tx>
    </c:title>
    <c:plotArea>
      <c:layout/>
      <c:scatterChart>
        <c:scatterStyle val="smoothMarker"/>
        <c:ser>
          <c:idx val="0"/>
          <c:order val="0"/>
          <c:tx>
            <c:strRef>
              <c:f>'Lindsey Hale'!$K$1</c:f>
              <c:strCache>
                <c:ptCount val="1"/>
                <c:pt idx="0">
                  <c:v>pH</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Hale'!$K$2:$K$34</c:f>
              <c:numCache>
                <c:formatCode>0.00</c:formatCode>
                <c:ptCount val="33"/>
                <c:pt idx="0">
                  <c:v>7.99</c:v>
                </c:pt>
                <c:pt idx="1">
                  <c:v>8.04</c:v>
                </c:pt>
                <c:pt idx="2">
                  <c:v>8.01</c:v>
                </c:pt>
                <c:pt idx="3">
                  <c:v>8.02</c:v>
                </c:pt>
                <c:pt idx="4">
                  <c:v>8.02</c:v>
                </c:pt>
                <c:pt idx="5">
                  <c:v>8.01</c:v>
                </c:pt>
                <c:pt idx="6">
                  <c:v>7.96</c:v>
                </c:pt>
                <c:pt idx="7">
                  <c:v>8.03</c:v>
                </c:pt>
                <c:pt idx="8">
                  <c:v>7.89</c:v>
                </c:pt>
                <c:pt idx="9">
                  <c:v>8.03</c:v>
                </c:pt>
                <c:pt idx="10">
                  <c:v>8.02</c:v>
                </c:pt>
                <c:pt idx="11">
                  <c:v>7.98</c:v>
                </c:pt>
                <c:pt idx="12">
                  <c:v>8.01</c:v>
                </c:pt>
                <c:pt idx="13">
                  <c:v>7.96</c:v>
                </c:pt>
                <c:pt idx="14">
                  <c:v>8.07</c:v>
                </c:pt>
                <c:pt idx="15">
                  <c:v>7.96</c:v>
                </c:pt>
                <c:pt idx="16">
                  <c:v>8.07</c:v>
                </c:pt>
                <c:pt idx="17">
                  <c:v>8.1</c:v>
                </c:pt>
                <c:pt idx="18">
                  <c:v>8.06</c:v>
                </c:pt>
                <c:pt idx="19">
                  <c:v>8.11</c:v>
                </c:pt>
                <c:pt idx="20">
                  <c:v>8.140000000000001</c:v>
                </c:pt>
                <c:pt idx="21">
                  <c:v>8.06</c:v>
                </c:pt>
                <c:pt idx="22">
                  <c:v>8.08</c:v>
                </c:pt>
                <c:pt idx="23">
                  <c:v>8.06</c:v>
                </c:pt>
                <c:pt idx="24">
                  <c:v>8.06</c:v>
                </c:pt>
                <c:pt idx="25">
                  <c:v>8.08</c:v>
                </c:pt>
                <c:pt idx="26">
                  <c:v>8.11</c:v>
                </c:pt>
                <c:pt idx="27">
                  <c:v>8.03</c:v>
                </c:pt>
                <c:pt idx="28">
                  <c:v>8.07</c:v>
                </c:pt>
                <c:pt idx="29">
                  <c:v>8.11</c:v>
                </c:pt>
                <c:pt idx="30">
                  <c:v>8.15</c:v>
                </c:pt>
                <c:pt idx="31">
                  <c:v>8.140000000000001</c:v>
                </c:pt>
                <c:pt idx="32">
                  <c:v>8.07</c:v>
                </c:pt>
              </c:numCache>
            </c:numRef>
          </c:yVal>
          <c:smooth val="1"/>
        </c:ser>
        <c:axId val="332768280"/>
        <c:axId val="332771384"/>
      </c:scatterChart>
      <c:valAx>
        <c:axId val="332768280"/>
        <c:scaling>
          <c:orientation val="minMax"/>
        </c:scaling>
        <c:axPos val="b"/>
        <c:numFmt formatCode="m/d/yy" sourceLinked="1"/>
        <c:tickLblPos val="nextTo"/>
        <c:crossAx val="332771384"/>
        <c:crosses val="autoZero"/>
        <c:crossBetween val="midCat"/>
      </c:valAx>
      <c:valAx>
        <c:axId val="332771384"/>
        <c:scaling>
          <c:orientation val="minMax"/>
          <c:max val="8.3"/>
          <c:min val="7.7"/>
        </c:scaling>
        <c:axPos val="l"/>
        <c:majorGridlines/>
        <c:numFmt formatCode="0.00" sourceLinked="1"/>
        <c:tickLblPos val="nextTo"/>
        <c:crossAx val="332768280"/>
        <c:crosses val="autoZero"/>
        <c:crossBetween val="midCat"/>
      </c:valAx>
    </c:plotArea>
    <c:plotVisOnly val="1"/>
  </c:chart>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Lindsey Hale (PLH)</a:t>
            </a:r>
          </a:p>
        </c:rich>
      </c:tx>
    </c:title>
    <c:plotArea>
      <c:layout/>
      <c:scatterChart>
        <c:scatterStyle val="smoothMarker"/>
        <c:ser>
          <c:idx val="0"/>
          <c:order val="0"/>
          <c:tx>
            <c:strRef>
              <c:f>'Lindsey Hale'!$G$1</c:f>
              <c:strCache>
                <c:ptCount val="1"/>
                <c:pt idx="0">
                  <c:v>Temp (degrees C)</c:v>
                </c:pt>
              </c:strCache>
            </c:strRef>
          </c:tx>
          <c:xVal>
            <c:numRef>
              <c:f>'Lindsey Hale'!$C$2:$C$34</c:f>
              <c:numCache>
                <c:formatCode>m/d/yy</c:formatCode>
                <c:ptCount val="33"/>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pt idx="21">
                  <c:v>42886.0</c:v>
                </c:pt>
                <c:pt idx="22">
                  <c:v>42907.0</c:v>
                </c:pt>
                <c:pt idx="23">
                  <c:v>42928.0</c:v>
                </c:pt>
                <c:pt idx="24">
                  <c:v>42949.0</c:v>
                </c:pt>
                <c:pt idx="25">
                  <c:v>42970.0</c:v>
                </c:pt>
                <c:pt idx="26">
                  <c:v>42991.0</c:v>
                </c:pt>
                <c:pt idx="27">
                  <c:v>43012.0</c:v>
                </c:pt>
                <c:pt idx="28">
                  <c:v>43033.0</c:v>
                </c:pt>
                <c:pt idx="29">
                  <c:v>43054.0</c:v>
                </c:pt>
                <c:pt idx="30">
                  <c:v>43075.0</c:v>
                </c:pt>
                <c:pt idx="31">
                  <c:v>43089.0</c:v>
                </c:pt>
                <c:pt idx="32">
                  <c:v>43110.0</c:v>
                </c:pt>
              </c:numCache>
            </c:numRef>
          </c:xVal>
          <c:yVal>
            <c:numRef>
              <c:f>'Lindsey Hale'!$G$2:$G$34</c:f>
              <c:numCache>
                <c:formatCode>0.0</c:formatCode>
                <c:ptCount val="33"/>
                <c:pt idx="0">
                  <c:v>26.8</c:v>
                </c:pt>
                <c:pt idx="1">
                  <c:v>27.2</c:v>
                </c:pt>
                <c:pt idx="2">
                  <c:v>27.0</c:v>
                </c:pt>
                <c:pt idx="3">
                  <c:v>27.4</c:v>
                </c:pt>
                <c:pt idx="4">
                  <c:v>27.3</c:v>
                </c:pt>
                <c:pt idx="5">
                  <c:v>28.4</c:v>
                </c:pt>
                <c:pt idx="6">
                  <c:v>27.5</c:v>
                </c:pt>
                <c:pt idx="7">
                  <c:v>27.1</c:v>
                </c:pt>
                <c:pt idx="8">
                  <c:v>27.8</c:v>
                </c:pt>
                <c:pt idx="9">
                  <c:v>27.2</c:v>
                </c:pt>
                <c:pt idx="10">
                  <c:v>26.2</c:v>
                </c:pt>
                <c:pt idx="11">
                  <c:v>26.4</c:v>
                </c:pt>
                <c:pt idx="12">
                  <c:v>25.0</c:v>
                </c:pt>
                <c:pt idx="13">
                  <c:v>23.7</c:v>
                </c:pt>
                <c:pt idx="14">
                  <c:v>23.3</c:v>
                </c:pt>
                <c:pt idx="15">
                  <c:v>23.8</c:v>
                </c:pt>
                <c:pt idx="16">
                  <c:v>24.9</c:v>
                </c:pt>
                <c:pt idx="17">
                  <c:v>24.6</c:v>
                </c:pt>
                <c:pt idx="18">
                  <c:v>26.0</c:v>
                </c:pt>
                <c:pt idx="19">
                  <c:v>25.9</c:v>
                </c:pt>
                <c:pt idx="20">
                  <c:v>25.8</c:v>
                </c:pt>
                <c:pt idx="21">
                  <c:v>26.5</c:v>
                </c:pt>
                <c:pt idx="22">
                  <c:v>26.7</c:v>
                </c:pt>
                <c:pt idx="23">
                  <c:v>27.1</c:v>
                </c:pt>
                <c:pt idx="24">
                  <c:v>27.4</c:v>
                </c:pt>
                <c:pt idx="25">
                  <c:v>27.2</c:v>
                </c:pt>
                <c:pt idx="26">
                  <c:v>27.9</c:v>
                </c:pt>
                <c:pt idx="27">
                  <c:v>27.8</c:v>
                </c:pt>
                <c:pt idx="28">
                  <c:v>26.7</c:v>
                </c:pt>
                <c:pt idx="29">
                  <c:v>26.0</c:v>
                </c:pt>
                <c:pt idx="30">
                  <c:v>23.8</c:v>
                </c:pt>
                <c:pt idx="31">
                  <c:v>24.1</c:v>
                </c:pt>
                <c:pt idx="32">
                  <c:v>24.0</c:v>
                </c:pt>
              </c:numCache>
            </c:numRef>
          </c:yVal>
          <c:smooth val="1"/>
        </c:ser>
        <c:axId val="332806504"/>
        <c:axId val="332799448"/>
      </c:scatterChart>
      <c:valAx>
        <c:axId val="332806504"/>
        <c:scaling>
          <c:orientation val="minMax"/>
        </c:scaling>
        <c:axPos val="b"/>
        <c:numFmt formatCode="m/d/yy" sourceLinked="1"/>
        <c:tickLblPos val="nextTo"/>
        <c:crossAx val="332799448"/>
        <c:crosses val="autoZero"/>
        <c:crossBetween val="midCat"/>
      </c:valAx>
      <c:valAx>
        <c:axId val="332799448"/>
        <c:scaling>
          <c:orientation val="minMax"/>
          <c:max val="29.0"/>
          <c:min val="22.0"/>
        </c:scaling>
        <c:axPos val="l"/>
        <c:majorGridlines/>
        <c:title>
          <c:tx>
            <c:rich>
              <a:bodyPr/>
              <a:lstStyle/>
              <a:p>
                <a:pPr>
                  <a:defRPr/>
                </a:pPr>
                <a:r>
                  <a:rPr lang="en-US"/>
                  <a:t>Temperature (C)</a:t>
                </a:r>
              </a:p>
            </c:rich>
          </c:tx>
        </c:title>
        <c:numFmt formatCode="0.0" sourceLinked="1"/>
        <c:tickLblPos val="nextTo"/>
        <c:crossAx val="332806504"/>
        <c:crosses val="autoZero"/>
        <c:crossBetween val="midCat"/>
      </c:valAx>
    </c:plotArea>
    <c:plotVisOnly val="1"/>
  </c:chart>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plotArea>
      <c:layout/>
      <c:scatterChart>
        <c:scatterStyle val="smoothMarker"/>
        <c:ser>
          <c:idx val="0"/>
          <c:order val="0"/>
          <c:tx>
            <c:strRef>
              <c:f>'Lindsey Hale'!$F$1</c:f>
              <c:strCache>
                <c:ptCount val="1"/>
                <c:pt idx="0">
                  <c:v>Tide spd</c:v>
                </c:pt>
              </c:strCache>
            </c:strRef>
          </c:tx>
          <c:xVal>
            <c:numRef>
              <c:f>'Lindsey Hale'!$C$2:$C$22</c:f>
              <c:numCache>
                <c:formatCode>m/d/yy</c:formatCode>
                <c:ptCount val="21"/>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numCache>
            </c:numRef>
          </c:xVal>
          <c:yVal>
            <c:numRef>
              <c:f>'Lindsey Hale'!$F$2:$F$22</c:f>
            </c:numRef>
          </c:yVal>
          <c:smooth val="1"/>
        </c:ser>
        <c:axId val="332857496"/>
        <c:axId val="332860568"/>
      </c:scatterChart>
      <c:scatterChart>
        <c:scatterStyle val="smoothMarker"/>
        <c:ser>
          <c:idx val="1"/>
          <c:order val="1"/>
          <c:tx>
            <c:strRef>
              <c:f>'Lindsey Hale'!$L$1</c:f>
              <c:strCache>
                <c:ptCount val="1"/>
                <c:pt idx="0">
                  <c:v>Turbidity (NTU)</c:v>
                </c:pt>
              </c:strCache>
            </c:strRef>
          </c:tx>
          <c:xVal>
            <c:numRef>
              <c:f>'Lindsey Hale'!$C$2:$C$22</c:f>
              <c:numCache>
                <c:formatCode>m/d/yy</c:formatCode>
                <c:ptCount val="21"/>
                <c:pt idx="0">
                  <c:v>42536.0</c:v>
                </c:pt>
                <c:pt idx="1">
                  <c:v>42550.0</c:v>
                </c:pt>
                <c:pt idx="2">
                  <c:v>42564.0</c:v>
                </c:pt>
                <c:pt idx="3">
                  <c:v>42578.0</c:v>
                </c:pt>
                <c:pt idx="4">
                  <c:v>42592.0</c:v>
                </c:pt>
                <c:pt idx="5">
                  <c:v>42606.0</c:v>
                </c:pt>
                <c:pt idx="6">
                  <c:v>42620.0</c:v>
                </c:pt>
                <c:pt idx="7">
                  <c:v>42634.0</c:v>
                </c:pt>
                <c:pt idx="8">
                  <c:v>42648.0</c:v>
                </c:pt>
                <c:pt idx="9">
                  <c:v>42662.0</c:v>
                </c:pt>
                <c:pt idx="10">
                  <c:v>42676.0</c:v>
                </c:pt>
                <c:pt idx="11">
                  <c:v>42690.0</c:v>
                </c:pt>
                <c:pt idx="12">
                  <c:v>42704.0</c:v>
                </c:pt>
                <c:pt idx="13">
                  <c:v>42718.0</c:v>
                </c:pt>
                <c:pt idx="14">
                  <c:v>42739.0</c:v>
                </c:pt>
                <c:pt idx="15">
                  <c:v>42760.0</c:v>
                </c:pt>
                <c:pt idx="16">
                  <c:v>42781.0</c:v>
                </c:pt>
                <c:pt idx="17">
                  <c:v>42802.0</c:v>
                </c:pt>
                <c:pt idx="18">
                  <c:v>42823.0</c:v>
                </c:pt>
                <c:pt idx="19">
                  <c:v>42844.0</c:v>
                </c:pt>
                <c:pt idx="20">
                  <c:v>42865.0</c:v>
                </c:pt>
              </c:numCache>
            </c:numRef>
          </c:xVal>
          <c:yVal>
            <c:numRef>
              <c:f>'Lindsey Hale'!$L$2:$L$22</c:f>
              <c:numCache>
                <c:formatCode>0.00</c:formatCode>
                <c:ptCount val="21"/>
                <c:pt idx="0">
                  <c:v>2.8</c:v>
                </c:pt>
                <c:pt idx="1">
                  <c:v>3.43</c:v>
                </c:pt>
                <c:pt idx="2">
                  <c:v>2.01</c:v>
                </c:pt>
                <c:pt idx="3">
                  <c:v>8.046666666666666</c:v>
                </c:pt>
                <c:pt idx="4">
                  <c:v>5.503333333333332</c:v>
                </c:pt>
                <c:pt idx="5">
                  <c:v>25.4</c:v>
                </c:pt>
                <c:pt idx="6">
                  <c:v>6.769999999999999</c:v>
                </c:pt>
                <c:pt idx="7">
                  <c:v>40.1</c:v>
                </c:pt>
                <c:pt idx="8">
                  <c:v>14.73333333333333</c:v>
                </c:pt>
                <c:pt idx="9">
                  <c:v>40.7</c:v>
                </c:pt>
                <c:pt idx="10">
                  <c:v>12.7</c:v>
                </c:pt>
                <c:pt idx="11">
                  <c:v>14.03333333333333</c:v>
                </c:pt>
                <c:pt idx="12">
                  <c:v>9.443333333333333</c:v>
                </c:pt>
                <c:pt idx="13">
                  <c:v>14.26666666666667</c:v>
                </c:pt>
                <c:pt idx="14">
                  <c:v>8.916666666666666</c:v>
                </c:pt>
                <c:pt idx="15">
                  <c:v>3.526666666666667</c:v>
                </c:pt>
                <c:pt idx="16">
                  <c:v>10.7</c:v>
                </c:pt>
                <c:pt idx="17">
                  <c:v>7.562</c:v>
                </c:pt>
                <c:pt idx="18">
                  <c:v>7.187500000000001</c:v>
                </c:pt>
                <c:pt idx="19">
                  <c:v>9.15</c:v>
                </c:pt>
                <c:pt idx="20">
                  <c:v>1.996666666666667</c:v>
                </c:pt>
              </c:numCache>
            </c:numRef>
          </c:yVal>
          <c:smooth val="1"/>
        </c:ser>
        <c:axId val="332866984"/>
        <c:axId val="332863688"/>
      </c:scatterChart>
      <c:valAx>
        <c:axId val="332857496"/>
        <c:scaling>
          <c:orientation val="minMax"/>
        </c:scaling>
        <c:axPos val="b"/>
        <c:numFmt formatCode="m/d/yy" sourceLinked="1"/>
        <c:tickLblPos val="nextTo"/>
        <c:crossAx val="332860568"/>
        <c:crosses val="autoZero"/>
        <c:crossBetween val="midCat"/>
      </c:valAx>
      <c:valAx>
        <c:axId val="332860568"/>
        <c:scaling>
          <c:orientation val="minMax"/>
        </c:scaling>
        <c:axPos val="l"/>
        <c:majorGridlines/>
        <c:numFmt formatCode="0.00" sourceLinked="1"/>
        <c:tickLblPos val="nextTo"/>
        <c:crossAx val="332857496"/>
        <c:crosses val="autoZero"/>
        <c:crossBetween val="midCat"/>
      </c:valAx>
      <c:valAx>
        <c:axId val="332863688"/>
        <c:scaling>
          <c:orientation val="minMax"/>
        </c:scaling>
        <c:axPos val="r"/>
        <c:numFmt formatCode="0.00" sourceLinked="1"/>
        <c:tickLblPos val="nextTo"/>
        <c:crossAx val="332866984"/>
        <c:crosses val="max"/>
        <c:crossBetween val="midCat"/>
      </c:valAx>
      <c:valAx>
        <c:axId val="332866984"/>
        <c:scaling>
          <c:orientation val="minMax"/>
        </c:scaling>
        <c:delete val="1"/>
        <c:axPos val="b"/>
        <c:numFmt formatCode="m/d/yy" sourceLinked="1"/>
        <c:tickLblPos val="nextTo"/>
        <c:crossAx val="332863688"/>
        <c:crosses val="autoZero"/>
        <c:crossBetween val="midCat"/>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chart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zoomScale="93" workbookViewId="0" zoomToFit="1"/>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13.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14.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15.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6.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7.xml><?xml version="1.0" encoding="utf-8"?>
<chartsheet xmlns="http://schemas.openxmlformats.org/spreadsheetml/2006/main" xmlns:r="http://schemas.openxmlformats.org/officeDocument/2006/relationships">
  <sheetPr/>
  <sheetViews>
    <sheetView zoomScale="93" workbookViewId="0" zoomToFit="1"/>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19.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20.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1.xml><?xml version="1.0" encoding="utf-8"?>
<chartsheet xmlns="http://schemas.openxmlformats.org/spreadsheetml/2006/main" xmlns:r="http://schemas.openxmlformats.org/officeDocument/2006/relationships">
  <sheetPr/>
  <sheetViews>
    <sheetView tabSelected="1" zoomScale="93" workbookViewId="0" zoomToFit="1"/>
  </sheetViews>
  <pageMargins left="0.75" right="0.75" top="1" bottom="1" header="0.5" footer="0.5"/>
  <drawing r:id="rId1"/>
</chartsheet>
</file>

<file path=xl/chartsheets/sheet22.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23.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4.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5.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6.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7.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2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workbookViewId="0" zoomToFit="1"/>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zoomScale="132" workbookViewId="0" zoomToFit="1"/>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1" y="0"/>
    <xdr:ext cx="7402716" cy="502920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1"/>
    <xdr:ext cx="7263864" cy="493776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62258" cy="581741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twoCellAnchor>
    <xdr:from>
      <xdr:col>0</xdr:col>
      <xdr:colOff>1003300</xdr:colOff>
      <xdr:row>67</xdr:row>
      <xdr:rowOff>190500</xdr:rowOff>
    </xdr:from>
    <xdr:to>
      <xdr:col>8</xdr:col>
      <xdr:colOff>622300</xdr:colOff>
      <xdr:row>95</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2121" cy="583045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9" activePane="bottomRight" state="frozen"/>
      <selection pane="topRight" activeCell="D1" sqref="D1"/>
      <selection pane="bottomLeft" activeCell="A2" sqref="A2"/>
      <selection pane="bottomRight" activeCell="A36" sqref="A36:XFD36"/>
    </sheetView>
  </sheetViews>
  <sheetFormatPr baseColWidth="10" defaultRowHeight="16"/>
  <cols>
    <col min="1" max="1" width="16.42578125" style="34" customWidth="1"/>
    <col min="2" max="2" width="10.7109375" style="3"/>
    <col min="3" max="4" width="10.7109375" style="1"/>
    <col min="5" max="5" width="13.140625" style="6" customWidth="1"/>
    <col min="6" max="6" width="10.7109375" style="6"/>
    <col min="7" max="7" width="10.7109375" style="7"/>
    <col min="8" max="8" width="10.7109375" style="6"/>
    <col min="9" max="10" width="10.7109375" style="7"/>
    <col min="11" max="11" width="10.7109375" style="11"/>
    <col min="12" max="12" width="10.7109375" style="41"/>
    <col min="13" max="13" width="12.140625" style="41" customWidth="1"/>
    <col min="14" max="14" width="10.7109375" style="41"/>
    <col min="15" max="16" width="10.7109375" style="11"/>
    <col min="17" max="17" width="12.42578125" style="27" customWidth="1"/>
    <col min="18" max="18" width="12.28515625" style="30" customWidth="1"/>
    <col min="19" max="19" width="51.42578125" style="10" customWidth="1"/>
    <col min="20" max="16384" width="10.7109375" style="1"/>
  </cols>
  <sheetData>
    <row r="1" spans="1:19" s="2" customFormat="1" ht="32">
      <c r="A1" s="33" t="s">
        <v>1</v>
      </c>
      <c r="B1" s="2" t="s">
        <v>2</v>
      </c>
      <c r="C1" s="2" t="s">
        <v>3</v>
      </c>
      <c r="D1" s="2" t="s">
        <v>100</v>
      </c>
      <c r="E1" s="12" t="s">
        <v>101</v>
      </c>
      <c r="F1" s="12" t="s">
        <v>102</v>
      </c>
      <c r="G1" s="19" t="s">
        <v>4</v>
      </c>
      <c r="H1" s="12" t="s">
        <v>33</v>
      </c>
      <c r="I1" s="19" t="s">
        <v>43</v>
      </c>
      <c r="J1" s="19" t="s">
        <v>81</v>
      </c>
      <c r="K1" s="2" t="s">
        <v>25</v>
      </c>
      <c r="L1" s="2" t="s">
        <v>108</v>
      </c>
      <c r="M1" s="2" t="s">
        <v>46</v>
      </c>
      <c r="N1" s="2" t="s">
        <v>50</v>
      </c>
      <c r="O1" s="2" t="s">
        <v>106</v>
      </c>
      <c r="P1" s="2" t="s">
        <v>44</v>
      </c>
      <c r="Q1" s="26" t="s">
        <v>51</v>
      </c>
      <c r="R1" s="28" t="s">
        <v>52</v>
      </c>
      <c r="S1" s="2" t="s">
        <v>53</v>
      </c>
    </row>
    <row r="2" spans="1:19" ht="32">
      <c r="A2" s="34" t="s">
        <v>12</v>
      </c>
      <c r="B2" s="3" t="s">
        <v>69</v>
      </c>
      <c r="C2" s="4">
        <v>42536</v>
      </c>
      <c r="D2" s="5">
        <v>0.31736111111111115</v>
      </c>
      <c r="E2" s="6">
        <v>26.7</v>
      </c>
      <c r="F2" s="6">
        <v>27.8</v>
      </c>
      <c r="G2" s="7">
        <v>6.27</v>
      </c>
      <c r="H2" s="6">
        <v>94.7</v>
      </c>
      <c r="I2" s="7">
        <v>8.0500000000000007</v>
      </c>
      <c r="J2" s="7">
        <v>2.89</v>
      </c>
      <c r="K2" s="11">
        <v>65.900000000000006</v>
      </c>
      <c r="L2" s="41">
        <v>17.64</v>
      </c>
      <c r="M2" s="41">
        <v>7.82</v>
      </c>
      <c r="N2" s="41">
        <v>461.59</v>
      </c>
      <c r="O2" s="11">
        <v>2.7</v>
      </c>
      <c r="P2" s="11">
        <v>1.84</v>
      </c>
      <c r="Q2" s="27">
        <v>1</v>
      </c>
      <c r="R2" s="30" t="s">
        <v>118</v>
      </c>
      <c r="S2" s="10" t="s">
        <v>10</v>
      </c>
    </row>
    <row r="3" spans="1:19" ht="32">
      <c r="A3" s="34" t="s">
        <v>74</v>
      </c>
      <c r="B3" s="3" t="s">
        <v>69</v>
      </c>
      <c r="C3" s="4">
        <v>42550</v>
      </c>
      <c r="D3" s="5">
        <v>0.3215277777777778</v>
      </c>
      <c r="E3" s="6">
        <v>27</v>
      </c>
      <c r="F3" s="6">
        <v>30.1</v>
      </c>
      <c r="G3" s="7">
        <v>6.34</v>
      </c>
      <c r="H3" s="6">
        <v>96.5</v>
      </c>
      <c r="I3" s="7">
        <v>7.98</v>
      </c>
      <c r="J3" s="7">
        <v>1.65</v>
      </c>
      <c r="K3" s="11">
        <v>63.47</v>
      </c>
      <c r="L3" s="41">
        <v>15.83</v>
      </c>
      <c r="M3" s="41">
        <v>6.8</v>
      </c>
      <c r="N3" s="41">
        <v>317.31</v>
      </c>
      <c r="O3" s="11">
        <v>2.06</v>
      </c>
      <c r="P3" s="11">
        <v>2.91</v>
      </c>
      <c r="Q3" s="27">
        <v>1</v>
      </c>
      <c r="R3" s="30" t="s">
        <v>118</v>
      </c>
      <c r="S3" s="10" t="s">
        <v>103</v>
      </c>
    </row>
    <row r="4" spans="1:19" ht="32">
      <c r="A4" s="34" t="s">
        <v>66</v>
      </c>
      <c r="B4" s="3" t="s">
        <v>69</v>
      </c>
      <c r="C4" s="4">
        <v>42564</v>
      </c>
      <c r="D4" s="5">
        <v>0.31597222222222221</v>
      </c>
      <c r="E4" s="6">
        <v>26.9</v>
      </c>
      <c r="F4" s="6">
        <v>36.200000000000003</v>
      </c>
      <c r="G4" s="7">
        <v>5.9</v>
      </c>
      <c r="H4" s="6">
        <v>90.6</v>
      </c>
      <c r="I4" s="7">
        <v>8.0399999999999991</v>
      </c>
      <c r="J4" s="7">
        <v>2.64</v>
      </c>
      <c r="K4" s="18">
        <v>69.407944907853306</v>
      </c>
      <c r="L4" s="41">
        <v>17.377439891968521</v>
      </c>
      <c r="M4" s="41">
        <v>8.4315054721126526</v>
      </c>
      <c r="N4" s="41">
        <v>405.39757765013468</v>
      </c>
      <c r="O4" s="18">
        <v>3.0993883686523831</v>
      </c>
      <c r="P4" s="24">
        <v>1.5</v>
      </c>
      <c r="Q4" s="27">
        <v>1</v>
      </c>
      <c r="R4" s="30" t="s">
        <v>118</v>
      </c>
      <c r="S4" s="10" t="s">
        <v>105</v>
      </c>
    </row>
    <row r="5" spans="1:19" ht="32">
      <c r="A5" s="34" t="s">
        <v>66</v>
      </c>
      <c r="B5" s="3" t="s">
        <v>69</v>
      </c>
      <c r="C5" s="4">
        <v>42578</v>
      </c>
      <c r="D5" s="5">
        <v>0.31111111111111112</v>
      </c>
      <c r="E5" s="6">
        <v>27.4</v>
      </c>
      <c r="F5" s="6">
        <v>34.700000000000003</v>
      </c>
      <c r="G5" s="7">
        <v>5.9</v>
      </c>
      <c r="H5" s="6">
        <v>90.2</v>
      </c>
      <c r="I5" s="7">
        <v>8.0399999999999991</v>
      </c>
      <c r="J5" s="7">
        <f>AVERAGE(2.84,2.53,2.44,8.24,6.34,7.64)</f>
        <v>5.0049999999999999</v>
      </c>
      <c r="K5" s="18">
        <v>71.181334724170469</v>
      </c>
      <c r="L5" s="41">
        <v>13.838378276428772</v>
      </c>
      <c r="M5" s="41">
        <v>9.2134660740962744</v>
      </c>
      <c r="N5" s="41">
        <v>483.78108949138925</v>
      </c>
      <c r="O5" s="18">
        <v>3.0763460078356681</v>
      </c>
      <c r="P5" s="35">
        <v>9.4777617310899842</v>
      </c>
      <c r="Q5" s="27">
        <v>1</v>
      </c>
      <c r="R5" s="30" t="s">
        <v>117</v>
      </c>
      <c r="S5" s="10" t="s">
        <v>58</v>
      </c>
    </row>
    <row r="6" spans="1:19" ht="32">
      <c r="A6" s="34" t="s">
        <v>74</v>
      </c>
      <c r="B6" s="3" t="s">
        <v>69</v>
      </c>
      <c r="C6" s="4">
        <v>42592</v>
      </c>
      <c r="D6" s="5">
        <v>0.30972222222222223</v>
      </c>
      <c r="E6" s="6">
        <v>27</v>
      </c>
      <c r="F6" s="6">
        <v>34.6</v>
      </c>
      <c r="G6" s="7">
        <v>5.87</v>
      </c>
      <c r="H6" s="6">
        <v>89</v>
      </c>
      <c r="I6" s="7">
        <v>8.06</v>
      </c>
      <c r="J6" s="7">
        <f>AVERAGE(0.97,0.82,1.09)</f>
        <v>0.96</v>
      </c>
      <c r="K6" s="11">
        <v>50.940269378357641</v>
      </c>
      <c r="L6" s="41">
        <v>13.33152760834083</v>
      </c>
      <c r="M6" s="41">
        <v>6.1065319367888433</v>
      </c>
      <c r="N6" s="41">
        <v>258.53787447461531</v>
      </c>
      <c r="O6" s="11">
        <v>4.4429696664538021</v>
      </c>
      <c r="P6" s="24">
        <v>1.5</v>
      </c>
      <c r="Q6" s="27">
        <v>1</v>
      </c>
      <c r="R6" s="30" t="s">
        <v>117</v>
      </c>
      <c r="S6" s="10" t="s">
        <v>116</v>
      </c>
    </row>
    <row r="7" spans="1:19" ht="32">
      <c r="A7" s="34" t="s">
        <v>79</v>
      </c>
      <c r="B7" s="3" t="s">
        <v>69</v>
      </c>
      <c r="C7" s="4">
        <v>42606</v>
      </c>
      <c r="D7" s="5">
        <v>0.31388888888888888</v>
      </c>
      <c r="E7" s="6">
        <v>27.9</v>
      </c>
      <c r="F7" s="6">
        <v>35</v>
      </c>
      <c r="G7" s="7">
        <v>6.12</v>
      </c>
      <c r="H7" s="6">
        <v>94.6</v>
      </c>
      <c r="I7" s="7">
        <v>8.0500000000000007</v>
      </c>
      <c r="J7" s="7">
        <f>AVERAGE(5.21,3.98,4.1)</f>
        <v>4.43</v>
      </c>
      <c r="K7" s="11">
        <v>69.417048217036395</v>
      </c>
      <c r="L7" s="41">
        <v>21.921716945932829</v>
      </c>
      <c r="M7" s="41">
        <v>13.306704109870577</v>
      </c>
      <c r="N7" s="41">
        <v>547.85414184789249</v>
      </c>
      <c r="O7" s="11">
        <v>4.3104774384805058</v>
      </c>
      <c r="P7" s="11">
        <v>5.089218146920258</v>
      </c>
      <c r="Q7" s="27">
        <v>1</v>
      </c>
      <c r="R7" s="30" t="s">
        <v>117</v>
      </c>
      <c r="S7" s="10" t="s">
        <v>36</v>
      </c>
    </row>
    <row r="8" spans="1:19" ht="32">
      <c r="A8" s="34" t="s">
        <v>79</v>
      </c>
      <c r="B8" s="3" t="s">
        <v>69</v>
      </c>
      <c r="C8" s="4">
        <v>42620</v>
      </c>
      <c r="D8" s="5">
        <v>0.32500000000000001</v>
      </c>
      <c r="E8" s="6">
        <v>27.1</v>
      </c>
      <c r="F8" s="6">
        <v>34.5</v>
      </c>
      <c r="G8" s="7">
        <v>6.18</v>
      </c>
      <c r="H8" s="6">
        <v>94.1</v>
      </c>
      <c r="I8" s="7">
        <v>8</v>
      </c>
      <c r="J8" s="7">
        <f>AVERAGE(6.86,7,5.54)</f>
        <v>6.4666666666666659</v>
      </c>
      <c r="K8" s="11">
        <v>61.966837764041429</v>
      </c>
      <c r="L8" s="41">
        <v>20.828420121148394</v>
      </c>
      <c r="M8" s="41">
        <v>12.837667748044378</v>
      </c>
      <c r="N8" s="41">
        <v>903.66060973506694</v>
      </c>
      <c r="O8" s="11">
        <v>6.4540185476677667</v>
      </c>
      <c r="P8" s="11">
        <v>2.039581486651544</v>
      </c>
      <c r="Q8" s="27">
        <v>1</v>
      </c>
      <c r="R8" s="30" t="s">
        <v>118</v>
      </c>
      <c r="S8" s="10" t="s">
        <v>86</v>
      </c>
    </row>
    <row r="9" spans="1:19" ht="32">
      <c r="A9" s="34" t="s">
        <v>79</v>
      </c>
      <c r="B9" s="3" t="s">
        <v>69</v>
      </c>
      <c r="C9" s="4">
        <v>42634</v>
      </c>
      <c r="D9" s="5">
        <v>0.30694444444444441</v>
      </c>
      <c r="E9" s="6">
        <v>27</v>
      </c>
      <c r="F9" s="6">
        <v>33.1</v>
      </c>
      <c r="G9" s="7">
        <v>6.31</v>
      </c>
      <c r="H9" s="6">
        <v>94.9</v>
      </c>
      <c r="I9" s="7">
        <v>8.0399999999999991</v>
      </c>
      <c r="J9" s="7">
        <f>AVERAGE(13.1,12.2,11.8)</f>
        <v>12.366666666666665</v>
      </c>
      <c r="K9" s="11">
        <v>79.952111435724575</v>
      </c>
      <c r="L9" s="41">
        <v>24.535960714039827</v>
      </c>
      <c r="M9" s="41">
        <v>15.907134988835161</v>
      </c>
      <c r="N9" s="41">
        <v>1564.7620088323663</v>
      </c>
      <c r="O9" s="35">
        <v>14.279780917152001</v>
      </c>
      <c r="P9" s="11">
        <v>6.9036730704356417</v>
      </c>
      <c r="Q9" s="27">
        <v>2</v>
      </c>
      <c r="R9" s="30" t="s">
        <v>117</v>
      </c>
      <c r="S9" s="10" t="s">
        <v>86</v>
      </c>
    </row>
    <row r="10" spans="1:19" ht="32">
      <c r="A10" s="34" t="s">
        <v>79</v>
      </c>
      <c r="B10" s="3" t="s">
        <v>69</v>
      </c>
      <c r="C10" s="4">
        <v>42648</v>
      </c>
      <c r="D10" s="5">
        <v>0.3444444444444445</v>
      </c>
      <c r="E10" s="6">
        <v>27.6</v>
      </c>
      <c r="F10" s="6">
        <v>35.5</v>
      </c>
      <c r="G10" s="7">
        <v>5.9</v>
      </c>
      <c r="H10" s="6">
        <v>91.3</v>
      </c>
      <c r="I10" s="7">
        <v>7.79</v>
      </c>
      <c r="J10" s="7">
        <f>AVERAGE(3.07,3.4,3.5)</f>
        <v>3.3233333333333328</v>
      </c>
      <c r="K10" s="11">
        <v>78.969097556509951</v>
      </c>
      <c r="L10" s="41">
        <v>12.602663058484538</v>
      </c>
      <c r="M10" s="41">
        <v>8.9052772559379925</v>
      </c>
      <c r="N10" s="41">
        <v>459.09576130420527</v>
      </c>
      <c r="O10" s="11">
        <v>4.1475683141822737</v>
      </c>
      <c r="P10" s="11">
        <v>3.0888097685104401</v>
      </c>
      <c r="Q10" s="27">
        <v>1</v>
      </c>
      <c r="R10" s="30" t="s">
        <v>89</v>
      </c>
      <c r="S10" s="10" t="s">
        <v>86</v>
      </c>
    </row>
    <row r="11" spans="1:19" ht="32">
      <c r="A11" s="34" t="s">
        <v>79</v>
      </c>
      <c r="B11" s="3" t="s">
        <v>69</v>
      </c>
      <c r="C11" s="4">
        <v>42662</v>
      </c>
      <c r="D11" s="5">
        <v>0.34791666666666665</v>
      </c>
      <c r="E11" s="6">
        <v>27.1</v>
      </c>
      <c r="F11" s="6">
        <v>33.5</v>
      </c>
      <c r="G11" s="7">
        <v>6.26</v>
      </c>
      <c r="H11" s="6">
        <v>94.5</v>
      </c>
      <c r="I11" s="7">
        <v>8.09</v>
      </c>
      <c r="J11" s="7">
        <f>AVERAGE(7.16,9.01,8.48)</f>
        <v>8.2166666666666668</v>
      </c>
      <c r="K11" s="11">
        <v>66.810588681832485</v>
      </c>
      <c r="L11" s="41">
        <v>27.851475756747817</v>
      </c>
      <c r="M11" s="41">
        <v>12.491021107410806</v>
      </c>
      <c r="N11" s="41">
        <v>768.81765937023943</v>
      </c>
      <c r="O11" s="11">
        <v>3.5992092528542146</v>
      </c>
      <c r="P11" s="11">
        <v>3.1827934020934325</v>
      </c>
      <c r="Q11" s="27">
        <v>2</v>
      </c>
      <c r="R11" s="30" t="s">
        <v>117</v>
      </c>
      <c r="S11" s="10" t="s">
        <v>86</v>
      </c>
    </row>
    <row r="12" spans="1:19" ht="32">
      <c r="A12" s="34" t="s">
        <v>79</v>
      </c>
      <c r="B12" s="3" t="s">
        <v>69</v>
      </c>
      <c r="C12" s="4">
        <v>42676</v>
      </c>
      <c r="D12" s="5">
        <v>0.34722222222222227</v>
      </c>
      <c r="E12" s="13">
        <v>25.6</v>
      </c>
      <c r="F12" s="13">
        <v>32.799999999999997</v>
      </c>
      <c r="G12" s="18">
        <v>5.88</v>
      </c>
      <c r="H12" s="13">
        <v>86</v>
      </c>
      <c r="I12" s="18">
        <v>7.99</v>
      </c>
      <c r="J12" s="18">
        <f>AVERAGE(4.42,6.53,5.97)</f>
        <v>5.64</v>
      </c>
      <c r="K12" s="18">
        <v>73.984735867497648</v>
      </c>
      <c r="L12" s="41">
        <v>25.032887301090664</v>
      </c>
      <c r="M12" s="41">
        <v>14.661736627583057</v>
      </c>
      <c r="N12" s="41">
        <v>1383.1287204937607</v>
      </c>
      <c r="O12" s="18">
        <v>4.8535473508616223</v>
      </c>
      <c r="P12" s="18">
        <v>3.1827934020934325</v>
      </c>
      <c r="Q12" s="29">
        <v>2</v>
      </c>
      <c r="R12" s="30" t="s">
        <v>117</v>
      </c>
      <c r="S12" s="10" t="s">
        <v>0</v>
      </c>
    </row>
    <row r="13" spans="1:19" ht="32">
      <c r="A13" s="34" t="s">
        <v>79</v>
      </c>
      <c r="B13" s="3" t="s">
        <v>69</v>
      </c>
      <c r="C13" s="4">
        <v>42690</v>
      </c>
      <c r="D13" s="5">
        <v>0.3444444444444445</v>
      </c>
      <c r="E13" s="13">
        <v>26.1</v>
      </c>
      <c r="F13" s="13">
        <v>33.700000000000003</v>
      </c>
      <c r="G13" s="18">
        <v>6.2</v>
      </c>
      <c r="H13" s="13">
        <v>92.1</v>
      </c>
      <c r="I13" s="18">
        <v>8.0500000000000007</v>
      </c>
      <c r="J13" s="18">
        <f>AVERAGE(7.15,7.2,7.81)</f>
        <v>7.3866666666666667</v>
      </c>
      <c r="K13" s="18">
        <v>70.633329705787673</v>
      </c>
      <c r="L13" s="41">
        <v>9.9090758509075769</v>
      </c>
      <c r="M13" s="41">
        <v>8.010726716077377</v>
      </c>
      <c r="N13" s="41">
        <v>732.59272687242446</v>
      </c>
      <c r="O13" s="18">
        <v>7.1570394087444091</v>
      </c>
      <c r="P13" s="24">
        <v>1.5</v>
      </c>
      <c r="Q13" s="29">
        <v>2</v>
      </c>
      <c r="R13" s="30" t="s">
        <v>117</v>
      </c>
      <c r="S13" s="10" t="s">
        <v>0</v>
      </c>
    </row>
    <row r="14" spans="1:19" ht="32">
      <c r="A14" s="34" t="s">
        <v>79</v>
      </c>
      <c r="B14" s="3" t="s">
        <v>69</v>
      </c>
      <c r="C14" s="4">
        <v>42704</v>
      </c>
      <c r="D14" s="5">
        <v>0.35000000000000003</v>
      </c>
      <c r="E14" s="13">
        <v>25</v>
      </c>
      <c r="F14" s="13">
        <v>34</v>
      </c>
      <c r="G14" s="18">
        <v>6.35</v>
      </c>
      <c r="H14" s="13">
        <v>92.8</v>
      </c>
      <c r="I14" s="18">
        <v>8.07</v>
      </c>
      <c r="J14" s="18">
        <f>AVERAGE(9.45,9.36,9.1)</f>
        <v>9.3033333333333328</v>
      </c>
      <c r="K14" s="18">
        <v>70.025517813351271</v>
      </c>
      <c r="L14" s="41">
        <v>9.6866375184532352</v>
      </c>
      <c r="M14" s="41">
        <v>8.11027980720438</v>
      </c>
      <c r="N14" s="41">
        <v>663.04527777132307</v>
      </c>
      <c r="O14" s="18">
        <v>5.7360157410544419</v>
      </c>
      <c r="P14" s="18">
        <v>2.2115876850757377</v>
      </c>
      <c r="Q14" s="29">
        <v>2</v>
      </c>
      <c r="R14" s="30" t="s">
        <v>117</v>
      </c>
      <c r="S14" s="10" t="s">
        <v>0</v>
      </c>
    </row>
    <row r="15" spans="1:19" ht="32">
      <c r="A15" s="34" t="s">
        <v>79</v>
      </c>
      <c r="B15" s="3" t="s">
        <v>69</v>
      </c>
      <c r="C15" s="4">
        <v>42718</v>
      </c>
      <c r="D15" s="5">
        <v>0.3444444444444445</v>
      </c>
      <c r="E15" s="13">
        <v>24.2</v>
      </c>
      <c r="F15" s="13">
        <v>34.799999999999997</v>
      </c>
      <c r="G15" s="18">
        <v>6.56</v>
      </c>
      <c r="H15" s="13">
        <v>95.1</v>
      </c>
      <c r="I15" s="18">
        <v>8.0299999999999994</v>
      </c>
      <c r="J15" s="18">
        <f>AVERAGE(4.24,4.23,4.45)</f>
        <v>4.3066666666666675</v>
      </c>
      <c r="K15" s="18">
        <v>53.943123664647537</v>
      </c>
      <c r="L15" s="41">
        <v>10.644366841754323</v>
      </c>
      <c r="M15" s="41">
        <v>4.7442554908886674</v>
      </c>
      <c r="N15" s="41">
        <v>147.19214744584377</v>
      </c>
      <c r="O15" s="18">
        <v>5.6036365370737489</v>
      </c>
      <c r="P15" s="18">
        <v>1.7042317127251092</v>
      </c>
      <c r="Q15" s="29">
        <v>1</v>
      </c>
      <c r="R15" s="30" t="s">
        <v>117</v>
      </c>
      <c r="S15" s="10" t="s">
        <v>0</v>
      </c>
    </row>
    <row r="16" spans="1:19" ht="32">
      <c r="A16" s="34" t="s">
        <v>8</v>
      </c>
      <c r="B16" s="3" t="s">
        <v>69</v>
      </c>
      <c r="C16" s="4">
        <v>42739</v>
      </c>
      <c r="D16" s="5">
        <v>0.34375</v>
      </c>
      <c r="E16" s="13">
        <v>23.4</v>
      </c>
      <c r="F16" s="13">
        <v>34.1</v>
      </c>
      <c r="G16" s="18">
        <v>6.72</v>
      </c>
      <c r="H16" s="13">
        <v>95.6</v>
      </c>
      <c r="I16" s="18">
        <v>8.08</v>
      </c>
      <c r="J16" s="18">
        <f>AVERAGE(5.49,5.72,5.49)</f>
        <v>5.5666666666666673</v>
      </c>
      <c r="K16" s="18">
        <v>89.718417902712361</v>
      </c>
      <c r="L16" s="41">
        <v>17.003099639094572</v>
      </c>
      <c r="M16" s="41">
        <v>12.855041538840279</v>
      </c>
      <c r="N16" s="41">
        <v>920.79733712684481</v>
      </c>
      <c r="O16" s="18">
        <v>8.4929551670434336</v>
      </c>
      <c r="P16" s="18">
        <v>2.392945037296534</v>
      </c>
      <c r="Q16" s="29">
        <v>2</v>
      </c>
      <c r="R16" s="30" t="s">
        <v>117</v>
      </c>
      <c r="S16" s="10" t="s">
        <v>0</v>
      </c>
    </row>
    <row r="17" spans="1:19" ht="32">
      <c r="A17" s="34" t="s">
        <v>71</v>
      </c>
      <c r="B17" s="3" t="s">
        <v>69</v>
      </c>
      <c r="C17" s="4">
        <v>42760</v>
      </c>
      <c r="D17" s="5">
        <v>0.34861111111111115</v>
      </c>
      <c r="E17" s="6">
        <v>23.8</v>
      </c>
      <c r="F17" s="6">
        <v>35.200000000000003</v>
      </c>
      <c r="G17" s="7">
        <v>6.16</v>
      </c>
      <c r="H17" s="6">
        <v>88.5</v>
      </c>
      <c r="I17" s="31">
        <v>7.87</v>
      </c>
      <c r="J17" s="7">
        <f>AVERAGE(6.5,6.28,6.16)</f>
        <v>6.3133333333333335</v>
      </c>
      <c r="K17" s="11">
        <v>80.457074281174428</v>
      </c>
      <c r="L17" s="41">
        <v>17.65148722241819</v>
      </c>
      <c r="M17" s="41">
        <v>15.375594414088836</v>
      </c>
      <c r="N17" s="41">
        <v>206.9558743039405</v>
      </c>
      <c r="O17" s="11">
        <v>6.1580497936289511</v>
      </c>
      <c r="P17" s="11">
        <v>6.269445456015581</v>
      </c>
      <c r="Q17" s="27">
        <v>1</v>
      </c>
      <c r="R17" s="30" t="s">
        <v>117</v>
      </c>
      <c r="S17" s="10" t="s">
        <v>0</v>
      </c>
    </row>
    <row r="18" spans="1:19" ht="32">
      <c r="A18" s="34" t="s">
        <v>71</v>
      </c>
      <c r="B18" s="3" t="s">
        <v>69</v>
      </c>
      <c r="C18" s="4">
        <v>42781</v>
      </c>
      <c r="D18" s="5">
        <v>0.35625000000000001</v>
      </c>
      <c r="E18" s="13">
        <v>24.9</v>
      </c>
      <c r="F18" s="13">
        <v>33.799999999999997</v>
      </c>
      <c r="G18" s="18">
        <v>6.38</v>
      </c>
      <c r="H18" s="13">
        <v>93.1</v>
      </c>
      <c r="I18" s="32">
        <v>8.1</v>
      </c>
      <c r="J18" s="18">
        <f>AVERAGE(3.87,4.29,4.39)</f>
        <v>4.1833333333333336</v>
      </c>
      <c r="K18" s="18">
        <v>80.686295018019152</v>
      </c>
      <c r="L18" s="41">
        <v>13.697737799702226</v>
      </c>
      <c r="M18" s="41">
        <v>11.518039631864408</v>
      </c>
      <c r="N18" s="41">
        <v>486.27015947447916</v>
      </c>
      <c r="O18" s="18">
        <v>5.2290922319822162</v>
      </c>
      <c r="P18" s="18">
        <v>7.3825510339144342</v>
      </c>
      <c r="Q18" s="29">
        <v>2</v>
      </c>
      <c r="R18" s="30" t="s">
        <v>90</v>
      </c>
      <c r="S18" s="10" t="s">
        <v>0</v>
      </c>
    </row>
    <row r="19" spans="1:19" ht="32">
      <c r="A19" s="34" t="s">
        <v>12</v>
      </c>
      <c r="B19" s="3" t="s">
        <v>69</v>
      </c>
      <c r="C19" s="4">
        <v>42802</v>
      </c>
      <c r="D19" s="5">
        <v>0.35416666666666669</v>
      </c>
      <c r="E19" s="13">
        <v>24.5</v>
      </c>
      <c r="F19" s="13">
        <v>34</v>
      </c>
      <c r="G19" s="18">
        <v>6.33</v>
      </c>
      <c r="H19" s="13">
        <v>91.8</v>
      </c>
      <c r="I19" s="32">
        <v>8.1</v>
      </c>
      <c r="J19" s="18">
        <f>AVERAGE(1.36,1.95,2.12)</f>
        <v>1.8099999999999998</v>
      </c>
      <c r="K19" s="18">
        <v>96.430140364460115</v>
      </c>
      <c r="L19" s="41">
        <v>10.880567234317844</v>
      </c>
      <c r="M19" s="41">
        <v>9.0217644062711866</v>
      </c>
      <c r="N19" s="41">
        <v>396.10446259400135</v>
      </c>
      <c r="O19" s="18">
        <v>2.5274563445867244</v>
      </c>
      <c r="P19" s="18">
        <v>7.3519563777717005</v>
      </c>
      <c r="Q19" s="29">
        <v>1</v>
      </c>
      <c r="R19" s="30" t="s">
        <v>57</v>
      </c>
      <c r="S19" s="10" t="s">
        <v>0</v>
      </c>
    </row>
    <row r="20" spans="1:19" ht="32">
      <c r="A20" s="34" t="s">
        <v>12</v>
      </c>
      <c r="B20" s="3" t="s">
        <v>69</v>
      </c>
      <c r="C20" s="4">
        <v>42823</v>
      </c>
      <c r="D20" s="5">
        <v>0.34791666666666665</v>
      </c>
      <c r="E20" s="13">
        <v>25.4</v>
      </c>
      <c r="F20" s="13">
        <v>33.1</v>
      </c>
      <c r="G20" s="18">
        <v>6.23</v>
      </c>
      <c r="H20" s="13">
        <v>90.8</v>
      </c>
      <c r="I20" s="32">
        <v>8.07</v>
      </c>
      <c r="J20" s="18">
        <f>AVERAGE(11.5,12.4,10.1)</f>
        <v>11.333333333333334</v>
      </c>
      <c r="K20" s="18">
        <v>73.699626972228799</v>
      </c>
      <c r="L20" s="41">
        <v>21.636689835977375</v>
      </c>
      <c r="M20" s="41">
        <v>14.606905057827147</v>
      </c>
      <c r="N20" s="41">
        <v>701.31122517375002</v>
      </c>
      <c r="O20" s="18">
        <v>6.1648191279224038</v>
      </c>
      <c r="P20" s="18">
        <v>10.73589180256738</v>
      </c>
      <c r="Q20" s="29">
        <v>1</v>
      </c>
      <c r="R20" s="30" t="s">
        <v>57</v>
      </c>
      <c r="S20" s="10" t="s">
        <v>0</v>
      </c>
    </row>
    <row r="21" spans="1:19" ht="32">
      <c r="A21" s="34" t="s">
        <v>99</v>
      </c>
      <c r="B21" s="3" t="s">
        <v>69</v>
      </c>
      <c r="C21" s="4">
        <v>42844</v>
      </c>
      <c r="D21" s="5">
        <v>0.34583333333333338</v>
      </c>
      <c r="E21" s="13">
        <v>25.8</v>
      </c>
      <c r="F21" s="13">
        <v>32.700000000000003</v>
      </c>
      <c r="G21" s="18">
        <v>6.44</v>
      </c>
      <c r="H21" s="13">
        <v>94.7</v>
      </c>
      <c r="I21" s="32">
        <v>8.1199999999999992</v>
      </c>
      <c r="J21" s="18">
        <f>AVERAGE(2.07,2.19,2.29)</f>
        <v>2.1833333333333331</v>
      </c>
      <c r="K21" s="41">
        <v>90.58592989170765</v>
      </c>
      <c r="L21" s="41">
        <v>14.164862258702069</v>
      </c>
      <c r="M21" s="41">
        <v>10.604795065694489</v>
      </c>
      <c r="N21" s="41">
        <v>690.75861984709729</v>
      </c>
      <c r="O21" s="41">
        <v>3.4674447276773734</v>
      </c>
      <c r="P21" s="41">
        <v>3.8587627728544316</v>
      </c>
      <c r="Q21" s="29">
        <v>1</v>
      </c>
      <c r="R21" s="30" t="s">
        <v>72</v>
      </c>
      <c r="S21" s="10" t="s">
        <v>0</v>
      </c>
    </row>
    <row r="22" spans="1:19" ht="32">
      <c r="A22" s="34" t="s">
        <v>107</v>
      </c>
      <c r="B22" s="3" t="s">
        <v>69</v>
      </c>
      <c r="C22" s="4">
        <v>42865</v>
      </c>
      <c r="D22" s="5">
        <v>0.34513888888888888</v>
      </c>
      <c r="E22" s="6">
        <v>25.5</v>
      </c>
      <c r="F22" s="6">
        <v>34.200000000000003</v>
      </c>
      <c r="G22" s="7">
        <v>6.46</v>
      </c>
      <c r="H22" s="6">
        <v>95.6</v>
      </c>
      <c r="I22" s="7">
        <v>8.14</v>
      </c>
      <c r="J22" s="7">
        <f>AVERAGE(2.3,2.09,2.33)</f>
        <v>2.2399999999999998</v>
      </c>
      <c r="K22" s="41">
        <v>64.531971381757558</v>
      </c>
      <c r="L22" s="41">
        <v>8.4086290176731069</v>
      </c>
      <c r="M22" s="41">
        <v>6.1675007480502266</v>
      </c>
      <c r="N22" s="41">
        <v>296.93116945374038</v>
      </c>
      <c r="O22" s="41">
        <v>3.0086282264487871</v>
      </c>
      <c r="P22" s="41">
        <v>1.9161775231745728</v>
      </c>
      <c r="Q22" s="27">
        <v>1</v>
      </c>
      <c r="R22" s="30" t="s">
        <v>45</v>
      </c>
      <c r="S22" s="10" t="s">
        <v>0</v>
      </c>
    </row>
    <row r="23" spans="1:19" ht="32">
      <c r="A23" s="34" t="s">
        <v>28</v>
      </c>
      <c r="B23" s="3" t="s">
        <v>69</v>
      </c>
      <c r="C23" s="4">
        <v>42886</v>
      </c>
      <c r="D23" s="5">
        <v>0.34166666666666662</v>
      </c>
      <c r="E23" s="13">
        <v>26.4</v>
      </c>
      <c r="F23" s="13">
        <v>34</v>
      </c>
      <c r="G23" s="18">
        <v>6.21</v>
      </c>
      <c r="H23" s="13">
        <v>92.8</v>
      </c>
      <c r="I23" s="18">
        <v>8.07</v>
      </c>
      <c r="J23" s="18">
        <f>AVERAGE(4.12,3.83,3.86)</f>
        <v>3.936666666666667</v>
      </c>
      <c r="K23" s="41">
        <v>70.513411525722901</v>
      </c>
      <c r="L23" s="41">
        <v>12.118314796694724</v>
      </c>
      <c r="M23" s="41">
        <v>11.891766781917497</v>
      </c>
      <c r="N23" s="41">
        <v>1061.0116750197437</v>
      </c>
      <c r="O23" s="41">
        <v>7.0468689660873762</v>
      </c>
      <c r="P23" s="41">
        <v>4.599751256886937</v>
      </c>
      <c r="Q23" s="29">
        <v>1</v>
      </c>
      <c r="R23" s="30" t="s">
        <v>27</v>
      </c>
      <c r="S23" s="10" t="s">
        <v>0</v>
      </c>
    </row>
    <row r="24" spans="1:19" ht="32">
      <c r="A24" s="34" t="s">
        <v>42</v>
      </c>
      <c r="B24" s="3" t="s">
        <v>69</v>
      </c>
      <c r="C24" s="4">
        <v>42907</v>
      </c>
      <c r="D24" s="5">
        <v>0.34375</v>
      </c>
      <c r="E24" s="13">
        <v>26.9</v>
      </c>
      <c r="F24" s="13">
        <v>33.4</v>
      </c>
      <c r="G24" s="41">
        <v>6.47</v>
      </c>
      <c r="H24" s="13">
        <v>97.6</v>
      </c>
      <c r="I24" s="41">
        <v>8.08</v>
      </c>
      <c r="J24" s="41">
        <f>AVERAGE(4.48,5.17,5.36,4.5)</f>
        <v>4.8775000000000004</v>
      </c>
      <c r="K24" s="41">
        <v>68.122055159961164</v>
      </c>
      <c r="L24" s="41">
        <v>13.032806868837095</v>
      </c>
      <c r="M24" s="41">
        <v>6.5928295301503157</v>
      </c>
      <c r="N24" s="41">
        <v>159.65069881681885</v>
      </c>
      <c r="O24" s="41">
        <v>3.0414003337853344</v>
      </c>
      <c r="P24" s="41">
        <v>2.5193854947853089</v>
      </c>
      <c r="Q24" s="29">
        <v>2</v>
      </c>
      <c r="R24" s="43" t="s">
        <v>41</v>
      </c>
      <c r="S24" s="10" t="s">
        <v>0</v>
      </c>
    </row>
    <row r="25" spans="1:19" ht="32">
      <c r="A25" s="34" t="s">
        <v>115</v>
      </c>
      <c r="B25" s="3" t="s">
        <v>69</v>
      </c>
      <c r="C25" s="4">
        <v>42928</v>
      </c>
      <c r="D25" s="5">
        <v>0.34375</v>
      </c>
      <c r="E25" s="6">
        <v>27.1</v>
      </c>
      <c r="F25" s="6">
        <v>34.5</v>
      </c>
      <c r="G25" s="7">
        <v>5.66</v>
      </c>
      <c r="H25" s="6">
        <v>86.1</v>
      </c>
      <c r="I25" s="7">
        <v>8.06</v>
      </c>
      <c r="J25" s="7">
        <f>AVERAGE(1.81, 2.29,2.31)</f>
        <v>2.1366666666666667</v>
      </c>
      <c r="K25" s="41">
        <v>71.26711465351184</v>
      </c>
      <c r="L25" s="41">
        <v>11.813911438589521</v>
      </c>
      <c r="M25" s="41">
        <v>6.365720487339523</v>
      </c>
      <c r="N25" s="41">
        <v>265.14164242579938</v>
      </c>
      <c r="O25" s="41">
        <v>7.732920776336381</v>
      </c>
      <c r="P25" s="41">
        <v>1.6167175822917921</v>
      </c>
      <c r="Q25" s="27">
        <v>2</v>
      </c>
      <c r="R25" s="43" t="s">
        <v>68</v>
      </c>
      <c r="S25" s="10" t="s">
        <v>0</v>
      </c>
    </row>
    <row r="26" spans="1:19" ht="32">
      <c r="A26" s="34" t="s">
        <v>115</v>
      </c>
      <c r="B26" s="3" t="s">
        <v>69</v>
      </c>
      <c r="C26" s="4">
        <v>42949</v>
      </c>
      <c r="D26" s="5">
        <v>0.34513888888888888</v>
      </c>
      <c r="E26" s="13">
        <v>27.5</v>
      </c>
      <c r="F26" s="13">
        <v>34.299999999999997</v>
      </c>
      <c r="G26" s="41">
        <v>6.09</v>
      </c>
      <c r="H26" s="13">
        <v>93.2</v>
      </c>
      <c r="I26" s="41">
        <v>8.0299999999999994</v>
      </c>
      <c r="J26" s="41">
        <f>AVERAGE(1.31,0.98,1.55,1.11)</f>
        <v>1.2375</v>
      </c>
      <c r="K26" s="41">
        <v>80.203784775981418</v>
      </c>
      <c r="L26" s="41">
        <v>15.484056541782675</v>
      </c>
      <c r="M26" s="41">
        <v>11.252583617925181</v>
      </c>
      <c r="N26" s="41">
        <v>771.08059419024221</v>
      </c>
      <c r="O26" s="41">
        <v>3.8769708144645705</v>
      </c>
      <c r="P26" s="41">
        <v>4.6554140062144018</v>
      </c>
      <c r="Q26" s="29">
        <v>2</v>
      </c>
      <c r="R26" s="43" t="s">
        <v>98</v>
      </c>
      <c r="S26" s="10" t="s">
        <v>0</v>
      </c>
    </row>
    <row r="27" spans="1:19" ht="32">
      <c r="A27" s="34" t="s">
        <v>30</v>
      </c>
      <c r="B27" s="3" t="s">
        <v>69</v>
      </c>
      <c r="C27" s="4">
        <v>42970</v>
      </c>
      <c r="D27" s="5">
        <v>0.34513888888888888</v>
      </c>
      <c r="E27" s="13">
        <v>27.1</v>
      </c>
      <c r="F27" s="13">
        <v>34.9</v>
      </c>
      <c r="G27" s="41">
        <v>6.37</v>
      </c>
      <c r="H27" s="13">
        <v>97.3</v>
      </c>
      <c r="I27" s="41">
        <v>8.0500000000000007</v>
      </c>
      <c r="J27" s="41">
        <f>AVERAGE(1.8,2.47,2.17)</f>
        <v>2.1466666666666669</v>
      </c>
      <c r="K27" s="41">
        <v>70.277156983548636</v>
      </c>
      <c r="L27" s="41">
        <v>13.410904210269061</v>
      </c>
      <c r="M27" s="41">
        <v>7.54565165327503</v>
      </c>
      <c r="N27" s="41">
        <v>201.13194812737206</v>
      </c>
      <c r="O27" s="41">
        <v>3.5120108550879068</v>
      </c>
      <c r="P27" s="41">
        <v>1.5318298086062179</v>
      </c>
      <c r="Q27" s="42">
        <v>1</v>
      </c>
      <c r="R27" s="43" t="s">
        <v>29</v>
      </c>
      <c r="S27" s="10" t="s">
        <v>0</v>
      </c>
    </row>
    <row r="28" spans="1:19" ht="32">
      <c r="A28" s="34" t="s">
        <v>113</v>
      </c>
      <c r="B28" s="3" t="s">
        <v>69</v>
      </c>
      <c r="C28" s="4">
        <v>42991</v>
      </c>
      <c r="D28" s="49">
        <v>0.34097222222222223</v>
      </c>
      <c r="E28" s="13">
        <v>28</v>
      </c>
      <c r="F28" s="13">
        <v>34.9</v>
      </c>
      <c r="G28" s="41">
        <v>6.38</v>
      </c>
      <c r="H28" s="13">
        <v>99</v>
      </c>
      <c r="I28" s="41">
        <v>8.08</v>
      </c>
      <c r="J28" s="41">
        <f>AVERAGE(4.06,3.89,4.66)</f>
        <v>4.2033333333333331</v>
      </c>
      <c r="K28" s="41">
        <v>49.307035129835256</v>
      </c>
      <c r="L28" s="41">
        <v>12.789683738667495</v>
      </c>
      <c r="M28" s="41">
        <v>6.3604171259335569</v>
      </c>
      <c r="N28" s="41">
        <v>143.46498918238012</v>
      </c>
      <c r="O28" s="41">
        <v>2.6651589257190968</v>
      </c>
      <c r="P28" s="41">
        <v>2.6044958088736396</v>
      </c>
      <c r="Q28" s="29">
        <v>2</v>
      </c>
      <c r="R28" s="43" t="s">
        <v>114</v>
      </c>
      <c r="S28" s="10" t="s">
        <v>0</v>
      </c>
    </row>
    <row r="29" spans="1:19" ht="32">
      <c r="A29" s="34" t="s">
        <v>113</v>
      </c>
      <c r="B29" s="3" t="s">
        <v>69</v>
      </c>
      <c r="C29" s="4">
        <v>43012</v>
      </c>
      <c r="D29" s="49">
        <v>0.34722222222222227</v>
      </c>
      <c r="E29" s="6">
        <v>27.6</v>
      </c>
      <c r="F29" s="6">
        <v>34</v>
      </c>
      <c r="G29" s="7">
        <v>5.54</v>
      </c>
      <c r="H29" s="6">
        <v>84.9</v>
      </c>
      <c r="I29" s="7">
        <v>8.0399999999999991</v>
      </c>
      <c r="J29" s="7">
        <f>AVERAGE(10.1,10.3,10.6)</f>
        <v>10.333333333333334</v>
      </c>
      <c r="K29" s="41">
        <v>57.249908005888727</v>
      </c>
      <c r="L29" s="41">
        <v>10.892011497281699</v>
      </c>
      <c r="M29" s="41">
        <v>8.6169623275747931</v>
      </c>
      <c r="N29" s="41">
        <v>445.48239225444689</v>
      </c>
      <c r="O29" s="41">
        <v>2.9269639324170531</v>
      </c>
      <c r="P29" s="41">
        <v>2.8844376489483992</v>
      </c>
      <c r="Q29" s="27">
        <v>1</v>
      </c>
      <c r="R29" s="43" t="s">
        <v>112</v>
      </c>
      <c r="S29" s="10" t="s">
        <v>0</v>
      </c>
    </row>
    <row r="30" spans="1:19" ht="32">
      <c r="A30" s="34" t="s">
        <v>99</v>
      </c>
      <c r="B30" s="3" t="s">
        <v>69</v>
      </c>
      <c r="C30" s="4">
        <v>43033</v>
      </c>
      <c r="D30" s="49">
        <v>0.34861111111111115</v>
      </c>
      <c r="E30" s="13">
        <v>26.7</v>
      </c>
      <c r="F30" s="13">
        <v>34.700000000000003</v>
      </c>
      <c r="G30" s="41">
        <v>6.58</v>
      </c>
      <c r="H30" s="13">
        <v>99.6</v>
      </c>
      <c r="I30" s="41">
        <v>8.06</v>
      </c>
      <c r="J30" s="41">
        <f>AVERAGE(6.63,7.11,8.14)</f>
        <v>7.2933333333333339</v>
      </c>
      <c r="K30" s="41">
        <v>70.746320017271799</v>
      </c>
      <c r="L30" s="41">
        <v>8.8441225772588314</v>
      </c>
      <c r="M30" s="41">
        <v>8.4419708666943265</v>
      </c>
      <c r="N30" s="41">
        <v>238.56894069717728</v>
      </c>
      <c r="O30" s="41">
        <v>5.7104612623654027</v>
      </c>
      <c r="P30" s="41">
        <v>8.8654934672984407</v>
      </c>
      <c r="Q30" s="42">
        <v>3</v>
      </c>
      <c r="R30" s="43" t="s">
        <v>32</v>
      </c>
      <c r="S30" s="10" t="s">
        <v>31</v>
      </c>
    </row>
    <row r="31" spans="1:19" ht="32">
      <c r="A31" s="34" t="s">
        <v>99</v>
      </c>
      <c r="B31" s="3" t="s">
        <v>69</v>
      </c>
      <c r="C31" s="4">
        <v>43054</v>
      </c>
      <c r="D31" s="49">
        <v>0.34027777777777773</v>
      </c>
      <c r="E31" s="6">
        <v>25.9</v>
      </c>
      <c r="F31" s="6">
        <v>35.200000000000003</v>
      </c>
      <c r="G31" s="7">
        <v>6.46</v>
      </c>
      <c r="H31" s="6">
        <v>96.7</v>
      </c>
      <c r="I31" s="7">
        <v>8.11</v>
      </c>
      <c r="J31" s="7">
        <f>AVERAGE(4.31,4.89,4.68)</f>
        <v>4.626666666666666</v>
      </c>
      <c r="K31" s="41">
        <v>82.313457566085958</v>
      </c>
      <c r="L31" s="41">
        <v>12.556123410182833</v>
      </c>
      <c r="M31" s="41">
        <v>6.4183328347023574</v>
      </c>
      <c r="N31" s="41">
        <v>167.92070494111491</v>
      </c>
      <c r="O31" s="41">
        <v>7.296012501199403</v>
      </c>
      <c r="P31" s="41">
        <v>3.518232951814825</v>
      </c>
      <c r="Q31" s="27">
        <v>1</v>
      </c>
      <c r="R31" s="43" t="s">
        <v>38</v>
      </c>
      <c r="S31" s="10" t="s">
        <v>31</v>
      </c>
    </row>
    <row r="32" spans="1:19" ht="32">
      <c r="A32" s="34" t="s">
        <v>56</v>
      </c>
      <c r="B32" s="3" t="s">
        <v>69</v>
      </c>
      <c r="C32" s="4">
        <v>43075</v>
      </c>
      <c r="D32" s="49">
        <v>0.34375</v>
      </c>
      <c r="E32" s="13">
        <v>24.5</v>
      </c>
      <c r="F32" s="13">
        <v>35</v>
      </c>
      <c r="G32" s="41">
        <v>6.72</v>
      </c>
      <c r="H32" s="13">
        <v>97.8</v>
      </c>
      <c r="I32" s="41">
        <v>8.17</v>
      </c>
      <c r="J32" s="41">
        <f>AVERAGE(3.48,3.54,3.67)</f>
        <v>3.563333333333333</v>
      </c>
      <c r="K32" s="41"/>
      <c r="O32" s="41"/>
      <c r="P32" s="41"/>
      <c r="Q32" s="42">
        <v>3</v>
      </c>
      <c r="R32" s="43" t="s">
        <v>55</v>
      </c>
      <c r="S32" s="10" t="s">
        <v>31</v>
      </c>
    </row>
    <row r="33" spans="1:19" ht="32">
      <c r="A33" s="34" t="s">
        <v>78</v>
      </c>
      <c r="B33" s="3" t="s">
        <v>69</v>
      </c>
      <c r="C33" s="4">
        <v>43089</v>
      </c>
      <c r="D33" s="49">
        <v>0.34722222222222227</v>
      </c>
      <c r="E33" s="13">
        <v>24</v>
      </c>
      <c r="F33" s="13">
        <v>35.4</v>
      </c>
      <c r="G33" s="41">
        <v>6.68</v>
      </c>
      <c r="H33" s="13">
        <v>97.2</v>
      </c>
      <c r="I33" s="41">
        <v>8.15</v>
      </c>
      <c r="J33" s="41">
        <f>AVERAGE(5.42,5.43,5.33)</f>
        <v>5.3933333333333335</v>
      </c>
      <c r="K33" s="41"/>
      <c r="O33" s="41"/>
      <c r="P33" s="41"/>
      <c r="Q33" s="42">
        <v>1</v>
      </c>
      <c r="R33" s="43" t="s">
        <v>77</v>
      </c>
      <c r="S33" s="10" t="s">
        <v>31</v>
      </c>
    </row>
    <row r="34" spans="1:19" ht="32">
      <c r="A34" s="34" t="s">
        <v>96</v>
      </c>
      <c r="B34" s="3" t="s">
        <v>69</v>
      </c>
      <c r="C34" s="4">
        <v>43110</v>
      </c>
      <c r="D34" s="49">
        <v>0.3520833333333333</v>
      </c>
      <c r="E34" s="13">
        <v>23.9</v>
      </c>
      <c r="F34" s="13">
        <v>34.700000000000003</v>
      </c>
      <c r="G34" s="41">
        <v>5.85</v>
      </c>
      <c r="H34" s="13">
        <v>84.1</v>
      </c>
      <c r="I34" s="41">
        <v>8.07</v>
      </c>
      <c r="J34" s="41">
        <f>AVERAGE(1.46,1.68,1.59)</f>
        <v>1.5766666666666664</v>
      </c>
      <c r="K34" s="41"/>
      <c r="O34" s="41"/>
      <c r="P34" s="41"/>
      <c r="Q34" s="42">
        <v>3</v>
      </c>
      <c r="R34" s="43" t="s">
        <v>20</v>
      </c>
      <c r="S34" s="10" t="s">
        <v>31</v>
      </c>
    </row>
    <row r="35" spans="1:19" ht="32">
      <c r="A35" s="34" t="s">
        <v>19</v>
      </c>
      <c r="B35" s="3" t="s">
        <v>69</v>
      </c>
      <c r="C35" s="4">
        <v>43131</v>
      </c>
      <c r="D35" s="49">
        <v>0.33819444444444446</v>
      </c>
      <c r="E35" s="52">
        <v>23.8</v>
      </c>
      <c r="F35" s="52">
        <v>33.4</v>
      </c>
      <c r="G35" s="41">
        <v>6.38</v>
      </c>
      <c r="H35" s="52">
        <v>91.8</v>
      </c>
      <c r="I35" s="41">
        <v>8.09</v>
      </c>
      <c r="J35" s="41">
        <f>AVERAGE(10.5,11.4,11.5)</f>
        <v>11.133333333333333</v>
      </c>
      <c r="K35" s="41"/>
      <c r="O35" s="41"/>
      <c r="P35" s="41"/>
      <c r="Q35" s="42">
        <v>1</v>
      </c>
      <c r="R35" s="43" t="s">
        <v>18</v>
      </c>
      <c r="S35" s="10" t="s">
        <v>31</v>
      </c>
    </row>
    <row r="36" spans="1:19">
      <c r="C36" s="4"/>
      <c r="D36" s="49"/>
      <c r="E36" s="52"/>
      <c r="F36" s="52"/>
      <c r="G36" s="51"/>
      <c r="H36" s="52"/>
      <c r="I36" s="51"/>
      <c r="J36" s="51"/>
      <c r="K36" s="51"/>
      <c r="L36" s="51"/>
      <c r="M36" s="51"/>
      <c r="N36" s="51"/>
      <c r="O36" s="51"/>
      <c r="P36" s="51"/>
      <c r="Q36" s="42"/>
      <c r="R36" s="43"/>
    </row>
    <row r="37" spans="1:19">
      <c r="E37" s="13"/>
      <c r="F37" s="13"/>
      <c r="G37" s="41"/>
      <c r="H37" s="13"/>
      <c r="I37" s="41"/>
      <c r="J37" s="41"/>
      <c r="K37" s="41"/>
      <c r="O37" s="41"/>
      <c r="P37" s="41"/>
      <c r="Q37" s="42"/>
      <c r="R37" s="43"/>
    </row>
    <row r="38" spans="1:19">
      <c r="E38" s="13"/>
      <c r="F38" s="13"/>
      <c r="G38" s="41"/>
      <c r="H38" s="13"/>
      <c r="I38" s="41"/>
      <c r="J38" s="41"/>
      <c r="K38" s="41"/>
      <c r="O38" s="41"/>
      <c r="P38" s="41"/>
      <c r="Q38" s="42"/>
      <c r="R38" s="43"/>
    </row>
    <row r="42" spans="1:19">
      <c r="J42" s="25">
        <f>GEOMEAN(J2:J39)</f>
        <v>4.1154071555583984</v>
      </c>
      <c r="K42" s="32">
        <f t="shared" ref="K42:P42" si="0">GEOMEAN(K2:K39)</f>
        <v>70.5855171852605</v>
      </c>
      <c r="L42" s="32">
        <f t="shared" ref="L42:N42" si="1">GEOMEAN(L2:L39)</f>
        <v>14.447570835376808</v>
      </c>
      <c r="M42" s="38">
        <f t="shared" si="1"/>
        <v>9.211463810784144</v>
      </c>
      <c r="N42" s="32">
        <f t="shared" si="1"/>
        <v>439.09177515957344</v>
      </c>
      <c r="O42" s="24">
        <f t="shared" si="0"/>
        <v>4.5381744642187032</v>
      </c>
      <c r="P42" s="24">
        <f t="shared" si="0"/>
        <v>3.277615727769239</v>
      </c>
      <c r="S42" s="10" t="s">
        <v>91</v>
      </c>
    </row>
    <row r="43" spans="1:19">
      <c r="D43" s="44">
        <f>AVERAGE(D2:D39)</f>
        <v>0.33880718954248357</v>
      </c>
      <c r="E43" s="18">
        <f>AVERAGE(E2:E39)</f>
        <v>26.038235294117644</v>
      </c>
      <c r="F43" s="41">
        <f t="shared" ref="F43:H43" si="2">AVERAGE(F2:F39)</f>
        <v>33.994117647058836</v>
      </c>
      <c r="G43" s="41">
        <f t="shared" si="2"/>
        <v>6.2397058823529417</v>
      </c>
      <c r="H43" s="41">
        <f t="shared" si="2"/>
        <v>93.076470588235267</v>
      </c>
      <c r="I43" s="18">
        <f>AVERAGE(I2:I39)</f>
        <v>8.0535294117647052</v>
      </c>
      <c r="J43" s="18">
        <f>AVERAGE(J2:J39)</f>
        <v>5.0198039215686263</v>
      </c>
      <c r="K43" s="11">
        <f>AVERAGE(K2:K39)</f>
        <v>71.423721311555923</v>
      </c>
      <c r="L43" s="41">
        <f t="shared" ref="L43:N43" si="3">AVERAGE(L2:L39)</f>
        <v>15.180518599091554</v>
      </c>
      <c r="M43" s="41">
        <f t="shared" si="3"/>
        <v>9.6994061140999772</v>
      </c>
      <c r="N43" s="41">
        <f t="shared" si="3"/>
        <v>541.64493429727361</v>
      </c>
      <c r="O43" s="18">
        <f t="shared" ref="O43:P43" si="4">AVERAGE(O2:O39)</f>
        <v>5.0125737179255099</v>
      </c>
      <c r="P43" s="18">
        <f t="shared" si="4"/>
        <v>3.9611312811636719</v>
      </c>
      <c r="S43" s="10" t="s">
        <v>92</v>
      </c>
    </row>
    <row r="44" spans="1:19">
      <c r="E44" s="41">
        <f>STDEV(E2:E39)</f>
        <v>1.3830170589631892</v>
      </c>
      <c r="F44" s="41">
        <f t="shared" ref="F44:H44" si="5">STDEV(F2:F39)</f>
        <v>1.5389766722922871</v>
      </c>
      <c r="G44" s="41">
        <f t="shared" si="5"/>
        <v>0.29209260978605101</v>
      </c>
      <c r="H44" s="41">
        <f t="shared" si="5"/>
        <v>3.9764502842043199</v>
      </c>
      <c r="I44" s="18">
        <f>STDEV(I2:I39)</f>
        <v>7.0834093526405267E-2</v>
      </c>
      <c r="J44" s="18">
        <f>STDEV(J2:J39)</f>
        <v>3.1080871626382294</v>
      </c>
      <c r="K44" s="11">
        <f>STDEV(K2:K39)</f>
        <v>11.022096264348102</v>
      </c>
      <c r="L44" s="41">
        <f t="shared" ref="L44:N44" si="6">STDEV(L2:L39)</f>
        <v>5.0602561853749783</v>
      </c>
      <c r="M44" s="41">
        <f t="shared" si="6"/>
        <v>3.1714109887904423</v>
      </c>
      <c r="N44" s="41">
        <f t="shared" si="6"/>
        <v>359.96297046041769</v>
      </c>
      <c r="O44" s="18">
        <f t="shared" ref="O44:P44" si="7">STDEV(O2:O39)</f>
        <v>2.4941260035214396</v>
      </c>
      <c r="P44" s="18">
        <f t="shared" si="7"/>
        <v>2.6304273606565149</v>
      </c>
      <c r="S44" s="10" t="s">
        <v>93</v>
      </c>
    </row>
    <row r="45" spans="1:19">
      <c r="J45" s="18"/>
    </row>
    <row r="46" spans="1:19">
      <c r="J46" s="18">
        <f>J42/0.2</f>
        <v>20.577035777791991</v>
      </c>
      <c r="K46" s="11">
        <f>K42/110</f>
        <v>0.64168651986600456</v>
      </c>
      <c r="L46" s="41">
        <f>L42/16</f>
        <v>0.90297317721105053</v>
      </c>
      <c r="M46" s="41">
        <f>M42/6</f>
        <v>1.535243968464024</v>
      </c>
      <c r="N46" s="41">
        <f>N42</f>
        <v>439.09177515957344</v>
      </c>
      <c r="O46" s="11">
        <f>O42/3.5</f>
        <v>1.296621275491058</v>
      </c>
      <c r="P46" s="11">
        <f>P42/2</f>
        <v>1.6388078638846195</v>
      </c>
      <c r="S46" s="10" t="s">
        <v>60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46"/>
  <sheetViews>
    <sheetView workbookViewId="0">
      <pane xSplit="3" ySplit="1" topLeftCell="D18" activePane="bottomRight" state="frozen"/>
      <selection pane="topRight" activeCell="D1" sqref="D1"/>
      <selection pane="bottomLeft" activeCell="A2" sqref="A2"/>
      <selection pane="bottomRight" activeCell="L19" sqref="L19"/>
    </sheetView>
  </sheetViews>
  <sheetFormatPr baseColWidth="10" defaultRowHeight="16"/>
  <cols>
    <col min="1" max="1" width="17.42578125" style="1" customWidth="1"/>
    <col min="2" max="2" width="10.7109375" style="3"/>
    <col min="3" max="4" width="10.7109375" style="1"/>
    <col min="5" max="5" width="0" style="41" hidden="1" customWidth="1"/>
    <col min="6" max="6" width="0" style="37" hidden="1" customWidth="1"/>
    <col min="7" max="7" width="13.140625" style="9" customWidth="1"/>
    <col min="8" max="8" width="10.7109375" style="9"/>
    <col min="9" max="9" width="10.7109375" style="8"/>
    <col min="10" max="10" width="10.7109375" style="9"/>
    <col min="11" max="12" width="10.7109375" style="8"/>
    <col min="13" max="13" width="10.7109375" style="14"/>
    <col min="14" max="14" width="10.7109375" style="41"/>
    <col min="15" max="15" width="12.140625" style="41" customWidth="1"/>
    <col min="16" max="16" width="10.7109375" style="41"/>
    <col min="17" max="18" width="10.7109375" style="14"/>
    <col min="19" max="19" width="12.5703125" style="29" customWidth="1"/>
    <col min="20" max="20" width="12.42578125" style="30" customWidth="1"/>
    <col min="21" max="21" width="51.42578125" style="10" customWidth="1"/>
    <col min="22" max="16384" width="10.7109375" style="1"/>
  </cols>
  <sheetData>
    <row r="1" spans="1:23" s="2" customFormat="1" ht="32">
      <c r="A1" s="2" t="s">
        <v>1</v>
      </c>
      <c r="B1" s="2" t="s">
        <v>2</v>
      </c>
      <c r="C1" s="2" t="s">
        <v>3</v>
      </c>
      <c r="D1" s="2" t="s">
        <v>100</v>
      </c>
      <c r="E1" s="40" t="s">
        <v>49</v>
      </c>
      <c r="F1" s="36" t="s">
        <v>47</v>
      </c>
      <c r="G1" s="12" t="s">
        <v>101</v>
      </c>
      <c r="H1" s="12" t="s">
        <v>102</v>
      </c>
      <c r="I1" s="19" t="s">
        <v>4</v>
      </c>
      <c r="J1" s="12" t="s">
        <v>33</v>
      </c>
      <c r="K1" s="19" t="s">
        <v>43</v>
      </c>
      <c r="L1" s="19" t="s">
        <v>81</v>
      </c>
      <c r="M1" s="2" t="s">
        <v>25</v>
      </c>
      <c r="N1" s="2" t="s">
        <v>108</v>
      </c>
      <c r="O1" s="2" t="s">
        <v>46</v>
      </c>
      <c r="P1" s="2" t="s">
        <v>50</v>
      </c>
      <c r="Q1" s="2" t="s">
        <v>106</v>
      </c>
      <c r="R1" s="2" t="s">
        <v>44</v>
      </c>
      <c r="S1" s="28" t="s">
        <v>51</v>
      </c>
      <c r="T1" s="28" t="s">
        <v>52</v>
      </c>
      <c r="U1" s="2" t="s">
        <v>53</v>
      </c>
      <c r="W1" s="2" t="s">
        <v>70</v>
      </c>
    </row>
    <row r="2" spans="1:23" ht="32">
      <c r="A2" s="1" t="s">
        <v>80</v>
      </c>
      <c r="B2" s="3" t="s">
        <v>21</v>
      </c>
      <c r="C2" s="4">
        <v>42536</v>
      </c>
      <c r="D2" s="5">
        <v>0.3527777777777778</v>
      </c>
      <c r="E2" s="41">
        <v>1</v>
      </c>
      <c r="F2" s="37">
        <v>-0.69</v>
      </c>
      <c r="G2" s="9">
        <v>26.8</v>
      </c>
      <c r="H2" s="9">
        <v>28.1</v>
      </c>
      <c r="I2" s="8">
        <v>6.57</v>
      </c>
      <c r="J2" s="9">
        <v>99.6</v>
      </c>
      <c r="K2" s="8">
        <v>7.99</v>
      </c>
      <c r="L2" s="8">
        <v>2.8</v>
      </c>
      <c r="M2" s="14">
        <v>90.04</v>
      </c>
      <c r="N2" s="41">
        <v>14.32</v>
      </c>
      <c r="O2" s="41">
        <v>6.22</v>
      </c>
      <c r="P2" s="41">
        <v>169.92</v>
      </c>
      <c r="Q2" s="14">
        <v>2.79</v>
      </c>
      <c r="R2" s="14">
        <v>2.89</v>
      </c>
      <c r="S2" s="29">
        <v>1</v>
      </c>
      <c r="T2" s="30" t="s">
        <v>120</v>
      </c>
      <c r="U2" s="10" t="s">
        <v>10</v>
      </c>
      <c r="W2" s="1">
        <v>192</v>
      </c>
    </row>
    <row r="3" spans="1:23" ht="32">
      <c r="A3" s="1" t="s">
        <v>80</v>
      </c>
      <c r="B3" s="3" t="s">
        <v>21</v>
      </c>
      <c r="C3" s="4">
        <v>42550</v>
      </c>
      <c r="D3" s="5">
        <v>0.35000000000000003</v>
      </c>
      <c r="E3" s="41">
        <v>1</v>
      </c>
      <c r="F3" s="37">
        <v>-0.38</v>
      </c>
      <c r="G3" s="9">
        <v>27.2</v>
      </c>
      <c r="H3" s="9">
        <v>29.1</v>
      </c>
      <c r="I3" s="8">
        <v>6.29</v>
      </c>
      <c r="J3" s="9">
        <v>96</v>
      </c>
      <c r="K3" s="8">
        <v>8.0399999999999991</v>
      </c>
      <c r="L3" s="8">
        <v>3.43</v>
      </c>
      <c r="M3" s="14">
        <v>65.04649513431356</v>
      </c>
      <c r="N3" s="41">
        <v>15.923443967542275</v>
      </c>
      <c r="O3" s="41">
        <v>7.8304881596387022</v>
      </c>
      <c r="P3" s="41">
        <v>245.70433839410219</v>
      </c>
      <c r="Q3" s="14">
        <v>5.6721614611524158</v>
      </c>
      <c r="R3" s="14">
        <v>2.2368829980776916</v>
      </c>
      <c r="S3" s="29">
        <v>1</v>
      </c>
      <c r="T3" s="30" t="s">
        <v>120</v>
      </c>
      <c r="U3" s="10" t="s">
        <v>103</v>
      </c>
      <c r="W3" s="1">
        <v>10</v>
      </c>
    </row>
    <row r="4" spans="1:23" ht="32">
      <c r="A4" s="1" t="s">
        <v>109</v>
      </c>
      <c r="B4" s="3" t="s">
        <v>21</v>
      </c>
      <c r="C4" s="4">
        <v>42564</v>
      </c>
      <c r="D4" s="5">
        <v>0.33819444444444446</v>
      </c>
      <c r="E4" s="41">
        <v>1</v>
      </c>
      <c r="F4" s="37">
        <v>-0.52</v>
      </c>
      <c r="G4" s="9">
        <v>27</v>
      </c>
      <c r="H4" s="9">
        <v>36</v>
      </c>
      <c r="I4" s="8">
        <v>5.49</v>
      </c>
      <c r="J4" s="9">
        <v>84.5</v>
      </c>
      <c r="K4" s="8">
        <v>8.01</v>
      </c>
      <c r="L4" s="8">
        <v>2.0099999999999998</v>
      </c>
      <c r="M4" s="18">
        <v>81.90482010581681</v>
      </c>
      <c r="N4" s="41">
        <v>17.347070706430088</v>
      </c>
      <c r="O4" s="41">
        <v>8.0531518454425939</v>
      </c>
      <c r="P4" s="41">
        <v>279.72654750348426</v>
      </c>
      <c r="Q4" s="18">
        <v>8.0451180344980777</v>
      </c>
      <c r="R4" s="18">
        <v>2.7683269732056259</v>
      </c>
      <c r="S4" s="29">
        <v>1</v>
      </c>
      <c r="T4" s="30" t="s">
        <v>120</v>
      </c>
      <c r="U4" s="10" t="s">
        <v>105</v>
      </c>
      <c r="W4" s="1">
        <v>64</v>
      </c>
    </row>
    <row r="5" spans="1:23" ht="32">
      <c r="A5" s="1" t="s">
        <v>80</v>
      </c>
      <c r="B5" s="3" t="s">
        <v>21</v>
      </c>
      <c r="C5" s="4">
        <v>42578</v>
      </c>
      <c r="D5" s="5">
        <v>0.33680555555555558</v>
      </c>
      <c r="E5" s="41">
        <v>1</v>
      </c>
      <c r="F5" s="37">
        <v>-0.26</v>
      </c>
      <c r="G5" s="9">
        <v>27.4</v>
      </c>
      <c r="H5" s="9">
        <v>35</v>
      </c>
      <c r="I5" s="8">
        <v>5.9</v>
      </c>
      <c r="J5" s="9">
        <v>90.5</v>
      </c>
      <c r="K5" s="8">
        <v>8.02</v>
      </c>
      <c r="L5" s="8">
        <f>AVERAGE(8.02,7.88,8.24)</f>
        <v>8.0466666666666669</v>
      </c>
      <c r="M5" s="18">
        <v>85.14496859719614</v>
      </c>
      <c r="N5" s="41">
        <v>13.662449745899197</v>
      </c>
      <c r="O5" s="41">
        <v>10.107513522767837</v>
      </c>
      <c r="P5" s="41">
        <v>408.47247238281892</v>
      </c>
      <c r="Q5" s="18">
        <v>7.6825465442269554</v>
      </c>
      <c r="R5" s="18">
        <v>6.5717799781711435</v>
      </c>
      <c r="S5" s="29">
        <v>1</v>
      </c>
      <c r="T5" s="30" t="s">
        <v>119</v>
      </c>
      <c r="U5" s="10" t="s">
        <v>58</v>
      </c>
      <c r="W5" s="1">
        <v>10</v>
      </c>
    </row>
    <row r="6" spans="1:23" ht="32">
      <c r="A6" s="22" t="s">
        <v>80</v>
      </c>
      <c r="B6" s="3" t="s">
        <v>21</v>
      </c>
      <c r="C6" s="4">
        <v>42592</v>
      </c>
      <c r="D6" s="5">
        <v>0.32777777777777778</v>
      </c>
      <c r="E6" s="41">
        <v>1</v>
      </c>
      <c r="F6" s="37">
        <v>-0.33</v>
      </c>
      <c r="G6" s="9">
        <v>27.3</v>
      </c>
      <c r="H6" s="9">
        <v>35</v>
      </c>
      <c r="I6" s="8">
        <v>5.53</v>
      </c>
      <c r="J6" s="9">
        <v>84.5</v>
      </c>
      <c r="K6" s="8">
        <v>8.02</v>
      </c>
      <c r="L6" s="8">
        <f>AVERAGE(5.67,5.41,5.43)</f>
        <v>5.503333333333333</v>
      </c>
      <c r="M6" s="14">
        <v>61.896383495101801</v>
      </c>
      <c r="N6" s="41">
        <v>11.788268484920623</v>
      </c>
      <c r="O6" s="41">
        <v>9.5599079107062632</v>
      </c>
      <c r="P6" s="41">
        <v>447.20112563517586</v>
      </c>
      <c r="Q6" s="14">
        <v>8.711284742349072</v>
      </c>
      <c r="R6" s="14">
        <v>11.89764014133659</v>
      </c>
      <c r="S6" s="29">
        <v>1</v>
      </c>
      <c r="T6" s="30" t="s">
        <v>119</v>
      </c>
      <c r="U6" s="10" t="s">
        <v>48</v>
      </c>
      <c r="W6" s="1">
        <v>10</v>
      </c>
    </row>
    <row r="7" spans="1:23" ht="32">
      <c r="A7" s="23" t="s">
        <v>80</v>
      </c>
      <c r="B7" s="3" t="s">
        <v>21</v>
      </c>
      <c r="C7" s="4">
        <v>42606</v>
      </c>
      <c r="D7" s="5">
        <v>0.34722222222222227</v>
      </c>
      <c r="E7" s="41">
        <v>0</v>
      </c>
      <c r="F7" s="37">
        <v>-0.31</v>
      </c>
      <c r="G7" s="9">
        <v>28.4</v>
      </c>
      <c r="H7" s="9">
        <v>35.200000000000003</v>
      </c>
      <c r="I7" s="8">
        <v>5.44</v>
      </c>
      <c r="J7" s="9">
        <v>85</v>
      </c>
      <c r="K7" s="8">
        <v>8.01</v>
      </c>
      <c r="L7" s="8">
        <f>AVERAGE(23.7,23.7,28.8)</f>
        <v>25.400000000000002</v>
      </c>
      <c r="M7" s="14">
        <v>91.127427115217003</v>
      </c>
      <c r="N7" s="41">
        <v>19.381847111484632</v>
      </c>
      <c r="O7" s="41">
        <v>10.921356203456126</v>
      </c>
      <c r="P7" s="41">
        <v>699.51912826426974</v>
      </c>
      <c r="Q7" s="14">
        <v>28.623133139199325</v>
      </c>
      <c r="R7" s="14">
        <v>5.0779482405630194</v>
      </c>
      <c r="S7" s="29">
        <v>1</v>
      </c>
      <c r="T7" s="30" t="s">
        <v>119</v>
      </c>
      <c r="U7" s="10" t="s">
        <v>36</v>
      </c>
      <c r="W7" s="1">
        <v>192</v>
      </c>
    </row>
    <row r="8" spans="1:23" s="53" customFormat="1" ht="32">
      <c r="A8" s="53" t="s">
        <v>80</v>
      </c>
      <c r="B8" s="54" t="s">
        <v>21</v>
      </c>
      <c r="C8" s="55">
        <v>42620</v>
      </c>
      <c r="D8" s="56">
        <v>0.36527777777777781</v>
      </c>
      <c r="E8" s="32">
        <v>-1</v>
      </c>
      <c r="F8" s="32">
        <v>-0.37</v>
      </c>
      <c r="G8" s="57">
        <v>27.5</v>
      </c>
      <c r="H8" s="57">
        <v>36.5</v>
      </c>
      <c r="I8" s="32">
        <v>6.07</v>
      </c>
      <c r="J8" s="57">
        <v>94.2</v>
      </c>
      <c r="K8" s="32">
        <v>7.96</v>
      </c>
      <c r="L8" s="32">
        <f>AVERAGE(7.3,6.8,6.21)</f>
        <v>6.77</v>
      </c>
      <c r="M8" s="32">
        <v>71.635296641843041</v>
      </c>
      <c r="N8" s="32">
        <v>10.360288958671562</v>
      </c>
      <c r="O8" s="32">
        <v>5.4626540145782991</v>
      </c>
      <c r="P8" s="32">
        <v>99.936757796872698</v>
      </c>
      <c r="Q8" s="32">
        <v>5.968965816674535</v>
      </c>
      <c r="R8" s="32">
        <v>2.6120927295992553</v>
      </c>
      <c r="S8" s="58">
        <v>1</v>
      </c>
      <c r="T8" s="59" t="s">
        <v>120</v>
      </c>
      <c r="U8" s="60" t="s">
        <v>86</v>
      </c>
      <c r="W8" s="53">
        <v>20</v>
      </c>
    </row>
    <row r="9" spans="1:23" ht="32">
      <c r="A9" s="1" t="s">
        <v>80</v>
      </c>
      <c r="B9" s="3" t="s">
        <v>21</v>
      </c>
      <c r="C9" s="4">
        <v>42634</v>
      </c>
      <c r="D9" s="5">
        <v>0.32777777777777778</v>
      </c>
      <c r="E9" s="41">
        <v>-1</v>
      </c>
      <c r="F9" s="37">
        <v>-0.34</v>
      </c>
      <c r="G9" s="9">
        <v>27.1</v>
      </c>
      <c r="H9" s="9">
        <v>34.4</v>
      </c>
      <c r="I9" s="8">
        <v>6.08</v>
      </c>
      <c r="J9" s="9">
        <v>92.3</v>
      </c>
      <c r="K9" s="8">
        <v>8.0299999999999994</v>
      </c>
      <c r="L9" s="8">
        <f>AVERAGE(40.9,40.4,39)</f>
        <v>40.1</v>
      </c>
      <c r="M9" s="14">
        <v>108.60179225757149</v>
      </c>
      <c r="N9" s="41">
        <v>29.236393321276317</v>
      </c>
      <c r="O9" s="41">
        <v>14.428763472692365</v>
      </c>
      <c r="P9" s="41">
        <v>571.44295497528321</v>
      </c>
      <c r="Q9" s="14">
        <v>24.794156277873967</v>
      </c>
      <c r="R9" s="14">
        <v>16.647634106903972</v>
      </c>
      <c r="S9" s="29">
        <v>2</v>
      </c>
      <c r="T9" s="30" t="s">
        <v>119</v>
      </c>
      <c r="U9" s="10" t="s">
        <v>86</v>
      </c>
      <c r="W9" s="1">
        <v>20</v>
      </c>
    </row>
    <row r="10" spans="1:23" ht="32">
      <c r="A10" s="1" t="s">
        <v>80</v>
      </c>
      <c r="B10" s="3" t="s">
        <v>21</v>
      </c>
      <c r="C10" s="4">
        <v>42648</v>
      </c>
      <c r="D10" s="5">
        <v>0.3666666666666667</v>
      </c>
      <c r="E10" s="41">
        <v>-1</v>
      </c>
      <c r="F10" s="37">
        <v>-0.46</v>
      </c>
      <c r="G10" s="9">
        <v>27.8</v>
      </c>
      <c r="H10" s="9">
        <v>35.4</v>
      </c>
      <c r="I10" s="8">
        <v>5.44</v>
      </c>
      <c r="J10" s="9">
        <v>84.3</v>
      </c>
      <c r="K10" s="8">
        <v>7.89</v>
      </c>
      <c r="L10" s="8">
        <f>AVERAGE(15.6,14.3,14.3)</f>
        <v>14.733333333333334</v>
      </c>
      <c r="M10" s="14">
        <v>72.915801563451552</v>
      </c>
      <c r="N10" s="41">
        <v>12.450196494483988</v>
      </c>
      <c r="O10" s="41">
        <v>8.8482673114066319</v>
      </c>
      <c r="P10" s="41">
        <v>614.33678571541782</v>
      </c>
      <c r="Q10" s="14">
        <v>9.8763350385644557</v>
      </c>
      <c r="R10" s="14">
        <v>12.312101131274355</v>
      </c>
      <c r="S10" s="29">
        <v>1</v>
      </c>
      <c r="T10" s="30" t="s">
        <v>120</v>
      </c>
      <c r="U10" s="10" t="s">
        <v>86</v>
      </c>
      <c r="W10" s="1">
        <v>222</v>
      </c>
    </row>
    <row r="11" spans="1:23" ht="32">
      <c r="A11" s="1" t="s">
        <v>80</v>
      </c>
      <c r="B11" s="3" t="s">
        <v>21</v>
      </c>
      <c r="C11" s="4">
        <v>42662</v>
      </c>
      <c r="D11" s="5">
        <v>0.36874999999999997</v>
      </c>
      <c r="E11" s="41">
        <v>-1</v>
      </c>
      <c r="F11" s="37">
        <v>-0.56999999999999995</v>
      </c>
      <c r="G11" s="9">
        <v>27.2</v>
      </c>
      <c r="H11" s="9">
        <v>34</v>
      </c>
      <c r="I11" s="8">
        <v>6.12</v>
      </c>
      <c r="J11" s="9">
        <v>92.9</v>
      </c>
      <c r="K11" s="8">
        <v>8.0299999999999994</v>
      </c>
      <c r="L11" s="8">
        <f>AVERAGE(40.8,42.2,39.1)</f>
        <v>40.699999999999996</v>
      </c>
      <c r="M11" s="14">
        <v>81.40457302527463</v>
      </c>
      <c r="N11" s="41">
        <v>27.179473311387753</v>
      </c>
      <c r="O11" s="41">
        <v>12.195191377225942</v>
      </c>
      <c r="P11" s="41">
        <v>694.77733734200513</v>
      </c>
      <c r="Q11" s="14">
        <v>9.2339311774968635</v>
      </c>
      <c r="R11" s="14">
        <v>11.22615208988535</v>
      </c>
      <c r="S11" s="29">
        <v>2</v>
      </c>
      <c r="T11" s="30" t="s">
        <v>119</v>
      </c>
      <c r="U11" s="10" t="s">
        <v>86</v>
      </c>
      <c r="W11" s="1">
        <v>10</v>
      </c>
    </row>
    <row r="12" spans="1:23" ht="32">
      <c r="A12" s="1" t="s">
        <v>80</v>
      </c>
      <c r="B12" s="3" t="s">
        <v>21</v>
      </c>
      <c r="C12" s="4">
        <v>42676</v>
      </c>
      <c r="D12" s="5">
        <v>0.37222222222222223</v>
      </c>
      <c r="E12" s="41">
        <v>-1</v>
      </c>
      <c r="F12" s="37">
        <v>-0.66</v>
      </c>
      <c r="G12" s="9">
        <v>26.2</v>
      </c>
      <c r="H12" s="9">
        <v>34</v>
      </c>
      <c r="I12" s="8">
        <v>5.52</v>
      </c>
      <c r="J12" s="9">
        <v>82.2</v>
      </c>
      <c r="K12" s="8">
        <v>8.02</v>
      </c>
      <c r="L12" s="8">
        <f>AVERAGE(12.7,12.8,12.6)</f>
        <v>12.700000000000001</v>
      </c>
      <c r="M12" s="14">
        <v>90.525813239925981</v>
      </c>
      <c r="N12" s="41">
        <v>16.70451576262348</v>
      </c>
      <c r="O12" s="41">
        <v>10.753670191983042</v>
      </c>
      <c r="P12" s="41">
        <v>568.93363563965374</v>
      </c>
      <c r="Q12" s="14">
        <v>8.802752456306818</v>
      </c>
      <c r="R12" s="14">
        <v>19.569966919719707</v>
      </c>
      <c r="S12" s="29">
        <v>2</v>
      </c>
      <c r="T12" s="30" t="s">
        <v>119</v>
      </c>
      <c r="U12" s="10" t="s">
        <v>0</v>
      </c>
    </row>
    <row r="13" spans="1:23" ht="32">
      <c r="A13" s="1" t="s">
        <v>80</v>
      </c>
      <c r="B13" s="3" t="s">
        <v>21</v>
      </c>
      <c r="C13" s="4">
        <v>42690</v>
      </c>
      <c r="D13" s="5">
        <v>0.36458333333333331</v>
      </c>
      <c r="E13" s="41">
        <v>-1</v>
      </c>
      <c r="F13" s="37">
        <v>-0.65</v>
      </c>
      <c r="G13" s="13">
        <v>26.4</v>
      </c>
      <c r="H13" s="13">
        <v>34.1</v>
      </c>
      <c r="I13" s="18">
        <v>5.53</v>
      </c>
      <c r="J13" s="13">
        <v>82.9</v>
      </c>
      <c r="K13" s="18">
        <v>7.98</v>
      </c>
      <c r="L13" s="18">
        <f>AVERAGE(15.1,13.4,13.6)</f>
        <v>14.033333333333333</v>
      </c>
      <c r="M13" s="18">
        <v>122.65194017694925</v>
      </c>
      <c r="N13" s="41">
        <v>11.746438706328187</v>
      </c>
      <c r="O13" s="41">
        <v>10.655422194954465</v>
      </c>
      <c r="P13" s="41">
        <v>469.53001058493066</v>
      </c>
      <c r="Q13" s="18">
        <v>12.185556707615483</v>
      </c>
      <c r="R13" s="18">
        <v>5.1818774640152601</v>
      </c>
      <c r="S13" s="29">
        <v>2</v>
      </c>
      <c r="T13" s="30" t="s">
        <v>119</v>
      </c>
      <c r="U13" s="10" t="s">
        <v>0</v>
      </c>
    </row>
    <row r="14" spans="1:23" ht="32">
      <c r="A14" s="1" t="s">
        <v>80</v>
      </c>
      <c r="B14" s="3" t="s">
        <v>21</v>
      </c>
      <c r="C14" s="4">
        <v>42704</v>
      </c>
      <c r="D14" s="5">
        <v>0.36874999999999997</v>
      </c>
      <c r="E14" s="41">
        <v>-1</v>
      </c>
      <c r="F14" s="37">
        <v>-0.7</v>
      </c>
      <c r="G14" s="13">
        <v>25</v>
      </c>
      <c r="H14" s="13">
        <v>33.9</v>
      </c>
      <c r="I14" s="18">
        <v>6.24</v>
      </c>
      <c r="J14" s="13">
        <v>91.2</v>
      </c>
      <c r="K14" s="18">
        <v>8.01</v>
      </c>
      <c r="L14" s="18">
        <f>AVERAGE(9.3,9.57,9.46)</f>
        <v>9.4433333333333334</v>
      </c>
      <c r="M14" s="18">
        <v>93.302434046422704</v>
      </c>
      <c r="N14" s="41">
        <v>9.0385741763018252</v>
      </c>
      <c r="O14" s="41">
        <v>5.8047864793971247</v>
      </c>
      <c r="P14" s="41">
        <v>469.52288390407119</v>
      </c>
      <c r="Q14" s="18">
        <v>18.079279143102863</v>
      </c>
      <c r="R14" s="18">
        <v>4.7617726959052735</v>
      </c>
      <c r="S14" s="29">
        <v>2</v>
      </c>
      <c r="T14" s="30" t="s">
        <v>119</v>
      </c>
      <c r="U14" s="10" t="s">
        <v>0</v>
      </c>
    </row>
    <row r="15" spans="1:23" ht="32">
      <c r="A15" s="1" t="s">
        <v>80</v>
      </c>
      <c r="B15" s="3" t="s">
        <v>21</v>
      </c>
      <c r="C15" s="4">
        <v>42718</v>
      </c>
      <c r="D15" s="5">
        <v>0.36458333333333331</v>
      </c>
      <c r="E15" s="41">
        <v>-1</v>
      </c>
      <c r="F15" s="37">
        <v>-0.59</v>
      </c>
      <c r="G15" s="13">
        <v>23.7</v>
      </c>
      <c r="H15" s="13">
        <v>33.1</v>
      </c>
      <c r="I15" s="18">
        <v>6.65</v>
      </c>
      <c r="J15" s="13">
        <v>94.7</v>
      </c>
      <c r="K15" s="18">
        <v>7.96</v>
      </c>
      <c r="L15" s="18">
        <f>AVERAGE(14,14.4,14.4)</f>
        <v>14.266666666666666</v>
      </c>
      <c r="M15" s="18">
        <v>97.74288987851854</v>
      </c>
      <c r="N15" s="41">
        <v>19.059450152063349</v>
      </c>
      <c r="O15" s="41">
        <v>11.785307632469889</v>
      </c>
      <c r="P15" s="41">
        <v>601.12102013826654</v>
      </c>
      <c r="Q15" s="18">
        <v>21.633778212795605</v>
      </c>
      <c r="R15" s="18">
        <v>6.2319717105618944</v>
      </c>
      <c r="S15" s="29">
        <v>1</v>
      </c>
      <c r="T15" s="30" t="s">
        <v>119</v>
      </c>
      <c r="U15" s="10" t="s">
        <v>0</v>
      </c>
    </row>
    <row r="16" spans="1:23" ht="32">
      <c r="A16" s="1" t="s">
        <v>80</v>
      </c>
      <c r="B16" s="3" t="s">
        <v>21</v>
      </c>
      <c r="C16" s="4">
        <v>42739</v>
      </c>
      <c r="D16" s="5">
        <v>0.36249999999999999</v>
      </c>
      <c r="E16" s="41">
        <v>-1</v>
      </c>
      <c r="F16" s="37">
        <v>-0.23</v>
      </c>
      <c r="G16" s="13">
        <v>23.3</v>
      </c>
      <c r="H16" s="13">
        <v>34.700000000000003</v>
      </c>
      <c r="I16" s="18">
        <v>6.77</v>
      </c>
      <c r="J16" s="13">
        <v>96.4</v>
      </c>
      <c r="K16" s="18">
        <v>8.07</v>
      </c>
      <c r="L16" s="18">
        <f>AVERAGE(8.86,8.96,8.93)</f>
        <v>8.9166666666666661</v>
      </c>
      <c r="M16" s="18">
        <v>135.13328379146338</v>
      </c>
      <c r="N16" s="41">
        <v>18.193194924174204</v>
      </c>
      <c r="O16" s="41">
        <v>13.139656572167212</v>
      </c>
      <c r="P16" s="41">
        <v>400.39482928662312</v>
      </c>
      <c r="Q16" s="18">
        <v>10.192486674665572</v>
      </c>
      <c r="R16" s="18">
        <v>2.9786037994398598</v>
      </c>
      <c r="S16" s="29">
        <v>2</v>
      </c>
      <c r="T16" s="30" t="s">
        <v>119</v>
      </c>
      <c r="U16" s="10" t="s">
        <v>0</v>
      </c>
    </row>
    <row r="17" spans="1:23" ht="32">
      <c r="A17" s="1" t="s">
        <v>80</v>
      </c>
      <c r="B17" s="3" t="s">
        <v>21</v>
      </c>
      <c r="C17" s="4">
        <v>42760</v>
      </c>
      <c r="D17" s="5">
        <v>0.36805555555555558</v>
      </c>
      <c r="E17" s="41">
        <v>0</v>
      </c>
      <c r="F17" s="38">
        <v>-0.26</v>
      </c>
      <c r="G17" s="13">
        <v>23.8</v>
      </c>
      <c r="H17" s="13">
        <v>34.799999999999997</v>
      </c>
      <c r="I17" s="18">
        <v>6.22</v>
      </c>
      <c r="J17" s="13">
        <v>89.5</v>
      </c>
      <c r="K17" s="31">
        <v>7.96</v>
      </c>
      <c r="L17" s="18">
        <f>AVERAGE(3.66,3.72,3.2)</f>
        <v>3.5266666666666673</v>
      </c>
      <c r="M17" s="18">
        <v>84.685593663494387</v>
      </c>
      <c r="N17" s="41">
        <v>15.803317039080785</v>
      </c>
      <c r="O17" s="41">
        <v>14.90837357880619</v>
      </c>
      <c r="P17" s="41">
        <v>195.94727177783565</v>
      </c>
      <c r="Q17" s="18">
        <v>5.2179743888242101</v>
      </c>
      <c r="R17" s="18">
        <v>6.0057915074914385</v>
      </c>
      <c r="S17" s="29">
        <v>1</v>
      </c>
      <c r="T17" s="30" t="s">
        <v>119</v>
      </c>
      <c r="U17" s="10" t="s">
        <v>0</v>
      </c>
    </row>
    <row r="18" spans="1:23" ht="32">
      <c r="A18" s="1" t="s">
        <v>80</v>
      </c>
      <c r="B18" s="3" t="s">
        <v>21</v>
      </c>
      <c r="C18" s="4">
        <v>42781</v>
      </c>
      <c r="D18" s="5">
        <v>0.36458333333333331</v>
      </c>
      <c r="E18" s="41">
        <v>-1</v>
      </c>
      <c r="F18" s="37">
        <v>-0.32</v>
      </c>
      <c r="G18" s="13">
        <v>24.9</v>
      </c>
      <c r="H18" s="13">
        <v>34.1</v>
      </c>
      <c r="I18" s="18">
        <v>6.2</v>
      </c>
      <c r="J18" s="13">
        <v>90.5</v>
      </c>
      <c r="K18" s="32">
        <v>8.07</v>
      </c>
      <c r="L18" s="18">
        <f>AVERAGE(10.7,10.9,10.5)</f>
        <v>10.700000000000001</v>
      </c>
      <c r="M18" s="18">
        <v>94.632567217625095</v>
      </c>
      <c r="N18" s="41">
        <v>13.864914765755826</v>
      </c>
      <c r="O18" s="41">
        <v>10.025786776186441</v>
      </c>
      <c r="P18" s="41">
        <v>386.33336105443749</v>
      </c>
      <c r="Q18" s="18">
        <v>26.129402053127311</v>
      </c>
      <c r="R18" s="18">
        <v>7.811776062740428</v>
      </c>
      <c r="S18" s="29">
        <v>2</v>
      </c>
      <c r="T18" s="30" t="s">
        <v>72</v>
      </c>
      <c r="U18" s="10" t="s">
        <v>0</v>
      </c>
    </row>
    <row r="19" spans="1:23" ht="32">
      <c r="A19" s="1" t="s">
        <v>80</v>
      </c>
      <c r="B19" s="3" t="s">
        <v>21</v>
      </c>
      <c r="C19" s="4">
        <v>42802</v>
      </c>
      <c r="D19" s="5">
        <v>0.3743055555555555</v>
      </c>
      <c r="E19" s="41">
        <v>1</v>
      </c>
      <c r="F19" s="38">
        <v>0.12</v>
      </c>
      <c r="G19" s="13">
        <v>24.6</v>
      </c>
      <c r="H19" s="13">
        <v>33.9</v>
      </c>
      <c r="I19" s="18">
        <v>6.13</v>
      </c>
      <c r="J19" s="13">
        <v>88.8</v>
      </c>
      <c r="K19" s="32">
        <v>8.1</v>
      </c>
      <c r="L19" s="18">
        <f>AVERAGE(6.45,5.83,7.81,10.4,7.32)</f>
        <v>7.5620000000000003</v>
      </c>
      <c r="M19" s="18">
        <v>76.940345608003895</v>
      </c>
      <c r="N19" s="41">
        <v>10.364875364023765</v>
      </c>
      <c r="O19" s="41">
        <v>8.9049565750000017</v>
      </c>
      <c r="P19" s="41">
        <v>290.10906559401906</v>
      </c>
      <c r="Q19" s="18">
        <v>13.058524447031427</v>
      </c>
      <c r="R19" s="18">
        <v>6.6500789721442919</v>
      </c>
      <c r="S19" s="29">
        <v>1</v>
      </c>
      <c r="T19" s="30" t="s">
        <v>6</v>
      </c>
      <c r="U19" s="10" t="s">
        <v>0</v>
      </c>
    </row>
    <row r="20" spans="1:23" ht="32">
      <c r="A20" s="1" t="s">
        <v>80</v>
      </c>
      <c r="B20" s="3" t="s">
        <v>21</v>
      </c>
      <c r="C20" s="4">
        <v>42823</v>
      </c>
      <c r="D20" s="5">
        <v>0.36805555555555558</v>
      </c>
      <c r="E20" s="41">
        <v>-1</v>
      </c>
      <c r="F20" s="39">
        <v>-0.79</v>
      </c>
      <c r="G20" s="13">
        <v>26</v>
      </c>
      <c r="H20" s="13">
        <v>33.4</v>
      </c>
      <c r="I20" s="18">
        <v>5.72</v>
      </c>
      <c r="J20" s="13">
        <v>84.5</v>
      </c>
      <c r="K20" s="32">
        <v>8.06</v>
      </c>
      <c r="L20" s="18">
        <f>AVERAGE(6.46,5.86,8.74,7.69)</f>
        <v>7.1875000000000009</v>
      </c>
      <c r="M20" s="18">
        <v>82.418561409649016</v>
      </c>
      <c r="N20" s="41">
        <v>13.312231316598346</v>
      </c>
      <c r="O20" s="41">
        <v>8.3505292236274116</v>
      </c>
      <c r="P20" s="41">
        <v>321.28819114293105</v>
      </c>
      <c r="Q20" s="18">
        <v>12.087764969486129</v>
      </c>
      <c r="R20" s="18">
        <v>11.429643723948836</v>
      </c>
      <c r="S20" s="29">
        <v>1</v>
      </c>
      <c r="T20" s="30" t="s">
        <v>6</v>
      </c>
      <c r="U20" s="10" t="s">
        <v>0</v>
      </c>
    </row>
    <row r="21" spans="1:23" ht="32">
      <c r="A21" s="1" t="s">
        <v>80</v>
      </c>
      <c r="B21" s="3" t="s">
        <v>21</v>
      </c>
      <c r="C21" s="4">
        <v>42844</v>
      </c>
      <c r="D21" s="5">
        <v>0.36458333333333331</v>
      </c>
      <c r="E21" s="41">
        <v>-1</v>
      </c>
      <c r="F21" s="37">
        <v>-0.01</v>
      </c>
      <c r="G21" s="13">
        <v>25.9</v>
      </c>
      <c r="H21" s="13">
        <v>33.700000000000003</v>
      </c>
      <c r="I21" s="18">
        <v>6.43</v>
      </c>
      <c r="J21" s="13">
        <v>95.3</v>
      </c>
      <c r="K21" s="32">
        <v>8.11</v>
      </c>
      <c r="L21" s="18">
        <f>AVERAGE(9.3,9.3,8.85)</f>
        <v>9.15</v>
      </c>
      <c r="M21" s="41">
        <v>91.677170931405101</v>
      </c>
      <c r="N21" s="41">
        <v>11.615683734326016</v>
      </c>
      <c r="O21" s="41">
        <v>8.3595379894600104</v>
      </c>
      <c r="P21" s="41">
        <v>261.11242716522469</v>
      </c>
      <c r="Q21" s="41">
        <v>3.3877791394481402</v>
      </c>
      <c r="R21" s="41">
        <v>2.7444346068471002</v>
      </c>
      <c r="S21" s="29">
        <v>1</v>
      </c>
      <c r="T21" s="30" t="s">
        <v>6</v>
      </c>
      <c r="U21" s="10" t="s">
        <v>0</v>
      </c>
    </row>
    <row r="22" spans="1:23" ht="32">
      <c r="A22" s="1" t="s">
        <v>80</v>
      </c>
      <c r="B22" s="3" t="s">
        <v>21</v>
      </c>
      <c r="C22" s="4">
        <v>42865</v>
      </c>
      <c r="D22" s="5">
        <v>0.3611111111111111</v>
      </c>
      <c r="E22" s="41">
        <v>1</v>
      </c>
      <c r="F22" s="39">
        <v>-1.04</v>
      </c>
      <c r="G22" s="13">
        <v>25.8</v>
      </c>
      <c r="H22" s="13">
        <v>33.9</v>
      </c>
      <c r="I22" s="18">
        <v>6.24</v>
      </c>
      <c r="J22" s="13">
        <v>92.7</v>
      </c>
      <c r="K22" s="18">
        <v>8.14</v>
      </c>
      <c r="L22" s="18">
        <f>AVERAGE(1.59,2.28,2.12)</f>
        <v>1.9966666666666668</v>
      </c>
      <c r="M22" s="41">
        <v>67.517178091926652</v>
      </c>
      <c r="N22" s="41">
        <v>8.3274796412570087</v>
      </c>
      <c r="O22" s="41">
        <v>6.2770551277478122</v>
      </c>
      <c r="P22" s="41">
        <v>203.96090438776616</v>
      </c>
      <c r="Q22" s="41">
        <v>7.8193929462324219</v>
      </c>
      <c r="R22" s="41">
        <v>2.5635833311449883</v>
      </c>
      <c r="S22" s="29">
        <v>1</v>
      </c>
      <c r="T22" s="30" t="s">
        <v>45</v>
      </c>
      <c r="U22" s="10" t="s">
        <v>0</v>
      </c>
    </row>
    <row r="23" spans="1:23" ht="32">
      <c r="A23" s="1" t="s">
        <v>80</v>
      </c>
      <c r="B23" s="3" t="s">
        <v>21</v>
      </c>
      <c r="C23" s="4">
        <v>42886</v>
      </c>
      <c r="D23" s="5">
        <v>0.36180555555555555</v>
      </c>
      <c r="G23" s="13">
        <v>26.5</v>
      </c>
      <c r="H23" s="13">
        <v>34.4</v>
      </c>
      <c r="I23" s="18">
        <v>6.32</v>
      </c>
      <c r="J23" s="13">
        <v>94.9</v>
      </c>
      <c r="K23" s="18">
        <v>8.06</v>
      </c>
      <c r="L23" s="18">
        <f>AVERAGE(4.84,5.54,5.05)</f>
        <v>5.1433333333333335</v>
      </c>
      <c r="M23" s="41">
        <v>70.110218028342615</v>
      </c>
      <c r="N23" s="41">
        <v>11.37058125686068</v>
      </c>
      <c r="O23" s="41">
        <v>9.1845163938529275</v>
      </c>
      <c r="P23" s="41">
        <v>331.09014211812257</v>
      </c>
      <c r="Q23" s="41">
        <v>9.6267525181937721</v>
      </c>
      <c r="R23" s="41">
        <v>5.9107420185169062</v>
      </c>
      <c r="S23" s="29">
        <v>1</v>
      </c>
      <c r="T23" s="30" t="s">
        <v>27</v>
      </c>
      <c r="U23" s="10" t="s">
        <v>0</v>
      </c>
    </row>
    <row r="24" spans="1:23" ht="32">
      <c r="A24" s="1" t="s">
        <v>109</v>
      </c>
      <c r="B24" s="3" t="s">
        <v>21</v>
      </c>
      <c r="C24" s="4">
        <v>42907</v>
      </c>
      <c r="D24" s="5">
        <v>0.36319444444444443</v>
      </c>
      <c r="G24" s="13">
        <v>26.7</v>
      </c>
      <c r="H24" s="13">
        <v>33.9</v>
      </c>
      <c r="I24" s="18">
        <v>6.32</v>
      </c>
      <c r="J24" s="13">
        <v>95.2</v>
      </c>
      <c r="K24" s="18">
        <v>8.08</v>
      </c>
      <c r="L24" s="18">
        <f>AVERAGE(2.39,2.52,2.44)</f>
        <v>2.4499999999999997</v>
      </c>
      <c r="M24" s="41">
        <v>74.999283723007537</v>
      </c>
      <c r="N24" s="41">
        <v>10.631718429142493</v>
      </c>
      <c r="O24" s="41">
        <v>7.2985339656879988</v>
      </c>
      <c r="P24" s="41">
        <v>196.88865965402547</v>
      </c>
      <c r="Q24" s="41">
        <v>7.6010657661416499</v>
      </c>
      <c r="R24" s="41">
        <v>3.983476261379888</v>
      </c>
      <c r="S24" s="42">
        <v>2</v>
      </c>
      <c r="T24" s="43" t="s">
        <v>41</v>
      </c>
      <c r="U24" s="10" t="s">
        <v>0</v>
      </c>
    </row>
    <row r="25" spans="1:23" ht="32">
      <c r="A25" s="1" t="s">
        <v>109</v>
      </c>
      <c r="B25" s="3" t="s">
        <v>21</v>
      </c>
      <c r="C25" s="4">
        <v>42928</v>
      </c>
      <c r="D25" s="5">
        <v>0.3576388888888889</v>
      </c>
      <c r="G25" s="13">
        <v>27.1</v>
      </c>
      <c r="H25" s="13">
        <v>34.1</v>
      </c>
      <c r="I25" s="18">
        <v>5.47</v>
      </c>
      <c r="J25" s="13">
        <v>82.9</v>
      </c>
      <c r="K25" s="18">
        <v>8.06</v>
      </c>
      <c r="L25" s="18">
        <f>AVERAGE(3.93,4.98,5.09,4.28)</f>
        <v>4.57</v>
      </c>
      <c r="M25" s="41">
        <v>69.260557979645156</v>
      </c>
      <c r="N25" s="41">
        <v>10.390611428556449</v>
      </c>
      <c r="O25" s="41">
        <v>6.8246398891831426</v>
      </c>
      <c r="P25" s="41">
        <v>278.27247917392174</v>
      </c>
      <c r="Q25" s="41">
        <v>12.299165539346831</v>
      </c>
      <c r="R25" s="41">
        <v>3.2333277971340051</v>
      </c>
      <c r="S25" s="42">
        <v>2</v>
      </c>
      <c r="T25" s="43" t="s">
        <v>68</v>
      </c>
      <c r="U25" s="10" t="s">
        <v>0</v>
      </c>
    </row>
    <row r="26" spans="1:23" ht="32">
      <c r="A26" s="1" t="s">
        <v>109</v>
      </c>
      <c r="B26" s="3" t="s">
        <v>21</v>
      </c>
      <c r="C26" s="4">
        <v>42949</v>
      </c>
      <c r="D26" s="5">
        <v>0.3611111111111111</v>
      </c>
      <c r="G26" s="9">
        <v>27.4</v>
      </c>
      <c r="H26" s="9">
        <v>34.299999999999997</v>
      </c>
      <c r="I26" s="8">
        <v>6.28</v>
      </c>
      <c r="J26" s="9">
        <v>96</v>
      </c>
      <c r="K26" s="8">
        <v>8.06</v>
      </c>
      <c r="L26" s="8">
        <f>AVERAGE(5.79,6.39,6.42)</f>
        <v>6.2</v>
      </c>
      <c r="M26" s="41">
        <v>71.383419877133122</v>
      </c>
      <c r="N26" s="41">
        <v>11.010114725546215</v>
      </c>
      <c r="O26" s="41">
        <v>8.6168291384304947</v>
      </c>
      <c r="P26" s="41">
        <v>273.51946381925882</v>
      </c>
      <c r="Q26" s="41">
        <v>7.1487843799946713</v>
      </c>
      <c r="R26" s="41">
        <v>1.9376180625541695</v>
      </c>
      <c r="S26" s="42">
        <v>2</v>
      </c>
      <c r="T26" s="43" t="s">
        <v>98</v>
      </c>
      <c r="U26" s="10" t="s">
        <v>0</v>
      </c>
      <c r="W26" s="1">
        <f>GEOMEAN(W2:W11)</f>
        <v>34.050190007758204</v>
      </c>
    </row>
    <row r="27" spans="1:23" ht="32">
      <c r="A27" s="1" t="s">
        <v>109</v>
      </c>
      <c r="B27" s="3" t="s">
        <v>21</v>
      </c>
      <c r="C27" s="4">
        <v>42970</v>
      </c>
      <c r="D27" s="5">
        <v>0.3659722222222222</v>
      </c>
      <c r="G27" s="9">
        <v>27.2</v>
      </c>
      <c r="H27" s="9">
        <v>34.299999999999997</v>
      </c>
      <c r="I27" s="8">
        <v>6.43</v>
      </c>
      <c r="J27" s="9">
        <v>97.9</v>
      </c>
      <c r="K27" s="8">
        <v>8.08</v>
      </c>
      <c r="L27" s="8">
        <f>AVERAGE(7.52,7.65,7.52)</f>
        <v>7.5633333333333326</v>
      </c>
      <c r="M27" s="41">
        <v>73.929014062370527</v>
      </c>
      <c r="N27" s="41">
        <v>13.68205219913188</v>
      </c>
      <c r="O27" s="41">
        <v>10.470295120755569</v>
      </c>
      <c r="P27" s="41">
        <v>290.57831004146112</v>
      </c>
      <c r="Q27" s="41">
        <v>7.7457795851092186</v>
      </c>
      <c r="R27" s="41">
        <v>3.9522268553332931</v>
      </c>
      <c r="S27" s="42">
        <v>1</v>
      </c>
      <c r="T27" s="43" t="s">
        <v>29</v>
      </c>
      <c r="U27" s="10" t="s">
        <v>0</v>
      </c>
    </row>
    <row r="28" spans="1:23" ht="32">
      <c r="A28" s="1" t="s">
        <v>109</v>
      </c>
      <c r="B28" s="3" t="s">
        <v>21</v>
      </c>
      <c r="C28" s="4">
        <v>42991</v>
      </c>
      <c r="D28" s="49">
        <v>0.36319444444444443</v>
      </c>
      <c r="G28" s="9">
        <v>27.9</v>
      </c>
      <c r="H28" s="9">
        <v>34.5</v>
      </c>
      <c r="I28" s="8">
        <v>6.36</v>
      </c>
      <c r="J28" s="9">
        <v>99.3</v>
      </c>
      <c r="K28" s="8">
        <v>8.11</v>
      </c>
      <c r="L28" s="8">
        <f>AVERAGE(8.13,8.25,8.5)</f>
        <v>8.2933333333333348</v>
      </c>
      <c r="M28" s="41">
        <v>54.941636144600999</v>
      </c>
      <c r="N28" s="41">
        <v>19.209348617243048</v>
      </c>
      <c r="O28" s="41">
        <v>10.667867932011333</v>
      </c>
      <c r="P28" s="41">
        <v>371.3798119811529</v>
      </c>
      <c r="Q28" s="41">
        <v>3.7092537239509169</v>
      </c>
      <c r="R28" s="41">
        <v>2.6619354823821468</v>
      </c>
      <c r="S28" s="42">
        <v>2</v>
      </c>
      <c r="T28" s="43" t="s">
        <v>114</v>
      </c>
      <c r="U28" s="10" t="s">
        <v>0</v>
      </c>
    </row>
    <row r="29" spans="1:23" ht="32">
      <c r="A29" s="1" t="s">
        <v>109</v>
      </c>
      <c r="B29" s="3" t="s">
        <v>21</v>
      </c>
      <c r="C29" s="4">
        <v>43012</v>
      </c>
      <c r="D29" s="49">
        <v>0.3611111111111111</v>
      </c>
      <c r="G29" s="9">
        <v>27.8</v>
      </c>
      <c r="H29" s="9">
        <v>33.799999999999997</v>
      </c>
      <c r="I29" s="8">
        <v>5.64</v>
      </c>
      <c r="J29" s="9">
        <v>86.7</v>
      </c>
      <c r="K29" s="8">
        <v>8.0299999999999994</v>
      </c>
      <c r="L29" s="8">
        <f>AVERAGE(4.04,4.14,4.08)</f>
        <v>4.0866666666666669</v>
      </c>
      <c r="M29" s="41">
        <v>126.79197872100256</v>
      </c>
      <c r="N29" s="41">
        <v>11.85676841625201</v>
      </c>
      <c r="O29" s="41">
        <v>10.946536150545986</v>
      </c>
      <c r="P29" s="41">
        <v>332.70285045455029</v>
      </c>
      <c r="Q29" s="41">
        <v>7.5902416177886707</v>
      </c>
      <c r="R29" s="41">
        <v>11.586447764422211</v>
      </c>
      <c r="S29" s="42">
        <v>1</v>
      </c>
      <c r="T29" s="43" t="s">
        <v>112</v>
      </c>
      <c r="U29" s="10" t="s">
        <v>0</v>
      </c>
    </row>
    <row r="30" spans="1:23" ht="32">
      <c r="A30" s="1" t="s">
        <v>109</v>
      </c>
      <c r="B30" s="3" t="s">
        <v>21</v>
      </c>
      <c r="C30" s="4">
        <v>43033</v>
      </c>
      <c r="D30" s="49">
        <v>0.3659722222222222</v>
      </c>
      <c r="F30" s="41"/>
      <c r="G30" s="13">
        <v>26.7</v>
      </c>
      <c r="H30" s="13">
        <v>34.1</v>
      </c>
      <c r="I30" s="41">
        <v>6.5</v>
      </c>
      <c r="J30" s="13">
        <v>98.2</v>
      </c>
      <c r="K30" s="41">
        <v>8.07</v>
      </c>
      <c r="L30" s="41">
        <f>AVERAGE(19.2,19.1,19.4)</f>
        <v>19.233333333333331</v>
      </c>
      <c r="M30" s="41">
        <v>58.708322631161998</v>
      </c>
      <c r="N30" s="41">
        <v>12.74458153186886</v>
      </c>
      <c r="O30" s="41">
        <v>10.172745784465178</v>
      </c>
      <c r="P30" s="41">
        <v>323.00492603596587</v>
      </c>
      <c r="Q30" s="41">
        <v>6.053800140068283</v>
      </c>
      <c r="R30" s="41">
        <v>4.7010159572550627</v>
      </c>
      <c r="S30" s="42">
        <v>3</v>
      </c>
      <c r="T30" s="43" t="s">
        <v>32</v>
      </c>
      <c r="U30" s="10" t="s">
        <v>31</v>
      </c>
    </row>
    <row r="31" spans="1:23" ht="32">
      <c r="A31" s="1" t="s">
        <v>109</v>
      </c>
      <c r="B31" s="3" t="s">
        <v>21</v>
      </c>
      <c r="C31" s="4">
        <v>43054</v>
      </c>
      <c r="D31" s="49">
        <v>0.3576388888888889</v>
      </c>
      <c r="G31" s="9">
        <v>26</v>
      </c>
      <c r="H31" s="9">
        <v>34.5</v>
      </c>
      <c r="I31" s="8">
        <v>6.37</v>
      </c>
      <c r="J31" s="9">
        <v>95.2</v>
      </c>
      <c r="K31" s="8">
        <v>8.11</v>
      </c>
      <c r="L31" s="8">
        <f>AVERAGE(3.16,3.65,3.84)</f>
        <v>3.5500000000000003</v>
      </c>
      <c r="M31" s="41">
        <v>69.657006995474504</v>
      </c>
      <c r="N31" s="41">
        <v>14.80451954339398</v>
      </c>
      <c r="O31" s="41">
        <v>8.3526985278734305</v>
      </c>
      <c r="P31" s="41">
        <v>404.31629151275808</v>
      </c>
      <c r="Q31" s="41">
        <v>5.6550496895261331</v>
      </c>
      <c r="R31" s="41">
        <v>7.50565115767803</v>
      </c>
      <c r="S31" s="42">
        <v>1</v>
      </c>
      <c r="T31" s="43" t="s">
        <v>38</v>
      </c>
      <c r="U31" s="10" t="s">
        <v>31</v>
      </c>
    </row>
    <row r="32" spans="1:23" ht="32">
      <c r="A32" s="1" t="s">
        <v>109</v>
      </c>
      <c r="B32" s="3" t="s">
        <v>21</v>
      </c>
      <c r="C32" s="4">
        <v>43075</v>
      </c>
      <c r="D32" s="49">
        <v>0.3576388888888889</v>
      </c>
      <c r="F32" s="41"/>
      <c r="G32" s="13">
        <v>23.8</v>
      </c>
      <c r="H32" s="13">
        <v>34.6</v>
      </c>
      <c r="I32" s="41">
        <v>6.67</v>
      </c>
      <c r="J32" s="13">
        <v>95.7</v>
      </c>
      <c r="K32" s="41">
        <v>8.15</v>
      </c>
      <c r="L32" s="41">
        <f>AVERAGE(11.9,12,12.9)</f>
        <v>12.266666666666666</v>
      </c>
      <c r="M32" s="41"/>
      <c r="Q32" s="41"/>
      <c r="R32" s="41"/>
      <c r="S32" s="42">
        <v>3</v>
      </c>
      <c r="T32" s="43" t="s">
        <v>55</v>
      </c>
      <c r="U32" s="10" t="s">
        <v>31</v>
      </c>
    </row>
    <row r="33" spans="1:21" ht="32">
      <c r="A33" s="1" t="s">
        <v>109</v>
      </c>
      <c r="B33" s="3" t="s">
        <v>21</v>
      </c>
      <c r="C33" s="4">
        <v>43089</v>
      </c>
      <c r="D33" s="49">
        <v>0.36180555555555555</v>
      </c>
      <c r="F33" s="41"/>
      <c r="G33" s="13">
        <v>24.1</v>
      </c>
      <c r="H33" s="13">
        <v>34.9</v>
      </c>
      <c r="I33" s="41">
        <v>6.59</v>
      </c>
      <c r="J33" s="13">
        <v>96</v>
      </c>
      <c r="K33" s="41">
        <v>8.14</v>
      </c>
      <c r="L33" s="41">
        <f>AVERAGE(7.31,6.83,6.69)</f>
        <v>6.9433333333333342</v>
      </c>
      <c r="M33" s="41"/>
      <c r="Q33" s="41"/>
      <c r="R33" s="41"/>
      <c r="S33" s="42">
        <v>1</v>
      </c>
      <c r="T33" s="43" t="s">
        <v>77</v>
      </c>
      <c r="U33" s="10" t="s">
        <v>31</v>
      </c>
    </row>
    <row r="34" spans="1:21" ht="32">
      <c r="A34" s="1" t="s">
        <v>109</v>
      </c>
      <c r="B34" s="3" t="s">
        <v>21</v>
      </c>
      <c r="C34" s="4">
        <v>43110</v>
      </c>
      <c r="D34" s="49">
        <v>0.36458333333333331</v>
      </c>
      <c r="F34" s="41"/>
      <c r="G34" s="13">
        <v>24</v>
      </c>
      <c r="H34" s="13">
        <v>34.1</v>
      </c>
      <c r="I34" s="41">
        <v>6.1</v>
      </c>
      <c r="J34" s="13">
        <v>87.7</v>
      </c>
      <c r="K34" s="41">
        <v>8.07</v>
      </c>
      <c r="L34" s="41">
        <f>AVERAGE(2.38,3,2.55)</f>
        <v>2.6433333333333331</v>
      </c>
      <c r="M34" s="41"/>
      <c r="Q34" s="41"/>
      <c r="R34" s="41"/>
      <c r="S34" s="42">
        <v>3</v>
      </c>
      <c r="T34" s="43" t="s">
        <v>20</v>
      </c>
      <c r="U34" s="10" t="s">
        <v>31</v>
      </c>
    </row>
    <row r="35" spans="1:21" ht="32">
      <c r="A35" s="1" t="s">
        <v>109</v>
      </c>
      <c r="B35" s="3" t="s">
        <v>21</v>
      </c>
      <c r="C35" s="4">
        <v>43131</v>
      </c>
      <c r="D35" s="49">
        <v>0.35416666666666669</v>
      </c>
      <c r="F35" s="41"/>
      <c r="G35" s="52">
        <v>23.8</v>
      </c>
      <c r="H35" s="52">
        <v>33.799999999999997</v>
      </c>
      <c r="I35" s="41">
        <v>6.31</v>
      </c>
      <c r="J35" s="52">
        <v>91</v>
      </c>
      <c r="K35" s="41">
        <v>8.09</v>
      </c>
      <c r="L35" s="41">
        <f>AVERAGE(11.8,12.2,12.9)</f>
        <v>12.299999999999999</v>
      </c>
      <c r="M35" s="41"/>
      <c r="Q35" s="41"/>
      <c r="R35" s="41"/>
      <c r="S35" s="42">
        <v>1</v>
      </c>
      <c r="T35" s="43" t="s">
        <v>18</v>
      </c>
      <c r="U35" s="10" t="s">
        <v>31</v>
      </c>
    </row>
    <row r="36" spans="1:21">
      <c r="C36" s="4"/>
      <c r="D36" s="49"/>
      <c r="E36" s="51"/>
      <c r="F36" s="51"/>
      <c r="G36" s="52"/>
      <c r="H36" s="52"/>
      <c r="I36" s="51"/>
      <c r="J36" s="52"/>
      <c r="K36" s="51"/>
      <c r="L36" s="51"/>
      <c r="M36" s="51"/>
      <c r="N36" s="51"/>
      <c r="O36" s="51"/>
      <c r="P36" s="51"/>
      <c r="Q36" s="51"/>
      <c r="R36" s="51"/>
      <c r="S36" s="42"/>
      <c r="T36" s="43"/>
    </row>
    <row r="37" spans="1:21">
      <c r="F37" s="41"/>
      <c r="G37" s="13"/>
      <c r="H37" s="13"/>
      <c r="I37" s="41"/>
      <c r="J37" s="13"/>
      <c r="K37" s="41"/>
      <c r="L37" s="41"/>
      <c r="M37" s="41"/>
      <c r="Q37" s="41"/>
      <c r="R37" s="41"/>
      <c r="S37" s="42"/>
      <c r="T37" s="43"/>
    </row>
    <row r="38" spans="1:21">
      <c r="F38" s="41"/>
      <c r="G38" s="13"/>
      <c r="H38" s="13"/>
      <c r="I38" s="41"/>
      <c r="J38" s="13"/>
      <c r="K38" s="41"/>
      <c r="L38" s="41"/>
      <c r="M38" s="41"/>
      <c r="Q38" s="41"/>
      <c r="R38" s="41"/>
      <c r="S38" s="42"/>
      <c r="T38" s="43"/>
    </row>
    <row r="39" spans="1:21">
      <c r="F39" s="41"/>
      <c r="G39" s="13"/>
      <c r="H39" s="13"/>
      <c r="I39" s="41"/>
      <c r="J39" s="13"/>
      <c r="K39" s="41"/>
      <c r="L39" s="41"/>
      <c r="M39" s="41"/>
      <c r="Q39" s="41"/>
      <c r="R39" s="41"/>
      <c r="S39" s="42"/>
      <c r="T39" s="43"/>
    </row>
    <row r="42" spans="1:21">
      <c r="L42" s="25">
        <f t="shared" ref="L42:R42" si="0">GEOMEAN(L2:L40)</f>
        <v>7.4689482382702588</v>
      </c>
      <c r="M42" s="14">
        <f t="shared" si="0"/>
        <v>81.904063147378508</v>
      </c>
      <c r="N42" s="32">
        <f t="shared" si="0"/>
        <v>13.875394471162974</v>
      </c>
      <c r="O42" s="38">
        <f t="shared" si="0"/>
        <v>9.216915458750627</v>
      </c>
      <c r="P42" s="41">
        <f t="shared" si="0"/>
        <v>340.99039825388905</v>
      </c>
      <c r="Q42" s="25">
        <f t="shared" si="0"/>
        <v>8.9715137012210135</v>
      </c>
      <c r="R42" s="25">
        <f t="shared" si="0"/>
        <v>5.3230640380287007</v>
      </c>
      <c r="U42" s="10" t="s">
        <v>91</v>
      </c>
    </row>
    <row r="43" spans="1:21">
      <c r="D43" s="45">
        <f t="shared" ref="D43:R43" si="1">AVERAGE(D2:D40)</f>
        <v>0.35912990196078426</v>
      </c>
      <c r="E43" s="49">
        <f t="shared" si="1"/>
        <v>-0.23809523809523808</v>
      </c>
      <c r="F43" s="49">
        <f t="shared" si="1"/>
        <v>-0.44571428571428567</v>
      </c>
      <c r="G43" s="50">
        <f t="shared" si="1"/>
        <v>26.126470588235293</v>
      </c>
      <c r="H43" s="50">
        <f t="shared" si="1"/>
        <v>34.047058823529404</v>
      </c>
      <c r="I43" s="51">
        <f t="shared" si="1"/>
        <v>6.1158823529411759</v>
      </c>
      <c r="J43" s="52">
        <f t="shared" si="1"/>
        <v>91.447058823529403</v>
      </c>
      <c r="K43" s="51">
        <f t="shared" si="1"/>
        <v>8.046764705882353</v>
      </c>
      <c r="L43" s="51">
        <f t="shared" si="1"/>
        <v>10.124102941176471</v>
      </c>
      <c r="M43" s="51">
        <f t="shared" si="1"/>
        <v>83.89089247179696</v>
      </c>
      <c r="N43" s="51">
        <f t="shared" si="1"/>
        <v>14.512680127754159</v>
      </c>
      <c r="O43" s="51">
        <f t="shared" si="1"/>
        <v>9.5042346354173457</v>
      </c>
      <c r="P43" s="51">
        <f t="shared" si="1"/>
        <v>373.36813278254687</v>
      </c>
      <c r="Q43" s="51">
        <f t="shared" si="1"/>
        <v>10.580740544359726</v>
      </c>
      <c r="R43" s="51">
        <f t="shared" si="1"/>
        <v>6.5214166846543931</v>
      </c>
      <c r="U43" s="10" t="s">
        <v>92</v>
      </c>
    </row>
    <row r="44" spans="1:21">
      <c r="G44" s="41">
        <f>STDEV(G2:G40)</f>
        <v>1.4761351715081035</v>
      </c>
      <c r="H44" s="41">
        <f>STDEV(H2:H40)</f>
        <v>1.5484567672595437</v>
      </c>
      <c r="I44" s="41">
        <f t="shared" ref="I44:R44" si="2">STDEV(I2:I40)</f>
        <v>0.40245547577612495</v>
      </c>
      <c r="J44" s="41">
        <f t="shared" si="2"/>
        <v>5.269019533549117</v>
      </c>
      <c r="K44" s="41">
        <f t="shared" si="2"/>
        <v>5.8190939013251175E-2</v>
      </c>
      <c r="L44" s="41">
        <f t="shared" si="2"/>
        <v>9.2674151705200742</v>
      </c>
      <c r="M44" s="41">
        <f t="shared" si="2"/>
        <v>19.497075794774034</v>
      </c>
      <c r="N44" s="41">
        <f t="shared" si="2"/>
        <v>4.813329575201271</v>
      </c>
      <c r="O44" s="41">
        <f t="shared" si="2"/>
        <v>2.372869170758229</v>
      </c>
      <c r="P44" s="41">
        <f t="shared" si="2"/>
        <v>156.55415190248814</v>
      </c>
      <c r="Q44" s="41">
        <f t="shared" si="2"/>
        <v>6.721795929059093</v>
      </c>
      <c r="R44" s="41">
        <f t="shared" si="2"/>
        <v>4.4872953967259086</v>
      </c>
      <c r="U44" s="10" t="s">
        <v>93</v>
      </c>
    </row>
    <row r="45" spans="1:21">
      <c r="L45" s="18"/>
    </row>
    <row r="46" spans="1:21">
      <c r="L46" s="18">
        <f>L42/0.2</f>
        <v>37.344741191351289</v>
      </c>
      <c r="M46" s="18">
        <f>M42/110</f>
        <v>0.74458239224889555</v>
      </c>
      <c r="N46" s="41">
        <f>N42/16</f>
        <v>0.86721215444768585</v>
      </c>
      <c r="O46" s="41">
        <f>O42/6</f>
        <v>1.5361525764584378</v>
      </c>
      <c r="P46" s="41">
        <f>P42</f>
        <v>340.99039825388905</v>
      </c>
      <c r="Q46" s="18">
        <f>Q42/3.5</f>
        <v>2.5632896289202898</v>
      </c>
      <c r="R46" s="18">
        <f>R42/2</f>
        <v>2.6615320190143503</v>
      </c>
      <c r="U46" s="10" t="s">
        <v>60</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30" activePane="bottomRight" state="frozen"/>
      <selection pane="topRight" activeCell="D1" sqref="D1"/>
      <selection pane="bottomLeft" activeCell="A2" sqref="A2"/>
      <selection pane="bottomRight" activeCell="A36" sqref="A36"/>
    </sheetView>
  </sheetViews>
  <sheetFormatPr baseColWidth="10" defaultRowHeight="16"/>
  <cols>
    <col min="1" max="1" width="19.42578125" style="1" customWidth="1"/>
    <col min="2" max="2" width="10.7109375" style="3"/>
    <col min="3" max="4" width="10.7109375" style="1"/>
    <col min="5" max="5" width="13.140625" style="13" customWidth="1"/>
    <col min="6" max="6" width="10.7109375" style="13"/>
    <col min="7" max="7" width="10.7109375" style="11"/>
    <col min="8" max="8" width="10.7109375" style="13"/>
    <col min="9" max="10" width="10.7109375" style="11"/>
    <col min="11" max="11" width="10.7109375" style="15"/>
    <col min="12" max="12" width="10.7109375" style="41"/>
    <col min="13" max="13" width="12.140625" style="41" customWidth="1"/>
    <col min="14" max="14" width="10.7109375" style="41"/>
    <col min="15" max="16" width="10.7109375" style="15"/>
    <col min="17" max="17" width="12.7109375" style="21" customWidth="1"/>
    <col min="18" max="18" width="12.42578125" style="30" customWidth="1"/>
    <col min="19" max="19" width="51.42578125" style="10" customWidth="1"/>
    <col min="20" max="16384" width="10.7109375" style="1"/>
  </cols>
  <sheetData>
    <row r="1" spans="1:19" s="2" customFormat="1" ht="32">
      <c r="A1" s="2" t="s">
        <v>1</v>
      </c>
      <c r="B1" s="2" t="s">
        <v>2</v>
      </c>
      <c r="C1" s="2" t="s">
        <v>3</v>
      </c>
      <c r="D1" s="2" t="s">
        <v>100</v>
      </c>
      <c r="E1" s="12" t="s">
        <v>101</v>
      </c>
      <c r="F1" s="12" t="s">
        <v>102</v>
      </c>
      <c r="G1" s="19" t="s">
        <v>4</v>
      </c>
      <c r="H1" s="12" t="s">
        <v>33</v>
      </c>
      <c r="I1" s="19" t="s">
        <v>43</v>
      </c>
      <c r="J1" s="19" t="s">
        <v>81</v>
      </c>
      <c r="K1" s="2" t="s">
        <v>25</v>
      </c>
      <c r="L1" s="2" t="s">
        <v>108</v>
      </c>
      <c r="M1" s="2" t="s">
        <v>46</v>
      </c>
      <c r="N1" s="2" t="s">
        <v>50</v>
      </c>
      <c r="O1" s="2" t="s">
        <v>106</v>
      </c>
      <c r="P1" s="2" t="s">
        <v>44</v>
      </c>
      <c r="Q1" s="20" t="s">
        <v>51</v>
      </c>
      <c r="R1" s="28" t="s">
        <v>52</v>
      </c>
      <c r="S1" s="2" t="s">
        <v>53</v>
      </c>
    </row>
    <row r="2" spans="1:19" ht="32">
      <c r="A2" s="1" t="s">
        <v>75</v>
      </c>
      <c r="B2" s="3" t="s">
        <v>22</v>
      </c>
      <c r="C2" s="4">
        <v>42536</v>
      </c>
      <c r="D2" s="5">
        <v>0.3743055555555555</v>
      </c>
      <c r="E2" s="13">
        <v>27.2</v>
      </c>
      <c r="F2" s="13">
        <v>28.2</v>
      </c>
      <c r="G2" s="11">
        <v>6.72</v>
      </c>
      <c r="H2" s="13">
        <v>102.4</v>
      </c>
      <c r="I2" s="11">
        <v>8.09</v>
      </c>
      <c r="J2" s="11">
        <v>2.91</v>
      </c>
      <c r="K2" s="15">
        <v>72.13024969246429</v>
      </c>
      <c r="L2" s="41">
        <v>11.003500009325773</v>
      </c>
      <c r="M2" s="41">
        <v>5.5792967288609647</v>
      </c>
      <c r="N2" s="41">
        <v>125.36111662228646</v>
      </c>
      <c r="O2" s="15">
        <v>4.2382512937898085</v>
      </c>
      <c r="P2" s="15">
        <v>2.5654087495234892</v>
      </c>
      <c r="Q2" s="21">
        <v>1</v>
      </c>
      <c r="R2" s="30" t="s">
        <v>120</v>
      </c>
      <c r="S2" s="10" t="s">
        <v>10</v>
      </c>
    </row>
    <row r="3" spans="1:19" ht="32">
      <c r="A3" s="1" t="s">
        <v>75</v>
      </c>
      <c r="B3" s="3" t="s">
        <v>22</v>
      </c>
      <c r="C3" s="4">
        <v>42550</v>
      </c>
      <c r="D3" s="5">
        <v>0.36805555555555558</v>
      </c>
      <c r="E3" s="13">
        <v>27.3</v>
      </c>
      <c r="F3" s="13">
        <v>28.9</v>
      </c>
      <c r="G3" s="11">
        <v>6.21</v>
      </c>
      <c r="H3" s="13">
        <v>95</v>
      </c>
      <c r="I3" s="11">
        <v>8.02</v>
      </c>
      <c r="J3" s="11">
        <v>1.98</v>
      </c>
      <c r="K3" s="15">
        <v>72.790011146409697</v>
      </c>
      <c r="L3" s="41">
        <v>15.90333304889929</v>
      </c>
      <c r="M3" s="41">
        <v>6.7827370519588905</v>
      </c>
      <c r="N3" s="41">
        <v>217.71102554250629</v>
      </c>
      <c r="O3" s="15">
        <v>6.2762539349877242</v>
      </c>
      <c r="P3" s="15">
        <v>3.1716651967647169</v>
      </c>
      <c r="Q3" s="21">
        <v>1</v>
      </c>
      <c r="R3" s="30" t="s">
        <v>120</v>
      </c>
      <c r="S3" s="10" t="s">
        <v>103</v>
      </c>
    </row>
    <row r="4" spans="1:19" ht="32">
      <c r="A4" s="1" t="s">
        <v>75</v>
      </c>
      <c r="B4" s="3" t="s">
        <v>22</v>
      </c>
      <c r="C4" s="4">
        <v>42564</v>
      </c>
      <c r="D4" s="5">
        <v>0.35347222222222219</v>
      </c>
      <c r="E4" s="13">
        <v>27.4</v>
      </c>
      <c r="F4" s="13">
        <v>36</v>
      </c>
      <c r="G4" s="11">
        <v>5.39</v>
      </c>
      <c r="H4" s="13">
        <v>83.3</v>
      </c>
      <c r="I4" s="11">
        <v>8</v>
      </c>
      <c r="J4" s="11">
        <v>4.96</v>
      </c>
      <c r="K4" s="18">
        <v>97.029984307175923</v>
      </c>
      <c r="L4" s="41">
        <v>18.157716157642721</v>
      </c>
      <c r="M4" s="41">
        <v>8.6916235904483194</v>
      </c>
      <c r="N4" s="41">
        <v>550.84366642852012</v>
      </c>
      <c r="O4" s="18">
        <v>22.191137384132951</v>
      </c>
      <c r="P4" s="18">
        <v>6.6117395959626588</v>
      </c>
      <c r="Q4" s="21">
        <v>1</v>
      </c>
      <c r="R4" s="30" t="s">
        <v>120</v>
      </c>
      <c r="S4" s="10" t="s">
        <v>105</v>
      </c>
    </row>
    <row r="5" spans="1:19" ht="32">
      <c r="A5" s="1" t="s">
        <v>75</v>
      </c>
      <c r="B5" s="3" t="s">
        <v>22</v>
      </c>
      <c r="C5" s="4">
        <v>42578</v>
      </c>
      <c r="D5" s="5">
        <v>0.3527777777777778</v>
      </c>
      <c r="E5" s="13">
        <v>27.6</v>
      </c>
      <c r="F5" s="13">
        <v>35.200000000000003</v>
      </c>
      <c r="G5" s="11">
        <v>5.65</v>
      </c>
      <c r="H5" s="13">
        <v>87</v>
      </c>
      <c r="I5" s="11">
        <v>8</v>
      </c>
      <c r="J5" s="11">
        <f>AVERAGE(3.46,3.73,3.9)</f>
        <v>3.6966666666666668</v>
      </c>
      <c r="K5" s="18">
        <v>75.743417980235066</v>
      </c>
      <c r="L5" s="41">
        <v>11.26342432958678</v>
      </c>
      <c r="M5" s="41">
        <v>7.0882265663380659</v>
      </c>
      <c r="N5" s="41">
        <v>217.97112139532925</v>
      </c>
      <c r="O5" s="18">
        <v>7.1859211494677862</v>
      </c>
      <c r="P5" s="18">
        <v>5.1052238341929108</v>
      </c>
      <c r="Q5" s="21">
        <v>1</v>
      </c>
      <c r="R5" s="30" t="s">
        <v>119</v>
      </c>
      <c r="S5" s="10" t="s">
        <v>58</v>
      </c>
    </row>
    <row r="6" spans="1:19" ht="32">
      <c r="A6" s="22" t="s">
        <v>75</v>
      </c>
      <c r="B6" s="3" t="s">
        <v>22</v>
      </c>
      <c r="C6" s="4">
        <v>42592</v>
      </c>
      <c r="D6" s="5">
        <v>0.34375</v>
      </c>
      <c r="E6" s="13">
        <v>27.5</v>
      </c>
      <c r="F6" s="13">
        <v>35.1</v>
      </c>
      <c r="G6" s="11">
        <v>5.74</v>
      </c>
      <c r="H6" s="13">
        <v>88.1</v>
      </c>
      <c r="I6" s="11">
        <v>8.0399999999999991</v>
      </c>
      <c r="J6" s="11">
        <f>AVERAGE(4.07,4.49,4.47)</f>
        <v>4.3433333333333337</v>
      </c>
      <c r="K6" s="15">
        <v>72.33956012821092</v>
      </c>
      <c r="L6" s="41">
        <v>14.432261826491146</v>
      </c>
      <c r="M6" s="41">
        <v>5.8295380557692686</v>
      </c>
      <c r="N6" s="41">
        <v>349.50295389640684</v>
      </c>
      <c r="O6" s="15">
        <v>13.552989806946016</v>
      </c>
      <c r="P6" s="15">
        <v>5.491825367882277</v>
      </c>
      <c r="Q6" s="21">
        <v>1</v>
      </c>
      <c r="R6" s="30" t="s">
        <v>119</v>
      </c>
      <c r="S6" s="10" t="s">
        <v>48</v>
      </c>
    </row>
    <row r="7" spans="1:19" ht="32">
      <c r="A7" s="23" t="s">
        <v>75</v>
      </c>
      <c r="B7" s="3" t="s">
        <v>22</v>
      </c>
      <c r="C7" s="4">
        <v>42606</v>
      </c>
      <c r="D7" s="5">
        <v>0.36249999999999999</v>
      </c>
      <c r="E7" s="13">
        <v>28.3</v>
      </c>
      <c r="F7" s="13">
        <v>35.700000000000003</v>
      </c>
      <c r="G7" s="11">
        <v>5.84</v>
      </c>
      <c r="H7" s="13">
        <v>91.3</v>
      </c>
      <c r="I7" s="11">
        <v>8.0299999999999994</v>
      </c>
      <c r="J7" s="11">
        <f>AVERAGE(6.18,6.94,6.59)</f>
        <v>6.57</v>
      </c>
      <c r="K7" s="15">
        <v>82.150958270809895</v>
      </c>
      <c r="L7" s="41">
        <v>16.983287750988161</v>
      </c>
      <c r="M7" s="41">
        <v>8.9311908670886115</v>
      </c>
      <c r="N7" s="41">
        <v>344.26210371484348</v>
      </c>
      <c r="O7" s="15">
        <v>11.695282779789073</v>
      </c>
      <c r="P7" s="15">
        <v>2.1815823067527478</v>
      </c>
      <c r="Q7" s="21">
        <v>1</v>
      </c>
      <c r="R7" s="30" t="s">
        <v>119</v>
      </c>
      <c r="S7" s="10" t="s">
        <v>36</v>
      </c>
    </row>
    <row r="8" spans="1:19" ht="32">
      <c r="A8" s="1" t="s">
        <v>75</v>
      </c>
      <c r="B8" s="3" t="s">
        <v>22</v>
      </c>
      <c r="C8" s="4">
        <v>42620</v>
      </c>
      <c r="D8" s="5">
        <v>0.34652777777777777</v>
      </c>
      <c r="E8" s="13">
        <v>27.5</v>
      </c>
      <c r="F8" s="13">
        <v>36.6</v>
      </c>
      <c r="G8" s="11">
        <v>6.06</v>
      </c>
      <c r="H8" s="13">
        <v>94</v>
      </c>
      <c r="I8" s="11">
        <v>8.01</v>
      </c>
      <c r="J8" s="11">
        <f>AVERAGE(5.21,3.79,3.98)</f>
        <v>4.3266666666666671</v>
      </c>
      <c r="K8" s="15">
        <v>87.18</v>
      </c>
      <c r="L8" s="41">
        <v>11.37</v>
      </c>
      <c r="M8" s="41">
        <v>7.85</v>
      </c>
      <c r="N8" s="41">
        <v>164.84</v>
      </c>
      <c r="O8" s="15">
        <v>5.45</v>
      </c>
      <c r="P8" s="15">
        <v>5.25</v>
      </c>
      <c r="Q8" s="21">
        <v>1</v>
      </c>
      <c r="R8" s="30" t="s">
        <v>120</v>
      </c>
      <c r="S8" s="10" t="s">
        <v>86</v>
      </c>
    </row>
    <row r="9" spans="1:19" ht="32">
      <c r="A9" s="1" t="s">
        <v>75</v>
      </c>
      <c r="B9" s="3" t="s">
        <v>22</v>
      </c>
      <c r="C9" s="4">
        <v>42634</v>
      </c>
      <c r="D9" s="5">
        <v>0.34722222222222227</v>
      </c>
      <c r="E9" s="13">
        <v>26.9</v>
      </c>
      <c r="F9" s="13">
        <v>34.299999999999997</v>
      </c>
      <c r="G9" s="11">
        <v>6</v>
      </c>
      <c r="H9" s="13">
        <v>90.8</v>
      </c>
      <c r="I9" s="11">
        <v>7.98</v>
      </c>
      <c r="J9" s="11">
        <f>AVERAGE(44.9,45.9,45.2)</f>
        <v>45.333333333333336</v>
      </c>
      <c r="K9" s="15">
        <v>111.62197305752692</v>
      </c>
      <c r="L9" s="41">
        <v>22.222931377250987</v>
      </c>
      <c r="M9" s="41">
        <v>13.50494323517281</v>
      </c>
      <c r="N9" s="41">
        <v>660.21996071686021</v>
      </c>
      <c r="O9" s="15">
        <v>27.321085025447296</v>
      </c>
      <c r="P9" s="15">
        <v>7.5516926859768496</v>
      </c>
      <c r="Q9" s="21">
        <v>2</v>
      </c>
      <c r="R9" s="30" t="s">
        <v>119</v>
      </c>
      <c r="S9" s="10" t="s">
        <v>86</v>
      </c>
    </row>
    <row r="10" spans="1:19" ht="32">
      <c r="A10" s="1" t="s">
        <v>75</v>
      </c>
      <c r="B10" s="3" t="s">
        <v>22</v>
      </c>
      <c r="C10" s="4">
        <v>42648</v>
      </c>
      <c r="D10" s="5">
        <v>0.38194444444444442</v>
      </c>
      <c r="E10" s="13">
        <v>28.2</v>
      </c>
      <c r="F10" s="13">
        <v>36</v>
      </c>
      <c r="G10" s="11">
        <v>5.53</v>
      </c>
      <c r="H10" s="13">
        <v>86.4</v>
      </c>
      <c r="I10" s="11">
        <v>7.87</v>
      </c>
      <c r="J10" s="11">
        <f>AVERAGE(18.6,21.8,20.7)</f>
        <v>20.366666666666671</v>
      </c>
      <c r="K10" s="15">
        <v>82.073351911924519</v>
      </c>
      <c r="L10" s="41">
        <v>12.271699053702857</v>
      </c>
      <c r="M10" s="41">
        <v>8.7873703252026765</v>
      </c>
      <c r="N10" s="41">
        <v>506.44101433999447</v>
      </c>
      <c r="O10" s="15">
        <v>16.636451256624166</v>
      </c>
      <c r="P10" s="15">
        <v>13.887634040016286</v>
      </c>
      <c r="Q10" s="21">
        <v>1</v>
      </c>
      <c r="R10" s="30" t="s">
        <v>120</v>
      </c>
      <c r="S10" s="10" t="s">
        <v>86</v>
      </c>
    </row>
    <row r="11" spans="1:19" ht="32">
      <c r="A11" s="1" t="s">
        <v>75</v>
      </c>
      <c r="B11" s="3" t="s">
        <v>22</v>
      </c>
      <c r="C11" s="4">
        <v>42662</v>
      </c>
      <c r="D11" s="5">
        <v>0.3840277777777778</v>
      </c>
      <c r="E11" s="13">
        <v>27.5</v>
      </c>
      <c r="F11" s="13">
        <v>33.9</v>
      </c>
      <c r="G11" s="11">
        <v>6</v>
      </c>
      <c r="H11" s="13">
        <v>91.5</v>
      </c>
      <c r="I11" s="11">
        <v>7.98</v>
      </c>
      <c r="J11" s="11">
        <f>AVERAGE(39.9,44.6,46.5)</f>
        <v>43.666666666666664</v>
      </c>
      <c r="K11" s="15">
        <v>77.934202169195174</v>
      </c>
      <c r="L11" s="41">
        <v>24.921417701149423</v>
      </c>
      <c r="M11" s="41">
        <v>11.632076890821427</v>
      </c>
      <c r="N11" s="41">
        <v>632.91143068082943</v>
      </c>
      <c r="O11" s="15">
        <v>9.3319263414036921</v>
      </c>
      <c r="P11" s="15">
        <v>9.7805147507139303</v>
      </c>
      <c r="Q11" s="21">
        <v>2</v>
      </c>
      <c r="R11" s="30" t="s">
        <v>119</v>
      </c>
      <c r="S11" s="10" t="s">
        <v>86</v>
      </c>
    </row>
    <row r="12" spans="1:19" ht="32">
      <c r="A12" s="1" t="s">
        <v>75</v>
      </c>
      <c r="B12" s="3" t="s">
        <v>22</v>
      </c>
      <c r="C12" s="4">
        <v>42676</v>
      </c>
      <c r="D12" s="5">
        <v>0.38680555555555557</v>
      </c>
      <c r="E12" s="13">
        <v>26.8</v>
      </c>
      <c r="F12" s="13">
        <v>33.700000000000003</v>
      </c>
      <c r="G12" s="11">
        <v>5.38</v>
      </c>
      <c r="H12" s="13">
        <v>80.900000000000006</v>
      </c>
      <c r="I12" s="11">
        <v>7.98</v>
      </c>
      <c r="J12" s="11">
        <f>AVERAGE(4.35,4.26,3.92)</f>
        <v>4.1766666666666667</v>
      </c>
      <c r="K12" s="15">
        <v>76.589049571882953</v>
      </c>
      <c r="L12" s="41">
        <v>19.140922732767802</v>
      </c>
      <c r="M12" s="41">
        <v>8.0756326345200833</v>
      </c>
      <c r="N12" s="41">
        <v>400.72793760906785</v>
      </c>
      <c r="O12" s="15">
        <v>6.7877268984726529</v>
      </c>
      <c r="P12" s="15">
        <v>7.6804002004951428</v>
      </c>
      <c r="Q12" s="29">
        <v>2</v>
      </c>
      <c r="R12" s="30" t="s">
        <v>119</v>
      </c>
      <c r="S12" s="10" t="s">
        <v>0</v>
      </c>
    </row>
    <row r="13" spans="1:19" ht="32">
      <c r="A13" s="1" t="s">
        <v>75</v>
      </c>
      <c r="B13" s="3" t="s">
        <v>22</v>
      </c>
      <c r="C13" s="4">
        <v>42690</v>
      </c>
      <c r="D13" s="5">
        <v>0.37916666666666665</v>
      </c>
      <c r="E13" s="13">
        <v>26.5</v>
      </c>
      <c r="F13" s="13">
        <v>34.299999999999997</v>
      </c>
      <c r="G13" s="18">
        <v>5.6</v>
      </c>
      <c r="H13" s="13">
        <v>84</v>
      </c>
      <c r="I13" s="18">
        <v>8.0299999999999994</v>
      </c>
      <c r="J13" s="18">
        <f>AVERAGE(10.1,11.8,10.7)</f>
        <v>10.866666666666665</v>
      </c>
      <c r="K13" s="18">
        <v>81.311213685998382</v>
      </c>
      <c r="L13" s="41">
        <v>7.3469917240988529</v>
      </c>
      <c r="M13" s="41">
        <v>5.3610278168718599</v>
      </c>
      <c r="N13" s="41">
        <v>345.44590149987226</v>
      </c>
      <c r="O13" s="18">
        <v>9.7061537695861695</v>
      </c>
      <c r="P13" s="18">
        <v>2.2919570134111793</v>
      </c>
      <c r="Q13" s="29">
        <v>2</v>
      </c>
      <c r="R13" s="30" t="s">
        <v>119</v>
      </c>
      <c r="S13" s="10" t="s">
        <v>0</v>
      </c>
    </row>
    <row r="14" spans="1:19" ht="32">
      <c r="A14" s="1" t="s">
        <v>75</v>
      </c>
      <c r="B14" s="3" t="s">
        <v>22</v>
      </c>
      <c r="C14" s="4">
        <v>42704</v>
      </c>
      <c r="D14" s="5">
        <v>0.3833333333333333</v>
      </c>
      <c r="E14" s="13">
        <v>25</v>
      </c>
      <c r="F14" s="13">
        <v>34</v>
      </c>
      <c r="G14" s="18">
        <v>6.2</v>
      </c>
      <c r="H14" s="13">
        <v>90.5</v>
      </c>
      <c r="I14" s="18">
        <v>7.95</v>
      </c>
      <c r="J14" s="18">
        <f>AVERAGE(12.4,12.8,12.3)</f>
        <v>12.5</v>
      </c>
      <c r="K14" s="18">
        <v>103.4521147795234</v>
      </c>
      <c r="L14" s="41">
        <v>9.575707757184075</v>
      </c>
      <c r="M14" s="41">
        <v>5.6418771147979685</v>
      </c>
      <c r="N14" s="41">
        <v>542.05729548176669</v>
      </c>
      <c r="O14" s="18">
        <v>33.682361418779806</v>
      </c>
      <c r="P14" s="18">
        <v>5.2209011540117114</v>
      </c>
      <c r="Q14" s="29">
        <v>2</v>
      </c>
      <c r="R14" s="30" t="s">
        <v>119</v>
      </c>
      <c r="S14" s="10" t="s">
        <v>0</v>
      </c>
    </row>
    <row r="15" spans="1:19" ht="32">
      <c r="A15" s="1" t="s">
        <v>75</v>
      </c>
      <c r="B15" s="3" t="s">
        <v>22</v>
      </c>
      <c r="C15" s="4">
        <v>42718</v>
      </c>
      <c r="D15" s="5">
        <v>0.38750000000000001</v>
      </c>
      <c r="E15" s="13">
        <v>24</v>
      </c>
      <c r="F15" s="13">
        <v>33.799999999999997</v>
      </c>
      <c r="G15" s="18">
        <v>5.93</v>
      </c>
      <c r="H15" s="13">
        <v>85.3</v>
      </c>
      <c r="I15" s="18">
        <v>7.94</v>
      </c>
      <c r="J15" s="18">
        <f>AVERAGE(7.11,7.76,7.64)</f>
        <v>7.5033333333333339</v>
      </c>
      <c r="K15" s="18">
        <v>90.522091083342289</v>
      </c>
      <c r="L15" s="41">
        <v>13.575137236034362</v>
      </c>
      <c r="M15" s="41">
        <v>8.2816261840275587</v>
      </c>
      <c r="N15" s="41">
        <v>669.23375274896875</v>
      </c>
      <c r="O15" s="18">
        <v>45.982816344135962</v>
      </c>
      <c r="P15" s="18">
        <v>5.1972184776377697</v>
      </c>
      <c r="Q15" s="29">
        <v>1</v>
      </c>
      <c r="R15" s="30" t="s">
        <v>119</v>
      </c>
      <c r="S15" s="10" t="s">
        <v>0</v>
      </c>
    </row>
    <row r="16" spans="1:19" ht="32">
      <c r="A16" s="1" t="s">
        <v>75</v>
      </c>
      <c r="B16" s="3" t="s">
        <v>22</v>
      </c>
      <c r="C16" s="4">
        <v>42739</v>
      </c>
      <c r="D16" s="5">
        <v>0.37708333333333338</v>
      </c>
      <c r="E16" s="13">
        <v>23.7</v>
      </c>
      <c r="F16" s="13">
        <v>34.6</v>
      </c>
      <c r="G16" s="18">
        <v>6.22</v>
      </c>
      <c r="H16" s="13">
        <v>89.4</v>
      </c>
      <c r="I16" s="18">
        <v>8.0500000000000007</v>
      </c>
      <c r="J16" s="18">
        <f>AVERAGE(37.2,34.9,33.8)</f>
        <v>35.299999999999997</v>
      </c>
      <c r="K16" s="18">
        <v>93.722872926395823</v>
      </c>
      <c r="L16" s="41">
        <v>14.88737468784189</v>
      </c>
      <c r="M16" s="41">
        <v>10.445017724300776</v>
      </c>
      <c r="N16" s="41">
        <v>554.28633071187392</v>
      </c>
      <c r="O16" s="18">
        <v>22.999630786131164</v>
      </c>
      <c r="P16" s="18">
        <v>3.6376937825247038</v>
      </c>
      <c r="Q16" s="29">
        <v>2</v>
      </c>
      <c r="R16" s="30" t="s">
        <v>119</v>
      </c>
      <c r="S16" s="10" t="s">
        <v>0</v>
      </c>
    </row>
    <row r="17" spans="1:19" ht="32">
      <c r="A17" s="1" t="s">
        <v>75</v>
      </c>
      <c r="B17" s="3" t="s">
        <v>22</v>
      </c>
      <c r="C17" s="4">
        <v>42760</v>
      </c>
      <c r="D17" s="5">
        <v>0.38611111111111113</v>
      </c>
      <c r="E17" s="13">
        <v>24.3</v>
      </c>
      <c r="F17" s="13">
        <v>34.9</v>
      </c>
      <c r="G17" s="18">
        <v>6.47</v>
      </c>
      <c r="H17" s="13">
        <v>93.7</v>
      </c>
      <c r="I17" s="31">
        <v>8</v>
      </c>
      <c r="J17" s="18">
        <f>AVERAGE(1.79,1.65,1.65)</f>
        <v>1.6966666666666665</v>
      </c>
      <c r="K17" s="18">
        <v>76.349197391930645</v>
      </c>
      <c r="L17" s="41">
        <v>15.028538272266855</v>
      </c>
      <c r="M17" s="41">
        <v>12.772700369412755</v>
      </c>
      <c r="N17" s="41">
        <v>181.81913551482521</v>
      </c>
      <c r="O17" s="18">
        <v>4.7596721875330674</v>
      </c>
      <c r="P17" s="18">
        <v>7.5904147271194748</v>
      </c>
      <c r="Q17" s="29">
        <v>1</v>
      </c>
      <c r="R17" s="30" t="s">
        <v>119</v>
      </c>
      <c r="S17" s="10" t="s">
        <v>0</v>
      </c>
    </row>
    <row r="18" spans="1:19" ht="32">
      <c r="A18" s="1" t="s">
        <v>75</v>
      </c>
      <c r="B18" s="3" t="s">
        <v>22</v>
      </c>
      <c r="C18" s="4">
        <v>42781</v>
      </c>
      <c r="D18" s="5">
        <v>0.37708333333333338</v>
      </c>
      <c r="E18" s="13">
        <v>24.9</v>
      </c>
      <c r="F18" s="13">
        <v>34.4</v>
      </c>
      <c r="G18" s="18">
        <v>5.93</v>
      </c>
      <c r="H18" s="13">
        <v>86.7</v>
      </c>
      <c r="I18" s="32">
        <v>8.07</v>
      </c>
      <c r="J18" s="18">
        <f>AVERAGE(8.46,8.71,8.77)</f>
        <v>8.6466666666666665</v>
      </c>
      <c r="K18" s="18">
        <v>107.67402071915971</v>
      </c>
      <c r="L18" s="41">
        <v>13.207736347476153</v>
      </c>
      <c r="M18" s="41">
        <v>8.4954729417796617</v>
      </c>
      <c r="N18" s="41">
        <v>321.19268412401226</v>
      </c>
      <c r="O18" s="18">
        <v>26.271463382368502</v>
      </c>
      <c r="P18" s="18">
        <v>7.9296554731727227</v>
      </c>
      <c r="Q18" s="29">
        <v>2</v>
      </c>
      <c r="R18" s="30" t="s">
        <v>72</v>
      </c>
      <c r="S18" s="10" t="s">
        <v>0</v>
      </c>
    </row>
    <row r="19" spans="1:19" ht="32">
      <c r="A19" s="1" t="s">
        <v>75</v>
      </c>
      <c r="B19" s="3" t="s">
        <v>22</v>
      </c>
      <c r="C19" s="4">
        <v>42802</v>
      </c>
      <c r="D19" s="5">
        <v>0.39166666666666666</v>
      </c>
      <c r="E19" s="13">
        <v>24.6</v>
      </c>
      <c r="F19" s="13">
        <v>34.200000000000003</v>
      </c>
      <c r="G19" s="18">
        <v>6.42</v>
      </c>
      <c r="H19" s="13">
        <v>93.4</v>
      </c>
      <c r="I19" s="32">
        <v>8.11</v>
      </c>
      <c r="J19" s="18">
        <f>AVERAGE(3.07,3.19,2.83)</f>
        <v>3.03</v>
      </c>
      <c r="K19" s="18">
        <v>71.710493533151677</v>
      </c>
      <c r="L19" s="41">
        <v>9.8700899209037711</v>
      </c>
      <c r="M19" s="41">
        <v>7.070154910762712</v>
      </c>
      <c r="N19" s="41">
        <v>175.61444306841796</v>
      </c>
      <c r="O19" s="18">
        <v>6.9350634987829354</v>
      </c>
      <c r="P19" s="18">
        <v>7.3222615644566957</v>
      </c>
      <c r="Q19" s="29">
        <v>1</v>
      </c>
      <c r="R19" s="30" t="s">
        <v>7</v>
      </c>
      <c r="S19" s="10" t="s">
        <v>0</v>
      </c>
    </row>
    <row r="20" spans="1:19" ht="32">
      <c r="A20" s="1" t="s">
        <v>75</v>
      </c>
      <c r="B20" s="3" t="s">
        <v>22</v>
      </c>
      <c r="C20" s="4">
        <v>42823</v>
      </c>
      <c r="D20" s="5">
        <v>0.38194444444444442</v>
      </c>
      <c r="E20" s="13">
        <v>26.3</v>
      </c>
      <c r="F20" s="13">
        <v>33.1</v>
      </c>
      <c r="G20" s="18">
        <v>5.93</v>
      </c>
      <c r="H20" s="13">
        <v>87.9</v>
      </c>
      <c r="I20" s="32">
        <v>8.07</v>
      </c>
      <c r="J20" s="18">
        <f>AVERAGE(7.17,7.95,7.47)</f>
        <v>7.53</v>
      </c>
      <c r="K20" s="18">
        <v>123.14593300994747</v>
      </c>
      <c r="L20" s="41">
        <v>20.917658245256302</v>
      </c>
      <c r="M20" s="41">
        <v>9.5613575711974654</v>
      </c>
      <c r="N20" s="41">
        <v>497.53442535310489</v>
      </c>
      <c r="O20" s="18">
        <v>47.972321707597509</v>
      </c>
      <c r="P20" s="18">
        <v>20.309668317631473</v>
      </c>
      <c r="Q20" s="29">
        <v>1</v>
      </c>
      <c r="R20" s="30" t="s">
        <v>7</v>
      </c>
      <c r="S20" s="10" t="s">
        <v>0</v>
      </c>
    </row>
    <row r="21" spans="1:19" ht="32">
      <c r="A21" s="1" t="s">
        <v>75</v>
      </c>
      <c r="B21" s="3" t="s">
        <v>22</v>
      </c>
      <c r="C21" s="4">
        <v>42844</v>
      </c>
      <c r="D21" s="5">
        <v>0.37916666666666665</v>
      </c>
      <c r="E21" s="13">
        <v>26.2</v>
      </c>
      <c r="F21" s="13">
        <v>33</v>
      </c>
      <c r="G21" s="18">
        <v>6.24</v>
      </c>
      <c r="H21" s="13">
        <v>92.6</v>
      </c>
      <c r="I21" s="32">
        <v>8.1</v>
      </c>
      <c r="J21" s="18">
        <f>AVERAGE(11.5,12.1,10.5)</f>
        <v>11.366666666666667</v>
      </c>
      <c r="K21" s="41">
        <v>109.00932914702526</v>
      </c>
      <c r="L21" s="41">
        <v>14.123072446827054</v>
      </c>
      <c r="M21" s="41">
        <v>11.445286730436043</v>
      </c>
      <c r="N21" s="41">
        <v>562.0218048694943</v>
      </c>
      <c r="O21" s="41">
        <v>23.817961512147875</v>
      </c>
      <c r="P21" s="41">
        <v>6.2652087719677656</v>
      </c>
      <c r="Q21" s="29">
        <v>1</v>
      </c>
      <c r="R21" s="30" t="s">
        <v>6</v>
      </c>
      <c r="S21" s="10" t="s">
        <v>0</v>
      </c>
    </row>
    <row r="22" spans="1:19" ht="32">
      <c r="A22" s="1" t="s">
        <v>75</v>
      </c>
      <c r="B22" s="3" t="s">
        <v>22</v>
      </c>
      <c r="C22" s="4">
        <v>42865</v>
      </c>
      <c r="D22" s="5">
        <v>0.3743055555555555</v>
      </c>
      <c r="E22" s="13">
        <v>25.9</v>
      </c>
      <c r="F22" s="13">
        <v>34.700000000000003</v>
      </c>
      <c r="G22" s="18">
        <v>6.33</v>
      </c>
      <c r="H22" s="13">
        <v>94.4</v>
      </c>
      <c r="I22" s="18">
        <v>8.14</v>
      </c>
      <c r="J22" s="18">
        <f>AVERAGE(1.36,1.3,2.06)</f>
        <v>1.5733333333333335</v>
      </c>
      <c r="K22" s="41">
        <v>69.503532366753987</v>
      </c>
      <c r="L22" s="41">
        <v>17.549526632543564</v>
      </c>
      <c r="M22" s="41">
        <v>5.0363517776726514</v>
      </c>
      <c r="N22" s="41">
        <v>61.303578840653159</v>
      </c>
      <c r="O22" s="41">
        <v>4.6514479829498239</v>
      </c>
      <c r="P22" s="41">
        <v>4.8990930489411753</v>
      </c>
      <c r="Q22" s="29">
        <v>1</v>
      </c>
      <c r="R22" s="30" t="s">
        <v>45</v>
      </c>
      <c r="S22" s="10" t="s">
        <v>0</v>
      </c>
    </row>
    <row r="23" spans="1:19" ht="32">
      <c r="A23" s="1" t="s">
        <v>75</v>
      </c>
      <c r="B23" s="3" t="s">
        <v>22</v>
      </c>
      <c r="C23" s="4">
        <v>42886</v>
      </c>
      <c r="D23" s="5">
        <v>0.37638888888888888</v>
      </c>
      <c r="E23" s="13">
        <v>26.8</v>
      </c>
      <c r="F23" s="13">
        <v>33.700000000000003</v>
      </c>
      <c r="G23" s="18">
        <v>6.01</v>
      </c>
      <c r="H23" s="13">
        <v>90.3</v>
      </c>
      <c r="I23" s="18">
        <v>8.0500000000000007</v>
      </c>
      <c r="J23" s="18">
        <f>AVERAGE(12.6,12.6,14.5)</f>
        <v>13.233333333333334</v>
      </c>
      <c r="K23" s="41">
        <v>112.13583590021251</v>
      </c>
      <c r="L23" s="41">
        <v>13.805062549343617</v>
      </c>
      <c r="M23" s="41">
        <v>9.8716290353008329</v>
      </c>
      <c r="N23" s="41">
        <v>530.06195431058848</v>
      </c>
      <c r="O23" s="41">
        <v>27.142604028076668</v>
      </c>
      <c r="P23" s="41">
        <v>5.7314860755002446</v>
      </c>
      <c r="Q23" s="29">
        <v>1</v>
      </c>
      <c r="R23" s="30" t="s">
        <v>27</v>
      </c>
      <c r="S23" s="10" t="s">
        <v>0</v>
      </c>
    </row>
    <row r="24" spans="1:19" ht="32">
      <c r="A24" s="1" t="s">
        <v>75</v>
      </c>
      <c r="B24" s="3" t="s">
        <v>22</v>
      </c>
      <c r="C24" s="4">
        <v>42907</v>
      </c>
      <c r="D24" s="5">
        <v>0.37708333333333338</v>
      </c>
      <c r="E24" s="13">
        <v>27.3</v>
      </c>
      <c r="F24" s="13">
        <v>34.5</v>
      </c>
      <c r="G24" s="11">
        <v>6.85</v>
      </c>
      <c r="H24" s="13">
        <v>104.6</v>
      </c>
      <c r="I24" s="11">
        <v>8.1</v>
      </c>
      <c r="J24" s="11">
        <f>AVERAGE(2.11,2.34,2.28)</f>
        <v>2.2433333333333327</v>
      </c>
      <c r="K24" s="41">
        <v>69.923949106610863</v>
      </c>
      <c r="L24" s="41">
        <v>9.8586850778261823</v>
      </c>
      <c r="M24" s="41">
        <v>6.9042097146168464</v>
      </c>
      <c r="N24" s="41">
        <v>120.30268592898042</v>
      </c>
      <c r="O24" s="41">
        <v>6.3372653071868141</v>
      </c>
      <c r="P24" s="41">
        <v>5.2169283786494125</v>
      </c>
      <c r="Q24" s="42">
        <v>2</v>
      </c>
      <c r="R24" s="43" t="s">
        <v>41</v>
      </c>
      <c r="S24" s="10" t="s">
        <v>0</v>
      </c>
    </row>
    <row r="25" spans="1:19" ht="32">
      <c r="A25" s="1" t="s">
        <v>75</v>
      </c>
      <c r="B25" s="3" t="s">
        <v>22</v>
      </c>
      <c r="C25" s="4">
        <v>42928</v>
      </c>
      <c r="D25" s="5">
        <v>0.37152777777777773</v>
      </c>
      <c r="E25" s="13">
        <v>28.2</v>
      </c>
      <c r="F25" s="13">
        <v>33.700000000000003</v>
      </c>
      <c r="G25" s="11">
        <v>5.26</v>
      </c>
      <c r="H25" s="13">
        <v>81.099999999999994</v>
      </c>
      <c r="I25" s="11">
        <v>8.0399999999999991</v>
      </c>
      <c r="J25" s="11">
        <f>AVERAGE(6.09,6.03,6.22)</f>
        <v>6.1133333333333333</v>
      </c>
      <c r="K25" s="41">
        <v>77.065240562855323</v>
      </c>
      <c r="L25" s="41">
        <v>12.199714371712039</v>
      </c>
      <c r="M25" s="41">
        <v>6.5223576484478247</v>
      </c>
      <c r="N25" s="41">
        <v>512.47466434830426</v>
      </c>
      <c r="O25" s="41">
        <v>21.680294457624555</v>
      </c>
      <c r="P25" s="41">
        <v>5.0774424798071198</v>
      </c>
      <c r="Q25" s="42">
        <v>2</v>
      </c>
      <c r="R25" s="43" t="s">
        <v>68</v>
      </c>
      <c r="S25" s="10" t="s">
        <v>0</v>
      </c>
    </row>
    <row r="26" spans="1:19" ht="32">
      <c r="A26" s="1" t="s">
        <v>75</v>
      </c>
      <c r="B26" s="3" t="s">
        <v>22</v>
      </c>
      <c r="C26" s="4">
        <v>42949</v>
      </c>
      <c r="D26" s="5">
        <v>0.37638888888888888</v>
      </c>
      <c r="E26" s="13">
        <v>27.8</v>
      </c>
      <c r="F26" s="13">
        <v>33.9</v>
      </c>
      <c r="G26" s="11">
        <v>5.99</v>
      </c>
      <c r="H26" s="13">
        <v>91.9</v>
      </c>
      <c r="I26" s="11">
        <v>8.06</v>
      </c>
      <c r="J26" s="11">
        <f>AVERAGE(6.64,6.94,5.77)</f>
        <v>6.45</v>
      </c>
      <c r="K26" s="41">
        <v>85.556669744938574</v>
      </c>
      <c r="L26" s="41">
        <v>12.354556836991009</v>
      </c>
      <c r="M26" s="41">
        <v>8.659733443576906</v>
      </c>
      <c r="N26" s="41">
        <v>352.8984350545627</v>
      </c>
      <c r="O26" s="41">
        <v>17.832899740277039</v>
      </c>
      <c r="P26" s="41">
        <v>4.6383941898236483</v>
      </c>
      <c r="Q26" s="42">
        <v>2</v>
      </c>
      <c r="R26" s="43" t="s">
        <v>98</v>
      </c>
      <c r="S26" s="10" t="s">
        <v>0</v>
      </c>
    </row>
    <row r="27" spans="1:19" ht="32">
      <c r="A27" s="1" t="s">
        <v>75</v>
      </c>
      <c r="B27" s="3" t="s">
        <v>22</v>
      </c>
      <c r="C27" s="4">
        <v>42970</v>
      </c>
      <c r="D27" s="5">
        <v>0.38194444444444442</v>
      </c>
      <c r="E27" s="13">
        <v>27.6</v>
      </c>
      <c r="F27" s="13">
        <v>34.200000000000003</v>
      </c>
      <c r="G27" s="41">
        <v>6.37</v>
      </c>
      <c r="H27" s="13">
        <v>97.7</v>
      </c>
      <c r="I27" s="41">
        <v>8.07</v>
      </c>
      <c r="J27" s="41">
        <f>AVERAGE(3.09,3.99,4.14)</f>
        <v>3.7399999999999998</v>
      </c>
      <c r="K27" s="41">
        <v>88.203373979589628</v>
      </c>
      <c r="L27" s="41">
        <v>12.043866433085702</v>
      </c>
      <c r="M27" s="41">
        <v>6.7576425820858965</v>
      </c>
      <c r="N27" s="41">
        <v>348.79973240520133</v>
      </c>
      <c r="O27" s="41">
        <v>14.347707029168889</v>
      </c>
      <c r="P27" s="41">
        <v>2.9874719999206141</v>
      </c>
      <c r="Q27" s="42">
        <v>1</v>
      </c>
      <c r="R27" s="43" t="s">
        <v>29</v>
      </c>
      <c r="S27" s="10" t="s">
        <v>0</v>
      </c>
    </row>
    <row r="28" spans="1:19" ht="32">
      <c r="A28" s="1" t="s">
        <v>75</v>
      </c>
      <c r="B28" s="3" t="s">
        <v>22</v>
      </c>
      <c r="C28" s="4">
        <v>42991</v>
      </c>
      <c r="D28" s="49">
        <v>0.42638888888888887</v>
      </c>
      <c r="E28" s="13">
        <v>27.7</v>
      </c>
      <c r="F28" s="13">
        <v>33.799999999999997</v>
      </c>
      <c r="G28" s="41">
        <v>6.51</v>
      </c>
      <c r="H28" s="13">
        <v>99.9</v>
      </c>
      <c r="I28" s="41">
        <v>8.08</v>
      </c>
      <c r="J28" s="41">
        <f>AVERAGE(19.9,19.3,18.4)</f>
        <v>19.2</v>
      </c>
      <c r="K28" s="41">
        <v>52.618172795121446</v>
      </c>
      <c r="L28" s="41">
        <v>15.982769226098121</v>
      </c>
      <c r="M28" s="41">
        <v>11.604087746587691</v>
      </c>
      <c r="N28" s="41">
        <v>571.5180061579041</v>
      </c>
      <c r="O28" s="41">
        <v>10.302197843018288</v>
      </c>
      <c r="P28" s="41">
        <v>4.9866467129903311</v>
      </c>
      <c r="Q28" s="42">
        <v>2</v>
      </c>
      <c r="R28" s="43" t="s">
        <v>114</v>
      </c>
      <c r="S28" s="10" t="s">
        <v>0</v>
      </c>
    </row>
    <row r="29" spans="1:19" ht="32">
      <c r="A29" s="1" t="s">
        <v>75</v>
      </c>
      <c r="B29" s="3" t="s">
        <v>22</v>
      </c>
      <c r="C29" s="4">
        <v>43012</v>
      </c>
      <c r="D29" s="49">
        <v>0.375</v>
      </c>
      <c r="E29" s="13">
        <v>28.3</v>
      </c>
      <c r="F29" s="13">
        <v>33.700000000000003</v>
      </c>
      <c r="G29" s="41">
        <v>5.67</v>
      </c>
      <c r="H29" s="13">
        <v>87.7</v>
      </c>
      <c r="I29" s="41">
        <v>8.0500000000000007</v>
      </c>
      <c r="J29" s="41">
        <f>AVERAGE(4.3,3.29,4.79)</f>
        <v>4.126666666666666</v>
      </c>
      <c r="K29" s="41">
        <v>78.791907366696009</v>
      </c>
      <c r="L29" s="41">
        <v>10.803230185720015</v>
      </c>
      <c r="M29" s="41">
        <v>7.695522916376091</v>
      </c>
      <c r="N29" s="41">
        <v>477.58618167408162</v>
      </c>
      <c r="O29" s="41">
        <v>19.844987131226471</v>
      </c>
      <c r="P29" s="41">
        <v>4.5270974978671585</v>
      </c>
      <c r="Q29" s="42">
        <v>1</v>
      </c>
      <c r="R29" s="43" t="s">
        <v>112</v>
      </c>
      <c r="S29" s="10" t="s">
        <v>0</v>
      </c>
    </row>
    <row r="30" spans="1:19" ht="32">
      <c r="A30" s="1" t="s">
        <v>75</v>
      </c>
      <c r="B30" s="3" t="s">
        <v>22</v>
      </c>
      <c r="C30" s="4">
        <v>43033</v>
      </c>
      <c r="D30" s="49">
        <v>0.38194444444444442</v>
      </c>
      <c r="E30" s="13">
        <v>26.8</v>
      </c>
      <c r="F30" s="13">
        <v>34.200000000000003</v>
      </c>
      <c r="G30" s="11">
        <v>6.39</v>
      </c>
      <c r="H30" s="13">
        <v>96.7</v>
      </c>
      <c r="I30" s="11">
        <v>8.07</v>
      </c>
      <c r="J30" s="11">
        <f>AVERAGE(15,15.9,15.2)</f>
        <v>15.366666666666665</v>
      </c>
      <c r="K30" s="41">
        <v>62.90734140642796</v>
      </c>
      <c r="L30" s="41">
        <v>12.069843564000053</v>
      </c>
      <c r="M30" s="41">
        <v>9.7721793935434889</v>
      </c>
      <c r="N30" s="41">
        <v>374.03796604244133</v>
      </c>
      <c r="O30" s="41">
        <v>8.577340891184452</v>
      </c>
      <c r="P30" s="41">
        <v>5.67408973753039</v>
      </c>
      <c r="Q30" s="42">
        <v>3</v>
      </c>
      <c r="R30" s="43" t="s">
        <v>32</v>
      </c>
      <c r="S30" s="10" t="s">
        <v>31</v>
      </c>
    </row>
    <row r="31" spans="1:19" ht="32">
      <c r="A31" s="1" t="s">
        <v>75</v>
      </c>
      <c r="B31" s="3" t="s">
        <v>22</v>
      </c>
      <c r="C31" s="4">
        <v>43054</v>
      </c>
      <c r="D31" s="49">
        <v>0.37152777777777773</v>
      </c>
      <c r="E31" s="13">
        <v>26.2</v>
      </c>
      <c r="F31" s="13">
        <v>34.6</v>
      </c>
      <c r="G31" s="41">
        <v>6.3</v>
      </c>
      <c r="H31" s="13">
        <v>94.6</v>
      </c>
      <c r="I31" s="41">
        <v>8.11</v>
      </c>
      <c r="J31" s="41">
        <f>AVERAGE(2.39,2.61,2.47)</f>
        <v>2.4900000000000002</v>
      </c>
      <c r="K31" s="41">
        <v>106.60517809892214</v>
      </c>
      <c r="L31" s="41">
        <v>15.242163559590796</v>
      </c>
      <c r="M31" s="41">
        <v>9.0082335683369621</v>
      </c>
      <c r="N31" s="41">
        <v>668.97085569751926</v>
      </c>
      <c r="O31" s="41">
        <v>48.192082573711836</v>
      </c>
      <c r="P31" s="41">
        <v>5.1824262446785649</v>
      </c>
      <c r="Q31" s="42">
        <v>1</v>
      </c>
      <c r="R31" s="43" t="s">
        <v>38</v>
      </c>
      <c r="S31" s="10" t="s">
        <v>31</v>
      </c>
    </row>
    <row r="32" spans="1:19" ht="32">
      <c r="A32" s="1" t="s">
        <v>75</v>
      </c>
      <c r="B32" s="3" t="s">
        <v>22</v>
      </c>
      <c r="C32" s="4">
        <v>43075</v>
      </c>
      <c r="D32" s="49">
        <v>0.37152777777777773</v>
      </c>
      <c r="E32" s="13">
        <v>23.6</v>
      </c>
      <c r="F32" s="13">
        <v>34.299999999999997</v>
      </c>
      <c r="G32" s="41">
        <v>6.59</v>
      </c>
      <c r="H32" s="13">
        <v>94.2</v>
      </c>
      <c r="I32" s="41">
        <v>8.1300000000000008</v>
      </c>
      <c r="J32" s="41">
        <f>AVERAGE(15.9,16.9,16)</f>
        <v>16.266666666666666</v>
      </c>
      <c r="K32" s="41"/>
      <c r="O32" s="41"/>
      <c r="P32" s="41"/>
      <c r="Q32" s="42">
        <v>3</v>
      </c>
      <c r="R32" s="43" t="s">
        <v>55</v>
      </c>
      <c r="S32" s="10" t="s">
        <v>31</v>
      </c>
    </row>
    <row r="33" spans="1:19" ht="32" hidden="1">
      <c r="A33" s="1" t="s">
        <v>75</v>
      </c>
      <c r="B33" s="3" t="s">
        <v>22</v>
      </c>
      <c r="C33" s="4">
        <v>43089</v>
      </c>
      <c r="D33" s="49">
        <v>0.37847222222222227</v>
      </c>
      <c r="E33" s="13">
        <v>23.9</v>
      </c>
      <c r="F33" s="13">
        <v>34.5</v>
      </c>
      <c r="G33" s="41">
        <v>6.61</v>
      </c>
      <c r="H33" s="13">
        <v>95.5</v>
      </c>
      <c r="I33" s="41">
        <v>8.1300000000000008</v>
      </c>
      <c r="J33" s="41"/>
      <c r="K33" s="41"/>
      <c r="O33" s="41"/>
      <c r="P33" s="41"/>
      <c r="Q33" s="42">
        <v>1</v>
      </c>
      <c r="R33" s="43" t="s">
        <v>77</v>
      </c>
      <c r="S33" s="10" t="s">
        <v>31</v>
      </c>
    </row>
    <row r="34" spans="1:19" ht="32">
      <c r="A34" s="1" t="s">
        <v>75</v>
      </c>
      <c r="B34" s="3" t="s">
        <v>22</v>
      </c>
      <c r="C34" s="4">
        <v>43089</v>
      </c>
      <c r="D34" s="49">
        <v>0.37847222222222227</v>
      </c>
      <c r="E34" s="52">
        <v>23.9</v>
      </c>
      <c r="F34" s="52">
        <v>34.5</v>
      </c>
      <c r="G34" s="41">
        <v>6.61</v>
      </c>
      <c r="H34" s="52">
        <v>95.5</v>
      </c>
      <c r="I34" s="41">
        <v>8.1300000000000008</v>
      </c>
      <c r="J34" s="41">
        <f>AVERAGE(10.3,10,9.88)</f>
        <v>10.06</v>
      </c>
      <c r="K34" s="41"/>
      <c r="O34" s="41"/>
      <c r="P34" s="41"/>
      <c r="Q34" s="42">
        <v>1</v>
      </c>
      <c r="R34" s="43" t="s">
        <v>77</v>
      </c>
      <c r="S34" s="10" t="s">
        <v>31</v>
      </c>
    </row>
    <row r="35" spans="1:19" ht="32">
      <c r="A35" s="1" t="s">
        <v>75</v>
      </c>
      <c r="B35" s="3" t="s">
        <v>22</v>
      </c>
      <c r="C35" s="4">
        <v>43110</v>
      </c>
      <c r="D35" s="49">
        <v>0.37986111111111115</v>
      </c>
      <c r="E35" s="52">
        <v>24</v>
      </c>
      <c r="F35" s="52">
        <v>34.200000000000003</v>
      </c>
      <c r="G35" s="41">
        <v>6.03</v>
      </c>
      <c r="H35" s="52">
        <v>86.6</v>
      </c>
      <c r="I35" s="41">
        <v>8.06</v>
      </c>
      <c r="J35" s="41">
        <f>AVERAGE(2.57,2.34,2.49)</f>
        <v>2.4666666666666668</v>
      </c>
      <c r="K35" s="41"/>
      <c r="O35" s="41"/>
      <c r="P35" s="41"/>
      <c r="Q35" s="42">
        <v>3</v>
      </c>
      <c r="R35" s="43" t="s">
        <v>20</v>
      </c>
      <c r="S35" s="10" t="s">
        <v>31</v>
      </c>
    </row>
    <row r="36" spans="1:19" ht="32">
      <c r="A36" s="1" t="s">
        <v>75</v>
      </c>
      <c r="B36" s="3" t="s">
        <v>22</v>
      </c>
      <c r="C36" s="4">
        <v>43131</v>
      </c>
      <c r="D36" s="49">
        <v>0.36805555555555558</v>
      </c>
      <c r="E36" s="13">
        <v>24</v>
      </c>
      <c r="F36" s="13">
        <v>34.1</v>
      </c>
      <c r="G36" s="41">
        <v>6.6</v>
      </c>
      <c r="H36" s="13">
        <v>95.7</v>
      </c>
      <c r="I36" s="41">
        <v>8.1300000000000008</v>
      </c>
      <c r="J36" s="41">
        <f>AVERAGE(4.15,4.83,4.74)</f>
        <v>4.5733333333333333</v>
      </c>
      <c r="K36" s="41"/>
      <c r="O36" s="41"/>
      <c r="P36" s="41"/>
      <c r="Q36" s="42">
        <v>1</v>
      </c>
      <c r="R36" s="43" t="s">
        <v>18</v>
      </c>
      <c r="S36" s="10" t="s">
        <v>31</v>
      </c>
    </row>
    <row r="37" spans="1:19">
      <c r="E37" s="52"/>
      <c r="F37" s="52"/>
      <c r="G37" s="51"/>
      <c r="H37" s="52"/>
      <c r="I37" s="51"/>
      <c r="J37" s="51"/>
      <c r="K37" s="51"/>
      <c r="L37" s="51"/>
      <c r="M37" s="51"/>
      <c r="N37" s="51"/>
      <c r="O37" s="51"/>
      <c r="P37" s="51"/>
      <c r="Q37" s="42"/>
      <c r="R37" s="43"/>
    </row>
    <row r="38" spans="1:19">
      <c r="G38" s="41"/>
      <c r="I38" s="41"/>
      <c r="J38" s="41"/>
      <c r="K38" s="41"/>
      <c r="O38" s="41"/>
      <c r="P38" s="41"/>
      <c r="Q38" s="42"/>
      <c r="R38" s="43"/>
    </row>
    <row r="42" spans="1:19">
      <c r="J42" s="25">
        <f t="shared" ref="J42:P42" si="0">GEOMEAN(J2:J39)</f>
        <v>6.689812233530561</v>
      </c>
      <c r="K42" s="15">
        <f t="shared" si="0"/>
        <v>84.046802016189147</v>
      </c>
      <c r="L42" s="41">
        <f t="shared" ref="L42:N42" si="1">GEOMEAN(L2:L39)</f>
        <v>13.769430863658881</v>
      </c>
      <c r="M42" s="38">
        <f t="shared" si="1"/>
        <v>8.1788497996638991</v>
      </c>
      <c r="N42" s="41">
        <f t="shared" si="1"/>
        <v>348.52325851585397</v>
      </c>
      <c r="O42" s="25">
        <f t="shared" si="0"/>
        <v>13.732132281314597</v>
      </c>
      <c r="P42" s="25">
        <f t="shared" si="0"/>
        <v>5.4418365429514566</v>
      </c>
      <c r="S42" s="10" t="s">
        <v>91</v>
      </c>
    </row>
    <row r="43" spans="1:19">
      <c r="D43" s="46">
        <f>AVERAGE(D2:D39)</f>
        <v>0.3752380952380952</v>
      </c>
      <c r="E43" s="18">
        <f>AVERAGE(E2:E39)</f>
        <v>26.277142857142856</v>
      </c>
      <c r="F43" s="41">
        <f t="shared" ref="F43:H43" si="2">AVERAGE(F2:F39)</f>
        <v>34.071428571428577</v>
      </c>
      <c r="G43" s="41">
        <f t="shared" si="2"/>
        <v>6.1022857142857134</v>
      </c>
      <c r="H43" s="41">
        <f t="shared" si="2"/>
        <v>91.44571428571426</v>
      </c>
      <c r="I43" s="18">
        <f t="shared" ref="I43:P43" si="3">AVERAGE(I2:I39)</f>
        <v>8.0477142857142869</v>
      </c>
      <c r="J43" s="18">
        <f t="shared" si="3"/>
        <v>10.255098039215685</v>
      </c>
      <c r="K43" s="15">
        <f t="shared" si="3"/>
        <v>85.593040861347944</v>
      </c>
      <c r="L43" s="41">
        <f t="shared" ref="L43:N43" si="4">AVERAGE(L2:L39)</f>
        <v>14.270407302086843</v>
      </c>
      <c r="M43" s="41">
        <f t="shared" si="4"/>
        <v>8.4553035045437692</v>
      </c>
      <c r="N43" s="41">
        <f t="shared" si="4"/>
        <v>401.26507215930724</v>
      </c>
      <c r="O43" s="18">
        <f t="shared" si="3"/>
        <v>17.723443248751629</v>
      </c>
      <c r="P43" s="18">
        <f t="shared" si="3"/>
        <v>6.1321247458641066</v>
      </c>
      <c r="S43" s="10" t="s">
        <v>92</v>
      </c>
    </row>
    <row r="44" spans="1:19">
      <c r="E44" s="41">
        <f>STDEV(E2:E39)</f>
        <v>1.5759377627091866</v>
      </c>
      <c r="F44" s="41">
        <f t="shared" ref="F44:H44" si="5">STDEV(F2:F39)</f>
        <v>1.5849608324294873</v>
      </c>
      <c r="G44" s="41">
        <f t="shared" si="5"/>
        <v>0.40913887843707036</v>
      </c>
      <c r="H44" s="41">
        <f t="shared" si="5"/>
        <v>5.5617571735154128</v>
      </c>
      <c r="I44" s="18">
        <f t="shared" ref="I44:P44" si="6">STDEV(I2:I39)</f>
        <v>6.1886314855288546E-2</v>
      </c>
      <c r="J44" s="18">
        <f t="shared" si="6"/>
        <v>11.140582265861168</v>
      </c>
      <c r="K44" s="15">
        <f t="shared" si="6"/>
        <v>16.736067583821391</v>
      </c>
      <c r="L44" s="41">
        <f t="shared" ref="L44:N44" si="7">STDEV(L2:L39)</f>
        <v>3.9735975515421389</v>
      </c>
      <c r="M44" s="41">
        <f t="shared" si="7"/>
        <v>2.2269671604472641</v>
      </c>
      <c r="N44" s="41">
        <f t="shared" si="7"/>
        <v>181.36733557050931</v>
      </c>
      <c r="O44" s="18">
        <f t="shared" si="6"/>
        <v>12.964782485942495</v>
      </c>
      <c r="P44" s="18">
        <f t="shared" si="6"/>
        <v>3.5654237988202775</v>
      </c>
      <c r="S44" s="10" t="s">
        <v>93</v>
      </c>
    </row>
    <row r="45" spans="1:19">
      <c r="J45" s="18"/>
    </row>
    <row r="46" spans="1:19">
      <c r="J46" s="18">
        <f>J42/0.2</f>
        <v>33.4490611676528</v>
      </c>
      <c r="K46" s="18">
        <f>K42/110</f>
        <v>0.76406183651081039</v>
      </c>
      <c r="L46" s="41">
        <f>L42/16</f>
        <v>0.86058942897868007</v>
      </c>
      <c r="M46" s="41">
        <f>M42/6</f>
        <v>1.3631416332773165</v>
      </c>
      <c r="N46" s="41">
        <f>N42</f>
        <v>348.52325851585397</v>
      </c>
      <c r="O46" s="18">
        <f>O42/3.5</f>
        <v>3.9234663660898845</v>
      </c>
      <c r="P46" s="18">
        <f>P42/2</f>
        <v>2.7209182714757283</v>
      </c>
      <c r="S46" s="10" t="s">
        <v>60</v>
      </c>
    </row>
  </sheetData>
  <phoneticPr fontId="1" type="noConversion"/>
  <pageMargins left="0.75" right="0.75" top="1" bottom="1" header="0.5" footer="0.5"/>
  <ignoredErrors>
    <ignoredError sqref="P42" emptyCellReference="1"/>
  </ignoredErrors>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H22" activePane="bottomRight" state="frozen"/>
      <selection pane="topRight" activeCell="D1" sqref="D1"/>
      <selection pane="bottomLeft" activeCell="A2" sqref="A2"/>
      <selection pane="bottomRight" activeCell="N10" sqref="N10:O31"/>
    </sheetView>
  </sheetViews>
  <sheetFormatPr baseColWidth="10" defaultRowHeight="16"/>
  <cols>
    <col min="1" max="1" width="15.42578125"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6"/>
    <col min="12" max="12" width="10.7109375" style="41"/>
    <col min="13" max="13" width="12.140625" style="41" customWidth="1"/>
    <col min="14" max="14" width="10.7109375" style="41"/>
    <col min="15" max="16" width="10.7109375" style="16"/>
    <col min="17" max="17" width="13" style="21" customWidth="1"/>
    <col min="18" max="18" width="11.7109375" style="30" customWidth="1"/>
    <col min="19" max="19" width="51.42578125" style="10" customWidth="1"/>
    <col min="20" max="16384" width="10.7109375" style="1"/>
  </cols>
  <sheetData>
    <row r="1" spans="1:19" s="2" customFormat="1" ht="32">
      <c r="A1" s="2" t="s">
        <v>1</v>
      </c>
      <c r="B1" s="2" t="s">
        <v>2</v>
      </c>
      <c r="C1" s="2" t="s">
        <v>3</v>
      </c>
      <c r="D1" s="2" t="s">
        <v>100</v>
      </c>
      <c r="E1" s="12" t="s">
        <v>101</v>
      </c>
      <c r="F1" s="12" t="s">
        <v>102</v>
      </c>
      <c r="G1" s="19" t="s">
        <v>4</v>
      </c>
      <c r="H1" s="12" t="s">
        <v>33</v>
      </c>
      <c r="I1" s="19" t="s">
        <v>43</v>
      </c>
      <c r="J1" s="19" t="s">
        <v>81</v>
      </c>
      <c r="K1" s="2" t="s">
        <v>25</v>
      </c>
      <c r="L1" s="2" t="s">
        <v>108</v>
      </c>
      <c r="M1" s="2" t="s">
        <v>46</v>
      </c>
      <c r="N1" s="2" t="s">
        <v>50</v>
      </c>
      <c r="O1" s="2" t="s">
        <v>106</v>
      </c>
      <c r="P1" s="2" t="s">
        <v>44</v>
      </c>
      <c r="Q1" s="20" t="s">
        <v>51</v>
      </c>
      <c r="R1" s="28" t="s">
        <v>52</v>
      </c>
      <c r="S1" s="2" t="s">
        <v>53</v>
      </c>
    </row>
    <row r="2" spans="1:19">
      <c r="A2" s="1" t="s">
        <v>23</v>
      </c>
      <c r="B2" s="3" t="s">
        <v>24</v>
      </c>
      <c r="C2" s="4">
        <v>42536</v>
      </c>
      <c r="D2" s="5"/>
      <c r="S2" s="10" t="s">
        <v>76</v>
      </c>
    </row>
    <row r="3" spans="1:19">
      <c r="A3" s="1" t="s">
        <v>23</v>
      </c>
      <c r="B3" s="3" t="s">
        <v>24</v>
      </c>
      <c r="C3" s="4">
        <v>42550</v>
      </c>
      <c r="S3" s="10" t="s">
        <v>76</v>
      </c>
    </row>
    <row r="4" spans="1:19">
      <c r="A4" s="1" t="s">
        <v>23</v>
      </c>
      <c r="B4" s="3" t="s">
        <v>24</v>
      </c>
      <c r="C4" s="4">
        <v>42564</v>
      </c>
      <c r="S4" s="10" t="s">
        <v>76</v>
      </c>
    </row>
    <row r="5" spans="1:19">
      <c r="A5" s="1" t="s">
        <v>23</v>
      </c>
      <c r="B5" s="3" t="s">
        <v>24</v>
      </c>
      <c r="C5" s="4">
        <v>42578</v>
      </c>
      <c r="S5" s="10" t="s">
        <v>76</v>
      </c>
    </row>
    <row r="6" spans="1:19">
      <c r="A6" s="1" t="s">
        <v>23</v>
      </c>
      <c r="B6" s="3" t="s">
        <v>24</v>
      </c>
      <c r="C6" s="4">
        <v>42592</v>
      </c>
      <c r="S6" s="10" t="s">
        <v>76</v>
      </c>
    </row>
    <row r="7" spans="1:19" ht="64">
      <c r="A7" s="1" t="s">
        <v>23</v>
      </c>
      <c r="B7" s="3" t="s">
        <v>24</v>
      </c>
      <c r="C7" s="4">
        <v>42606</v>
      </c>
      <c r="D7" s="5">
        <v>0.3840277777777778</v>
      </c>
      <c r="E7" s="9">
        <v>28.4</v>
      </c>
      <c r="F7" s="9">
        <v>35.5</v>
      </c>
      <c r="G7" s="8">
        <v>6.44</v>
      </c>
      <c r="H7" s="9">
        <v>100.7</v>
      </c>
      <c r="I7" s="8">
        <v>8.09</v>
      </c>
      <c r="J7" s="8">
        <f>AVERAGE(1.39,1.32,1.28)</f>
        <v>1.33</v>
      </c>
      <c r="K7" s="16">
        <v>75.088779612241751</v>
      </c>
      <c r="L7" s="41">
        <v>13.599273769512527</v>
      </c>
      <c r="M7" s="41">
        <v>3.699232775778698</v>
      </c>
      <c r="N7" s="41">
        <v>267.73116558578857</v>
      </c>
      <c r="O7" s="16">
        <v>6.636525762107139</v>
      </c>
      <c r="P7" s="16">
        <v>3.4471927906706217</v>
      </c>
      <c r="Q7" s="21">
        <v>1</v>
      </c>
      <c r="R7" s="30" t="s">
        <v>119</v>
      </c>
      <c r="S7" s="10" t="s">
        <v>67</v>
      </c>
    </row>
    <row r="8" spans="1:19">
      <c r="A8" s="1" t="s">
        <v>23</v>
      </c>
      <c r="B8" s="3" t="s">
        <v>24</v>
      </c>
      <c r="C8" s="4">
        <v>42620</v>
      </c>
      <c r="S8" s="10" t="s">
        <v>87</v>
      </c>
    </row>
    <row r="9" spans="1:19">
      <c r="A9" s="1" t="s">
        <v>23</v>
      </c>
      <c r="B9" s="3" t="s">
        <v>24</v>
      </c>
      <c r="C9" s="4">
        <v>42634</v>
      </c>
      <c r="S9" s="10" t="s">
        <v>87</v>
      </c>
    </row>
    <row r="10" spans="1:19" ht="64">
      <c r="A10" s="1" t="s">
        <v>23</v>
      </c>
      <c r="B10" s="3" t="s">
        <v>24</v>
      </c>
      <c r="C10" s="4">
        <v>42648</v>
      </c>
      <c r="D10" s="5">
        <v>0.39930555555555558</v>
      </c>
      <c r="E10" s="9">
        <v>28.3</v>
      </c>
      <c r="F10" s="9">
        <v>36.5</v>
      </c>
      <c r="G10" s="8">
        <v>6.42</v>
      </c>
      <c r="H10" s="9">
        <v>100.6</v>
      </c>
      <c r="I10" s="8">
        <v>8.11</v>
      </c>
      <c r="J10" s="8">
        <f>AVERAGE(2.62,2.71,2.51)</f>
        <v>2.6133333333333333</v>
      </c>
      <c r="K10" s="16">
        <v>75.599688141570397</v>
      </c>
      <c r="L10" s="41">
        <v>8.2108822759320912</v>
      </c>
      <c r="M10" s="41">
        <v>3.744581595292281</v>
      </c>
      <c r="N10" s="41">
        <v>148.4833360965518</v>
      </c>
      <c r="O10" s="16">
        <v>1.8803142609790631</v>
      </c>
      <c r="P10" s="31">
        <v>11.910892464956667</v>
      </c>
      <c r="Q10" s="21">
        <v>1</v>
      </c>
      <c r="R10" s="30" t="s">
        <v>120</v>
      </c>
      <c r="S10" s="10" t="s">
        <v>9</v>
      </c>
    </row>
    <row r="11" spans="1:19" ht="32">
      <c r="A11" s="1" t="s">
        <v>23</v>
      </c>
      <c r="B11" s="3" t="s">
        <v>24</v>
      </c>
      <c r="C11" s="4">
        <v>42662</v>
      </c>
      <c r="D11" s="5">
        <v>0.40277777777777773</v>
      </c>
      <c r="E11" s="9">
        <v>27.7</v>
      </c>
      <c r="F11" s="9">
        <v>34.6</v>
      </c>
      <c r="G11" s="8">
        <v>6.49</v>
      </c>
      <c r="H11" s="9">
        <v>99.7</v>
      </c>
      <c r="I11" s="8">
        <v>8.15</v>
      </c>
      <c r="J11" s="8">
        <f>AVERAGE(5.46,6.81,5.84)</f>
        <v>6.0366666666666662</v>
      </c>
      <c r="K11" s="16">
        <v>95.611595662640667</v>
      </c>
      <c r="L11" s="41">
        <v>15.787280197392677</v>
      </c>
      <c r="M11" s="41">
        <v>5.0836003634398601</v>
      </c>
      <c r="N11" s="41">
        <v>153.69911151318868</v>
      </c>
      <c r="O11" s="24">
        <v>0.1</v>
      </c>
      <c r="P11" s="16">
        <v>3.3096252981195451</v>
      </c>
      <c r="Q11" s="21">
        <v>2</v>
      </c>
      <c r="R11" s="30" t="s">
        <v>119</v>
      </c>
      <c r="S11" s="10" t="s">
        <v>104</v>
      </c>
    </row>
    <row r="12" spans="1:19" ht="32">
      <c r="A12" s="1" t="s">
        <v>23</v>
      </c>
      <c r="B12" s="3" t="s">
        <v>24</v>
      </c>
      <c r="C12" s="4">
        <v>42676</v>
      </c>
      <c r="D12" s="5">
        <v>0.41111111111111115</v>
      </c>
      <c r="E12" s="9">
        <v>26.7</v>
      </c>
      <c r="F12" s="9">
        <v>34.5</v>
      </c>
      <c r="G12" s="8">
        <v>6.83</v>
      </c>
      <c r="H12" s="9">
        <v>103</v>
      </c>
      <c r="I12" s="8">
        <v>8.17</v>
      </c>
      <c r="J12" s="8">
        <f>AVERAGE(1.82,1.95,1.8)</f>
        <v>1.8566666666666667</v>
      </c>
      <c r="K12" s="16">
        <v>78.020193659434298</v>
      </c>
      <c r="L12" s="41">
        <v>12.229807536410709</v>
      </c>
      <c r="M12" s="41">
        <v>5.5974098948135671</v>
      </c>
      <c r="N12" s="41">
        <v>152.3947098667181</v>
      </c>
      <c r="O12" s="16">
        <v>1.5106873220899286</v>
      </c>
      <c r="P12" s="16">
        <v>4.7688077912355009</v>
      </c>
      <c r="Q12" s="29">
        <v>2</v>
      </c>
      <c r="R12" s="30" t="s">
        <v>119</v>
      </c>
      <c r="S12" s="10" t="s">
        <v>0</v>
      </c>
    </row>
    <row r="13" spans="1:19" ht="32">
      <c r="A13" s="1" t="s">
        <v>23</v>
      </c>
      <c r="B13" s="3" t="s">
        <v>24</v>
      </c>
      <c r="C13" s="4">
        <v>42690</v>
      </c>
      <c r="D13" s="5">
        <v>0.39583333333333331</v>
      </c>
      <c r="E13" s="13">
        <v>26.6</v>
      </c>
      <c r="F13" s="13">
        <v>34.4</v>
      </c>
      <c r="G13" s="18">
        <v>6.73</v>
      </c>
      <c r="H13" s="13">
        <v>101.2</v>
      </c>
      <c r="I13" s="18">
        <v>8.16</v>
      </c>
      <c r="J13" s="18">
        <f>AVERAGE(1.95,2,2.18)</f>
        <v>2.0433333333333334</v>
      </c>
      <c r="K13" s="18">
        <v>64.320391541811773</v>
      </c>
      <c r="L13" s="41">
        <v>3.529047079974597</v>
      </c>
      <c r="M13" s="41">
        <v>3.5353299023543872</v>
      </c>
      <c r="N13" s="41">
        <v>191.27912770208377</v>
      </c>
      <c r="O13" s="18">
        <v>4.4499124895277751</v>
      </c>
      <c r="P13" s="24">
        <v>1.5</v>
      </c>
      <c r="Q13" s="29">
        <v>2</v>
      </c>
      <c r="R13" s="30" t="s">
        <v>119</v>
      </c>
      <c r="S13" s="10" t="s">
        <v>0</v>
      </c>
    </row>
    <row r="14" spans="1:19" ht="32">
      <c r="A14" s="1" t="s">
        <v>23</v>
      </c>
      <c r="B14" s="3" t="s">
        <v>24</v>
      </c>
      <c r="C14" s="4">
        <v>42704</v>
      </c>
      <c r="D14" s="5">
        <v>0.40277777777777773</v>
      </c>
      <c r="E14" s="13">
        <v>25.4</v>
      </c>
      <c r="F14" s="13">
        <v>33.9</v>
      </c>
      <c r="G14" s="18">
        <v>6.84</v>
      </c>
      <c r="H14" s="13">
        <v>100.6</v>
      </c>
      <c r="I14" s="18">
        <v>8.1</v>
      </c>
      <c r="J14" s="18">
        <f>AVERAGE(1.75,2.11,2.21)</f>
        <v>2.0233333333333334</v>
      </c>
      <c r="K14" s="18">
        <v>69.405193903586678</v>
      </c>
      <c r="L14" s="41">
        <v>5.6406204363728039</v>
      </c>
      <c r="M14" s="41">
        <v>2.3875996475652292</v>
      </c>
      <c r="N14" s="41">
        <v>332.00425570297824</v>
      </c>
      <c r="O14" s="18">
        <v>3.6650147246618539</v>
      </c>
      <c r="P14" s="18">
        <v>1.8436505442097852</v>
      </c>
      <c r="Q14" s="29">
        <v>2</v>
      </c>
      <c r="R14" s="30" t="s">
        <v>119</v>
      </c>
      <c r="S14" s="10" t="s">
        <v>0</v>
      </c>
    </row>
    <row r="15" spans="1:19" ht="32">
      <c r="A15" s="1" t="s">
        <v>23</v>
      </c>
      <c r="B15" s="3" t="s">
        <v>24</v>
      </c>
      <c r="C15" s="4">
        <v>42718</v>
      </c>
      <c r="D15" s="5">
        <v>0.39930555555555558</v>
      </c>
      <c r="E15" s="13">
        <v>24.9</v>
      </c>
      <c r="F15" s="13">
        <v>34.4</v>
      </c>
      <c r="G15" s="18">
        <v>6.95</v>
      </c>
      <c r="H15" s="13">
        <v>101.8</v>
      </c>
      <c r="I15" s="18">
        <v>8.08</v>
      </c>
      <c r="J15" s="18">
        <f>AVERAGE(3.01,2.83,2.31)</f>
        <v>2.7166666666666668</v>
      </c>
      <c r="K15" s="16">
        <v>53.377965390920167</v>
      </c>
      <c r="L15" s="41">
        <v>9.1412588573611924</v>
      </c>
      <c r="M15" s="41">
        <v>2.9379936790807504</v>
      </c>
      <c r="N15" s="41">
        <v>261.28235113976046</v>
      </c>
      <c r="O15" s="16">
        <v>1.5580502998581582</v>
      </c>
      <c r="P15" s="16">
        <v>2.0491339462441185</v>
      </c>
      <c r="Q15" s="29">
        <v>1</v>
      </c>
      <c r="R15" s="30" t="s">
        <v>119</v>
      </c>
      <c r="S15" s="10" t="s">
        <v>0</v>
      </c>
    </row>
    <row r="16" spans="1:19" ht="32">
      <c r="A16" s="1" t="s">
        <v>23</v>
      </c>
      <c r="B16" s="3" t="s">
        <v>24</v>
      </c>
      <c r="C16" s="4">
        <v>42739</v>
      </c>
      <c r="D16" s="5">
        <v>0.3972222222222222</v>
      </c>
      <c r="E16" s="13">
        <v>24.1</v>
      </c>
      <c r="F16" s="13">
        <v>34.9</v>
      </c>
      <c r="G16" s="18">
        <v>6.85</v>
      </c>
      <c r="H16" s="13">
        <v>99.2</v>
      </c>
      <c r="I16" s="18">
        <v>8.11</v>
      </c>
      <c r="J16" s="18">
        <f>AVERAGE(2.97,2.59,2.54)</f>
        <v>2.7000000000000006</v>
      </c>
      <c r="K16" s="18">
        <v>87.564083184544685</v>
      </c>
      <c r="L16" s="41">
        <v>10.938422150986741</v>
      </c>
      <c r="M16" s="41">
        <v>4.162247063248028</v>
      </c>
      <c r="N16" s="41">
        <v>136.97926058738588</v>
      </c>
      <c r="O16" s="18">
        <v>2.4716942264830073</v>
      </c>
      <c r="P16" s="18">
        <v>1.5493814991634867</v>
      </c>
      <c r="Q16" s="29">
        <v>2</v>
      </c>
      <c r="R16" s="30" t="s">
        <v>119</v>
      </c>
      <c r="S16" s="10" t="s">
        <v>0</v>
      </c>
    </row>
    <row r="17" spans="1:19" ht="32">
      <c r="A17" s="1" t="s">
        <v>23</v>
      </c>
      <c r="B17" s="3" t="s">
        <v>24</v>
      </c>
      <c r="C17" s="4">
        <v>42760</v>
      </c>
      <c r="D17" s="5">
        <v>0.40625</v>
      </c>
      <c r="E17" s="13">
        <v>24.8</v>
      </c>
      <c r="F17" s="13">
        <v>34.9</v>
      </c>
      <c r="G17" s="18">
        <v>6.79</v>
      </c>
      <c r="H17" s="13">
        <v>99.1</v>
      </c>
      <c r="I17" s="31">
        <v>8.06</v>
      </c>
      <c r="J17" s="18">
        <f>AVERAGE(2.21,1.8,1.76)</f>
        <v>1.9233333333333331</v>
      </c>
      <c r="K17" s="18">
        <v>77.977871048459008</v>
      </c>
      <c r="L17" s="41">
        <v>12.72034319613368</v>
      </c>
      <c r="M17" s="41">
        <v>8.613757803751863</v>
      </c>
      <c r="N17" s="41">
        <v>118.55189757791345</v>
      </c>
      <c r="O17" s="18">
        <v>1.009253095565664</v>
      </c>
      <c r="P17" s="18">
        <v>4.7208159494966431</v>
      </c>
      <c r="Q17" s="29">
        <v>1</v>
      </c>
      <c r="R17" s="30" t="s">
        <v>119</v>
      </c>
      <c r="S17" s="10" t="s">
        <v>0</v>
      </c>
    </row>
    <row r="18" spans="1:19" ht="32">
      <c r="A18" s="1" t="s">
        <v>23</v>
      </c>
      <c r="B18" s="3" t="s">
        <v>24</v>
      </c>
      <c r="C18" s="4">
        <v>42781</v>
      </c>
      <c r="D18" s="5">
        <v>0.39583333333333331</v>
      </c>
      <c r="E18" s="9">
        <v>25.1</v>
      </c>
      <c r="F18" s="9">
        <v>34.9</v>
      </c>
      <c r="G18" s="8">
        <v>6.86</v>
      </c>
      <c r="H18" s="9">
        <v>100.8</v>
      </c>
      <c r="I18" s="8">
        <v>8.19</v>
      </c>
      <c r="J18" s="8">
        <f>AVERAGE(2.97,3.05,3.34)</f>
        <v>3.1199999999999997</v>
      </c>
      <c r="K18" s="16">
        <v>101.20155096562287</v>
      </c>
      <c r="L18" s="41">
        <v>10.971023836138311</v>
      </c>
      <c r="M18" s="41">
        <v>5.4479697483898306</v>
      </c>
      <c r="N18" s="41">
        <v>130.64331346724177</v>
      </c>
      <c r="O18" s="16">
        <v>2.7176949941792738</v>
      </c>
      <c r="P18" s="16">
        <v>6.8345467518284186</v>
      </c>
      <c r="Q18" s="21">
        <v>2</v>
      </c>
      <c r="R18" s="30" t="s">
        <v>72</v>
      </c>
      <c r="S18" s="10" t="s">
        <v>0</v>
      </c>
    </row>
    <row r="19" spans="1:19" ht="32">
      <c r="A19" s="1" t="s">
        <v>23</v>
      </c>
      <c r="B19" s="3" t="s">
        <v>24</v>
      </c>
      <c r="C19" s="4">
        <v>42802</v>
      </c>
      <c r="D19" s="5">
        <v>0.41250000000000003</v>
      </c>
      <c r="E19" s="9">
        <v>25.2</v>
      </c>
      <c r="F19" s="9">
        <v>34.5</v>
      </c>
      <c r="G19" s="8">
        <v>6.93</v>
      </c>
      <c r="H19" s="9">
        <v>102.1</v>
      </c>
      <c r="I19" s="8">
        <v>8.1999999999999993</v>
      </c>
      <c r="J19" s="8">
        <f>AVERAGE(1.8,2.24,2.5)</f>
        <v>2.1800000000000002</v>
      </c>
      <c r="K19" s="16">
        <v>79.268745724374099</v>
      </c>
      <c r="L19" s="41">
        <v>9.0895833064046272</v>
      </c>
      <c r="M19" s="41">
        <v>4.7773090542372874</v>
      </c>
      <c r="N19" s="41">
        <v>101.6479778520366</v>
      </c>
      <c r="O19" s="16">
        <v>2.5546332945285171</v>
      </c>
      <c r="P19" s="16">
        <v>6.5483967326110903</v>
      </c>
      <c r="Q19" s="21">
        <v>1</v>
      </c>
      <c r="R19" s="30" t="s">
        <v>7</v>
      </c>
      <c r="S19" s="10" t="s">
        <v>0</v>
      </c>
    </row>
    <row r="20" spans="1:19" ht="32">
      <c r="A20" s="1" t="s">
        <v>23</v>
      </c>
      <c r="B20" s="3" t="s">
        <v>24</v>
      </c>
      <c r="C20" s="4">
        <v>42823</v>
      </c>
      <c r="D20" s="5">
        <v>0.39999999999999997</v>
      </c>
      <c r="E20" s="9">
        <v>26.2</v>
      </c>
      <c r="F20" s="9">
        <v>33.9</v>
      </c>
      <c r="G20" s="8">
        <v>6.78</v>
      </c>
      <c r="H20" s="9">
        <v>100.8</v>
      </c>
      <c r="I20" s="8">
        <v>8.18</v>
      </c>
      <c r="J20" s="8">
        <f>AVERAGE(2.69,2.51,2.31)</f>
        <v>2.5033333333333334</v>
      </c>
      <c r="K20" s="16">
        <v>80.200792180264941</v>
      </c>
      <c r="L20" s="41">
        <v>13.089850412251623</v>
      </c>
      <c r="M20" s="41">
        <v>5.5089469526279018</v>
      </c>
      <c r="N20" s="41">
        <v>150.1576168590627</v>
      </c>
      <c r="O20" s="16">
        <v>2.1438232259205754</v>
      </c>
      <c r="P20" s="16">
        <v>16.257782095725187</v>
      </c>
      <c r="Q20" s="29">
        <v>1</v>
      </c>
      <c r="R20" s="30" t="s">
        <v>7</v>
      </c>
      <c r="S20" s="10" t="s">
        <v>0</v>
      </c>
    </row>
    <row r="21" spans="1:19" ht="32">
      <c r="A21" s="1" t="s">
        <v>23</v>
      </c>
      <c r="B21" s="3" t="s">
        <v>24</v>
      </c>
      <c r="C21" s="4">
        <v>42844</v>
      </c>
      <c r="D21" s="5">
        <v>0.39583333333333331</v>
      </c>
      <c r="E21" s="13">
        <v>26.1</v>
      </c>
      <c r="F21" s="13">
        <v>34.1</v>
      </c>
      <c r="G21" s="18">
        <v>6.63</v>
      </c>
      <c r="H21" s="13">
        <v>99</v>
      </c>
      <c r="I21" s="18">
        <v>8.18</v>
      </c>
      <c r="J21" s="18">
        <f>AVERAGE(1.63,1.77,1.51)</f>
        <v>1.6366666666666667</v>
      </c>
      <c r="K21" s="41">
        <v>90.760064100170013</v>
      </c>
      <c r="L21" s="41">
        <v>8.4621359593244581</v>
      </c>
      <c r="M21" s="41">
        <v>4.8371018733756905</v>
      </c>
      <c r="N21" s="41">
        <v>97.376128496522298</v>
      </c>
      <c r="O21" s="41">
        <v>1.2541268633956337</v>
      </c>
      <c r="P21" s="41">
        <v>3.5507736020723888</v>
      </c>
      <c r="Q21" s="29">
        <v>1</v>
      </c>
      <c r="R21" s="30" t="s">
        <v>6</v>
      </c>
      <c r="S21" s="10" t="s">
        <v>0</v>
      </c>
    </row>
    <row r="22" spans="1:19" ht="32">
      <c r="A22" s="1" t="s">
        <v>23</v>
      </c>
      <c r="B22" s="3" t="s">
        <v>24</v>
      </c>
      <c r="C22" s="4">
        <v>42865</v>
      </c>
      <c r="D22" s="5">
        <v>0.39652777777777781</v>
      </c>
      <c r="E22" s="13">
        <v>26.1</v>
      </c>
      <c r="F22" s="13">
        <v>34.299999999999997</v>
      </c>
      <c r="G22" s="18">
        <v>6.91</v>
      </c>
      <c r="H22" s="13">
        <v>103.2</v>
      </c>
      <c r="I22" s="18">
        <v>8.23</v>
      </c>
      <c r="J22" s="18">
        <f>AVERAGE(1.66,1.91,1.45)</f>
        <v>1.6733333333333331</v>
      </c>
      <c r="K22" s="41">
        <v>69.503532366753987</v>
      </c>
      <c r="L22" s="41">
        <v>9.3766251506365599</v>
      </c>
      <c r="M22" s="41">
        <v>4.8569564809178534</v>
      </c>
      <c r="N22" s="41">
        <v>222.52446284907384</v>
      </c>
      <c r="O22" s="41">
        <v>1.6772086327472004</v>
      </c>
      <c r="P22" s="41">
        <v>2.0472749544695525</v>
      </c>
      <c r="Q22" s="29">
        <v>1</v>
      </c>
      <c r="R22" s="30" t="s">
        <v>45</v>
      </c>
      <c r="S22" s="10" t="s">
        <v>0</v>
      </c>
    </row>
    <row r="23" spans="1:19" ht="32">
      <c r="A23" s="1" t="s">
        <v>23</v>
      </c>
      <c r="B23" s="3" t="s">
        <v>24</v>
      </c>
      <c r="C23" s="4">
        <v>42886</v>
      </c>
      <c r="D23" s="5">
        <v>0.3923611111111111</v>
      </c>
      <c r="E23" s="13">
        <v>26.9</v>
      </c>
      <c r="F23" s="13">
        <v>34.6</v>
      </c>
      <c r="G23" s="18">
        <v>6.73</v>
      </c>
      <c r="H23" s="13">
        <v>101.8</v>
      </c>
      <c r="I23" s="18">
        <v>8.15</v>
      </c>
      <c r="J23" s="18">
        <f>AVERAGE(3.31,2.98,3)</f>
        <v>3.0966666666666662</v>
      </c>
      <c r="K23" s="41">
        <v>63.057253516197591</v>
      </c>
      <c r="L23" s="41">
        <v>10.431567044045833</v>
      </c>
      <c r="M23" s="41">
        <v>4.1368301032936596</v>
      </c>
      <c r="N23" s="41">
        <v>132.33326284320444</v>
      </c>
      <c r="O23" s="41">
        <v>4.1300934037402834</v>
      </c>
      <c r="P23" s="41">
        <v>1.8421165875603334</v>
      </c>
      <c r="Q23" s="29">
        <v>1</v>
      </c>
      <c r="R23" s="30" t="s">
        <v>27</v>
      </c>
      <c r="S23" s="10" t="s">
        <v>0</v>
      </c>
    </row>
    <row r="24" spans="1:19" ht="32">
      <c r="A24" s="1" t="s">
        <v>23</v>
      </c>
      <c r="B24" s="3" t="s">
        <v>24</v>
      </c>
      <c r="C24" s="4">
        <v>42907</v>
      </c>
      <c r="D24" s="5">
        <v>0.39583333333333331</v>
      </c>
      <c r="E24" s="13">
        <v>27.3</v>
      </c>
      <c r="F24" s="13">
        <v>34.5</v>
      </c>
      <c r="G24" s="18">
        <v>6.69</v>
      </c>
      <c r="H24" s="13">
        <v>102.2</v>
      </c>
      <c r="I24" s="18">
        <v>8.17</v>
      </c>
      <c r="J24" s="18">
        <f>AVERAGE(3.58,4.04,4.38,3.83)</f>
        <v>3.9575</v>
      </c>
      <c r="K24" s="41">
        <v>77.161556458987178</v>
      </c>
      <c r="L24" s="41">
        <v>9.9172482105016595</v>
      </c>
      <c r="M24" s="41">
        <v>5.4044178217496688</v>
      </c>
      <c r="N24" s="41">
        <v>109.22738925007722</v>
      </c>
      <c r="O24" s="41">
        <v>2.5763022843433814</v>
      </c>
      <c r="P24" s="41">
        <v>1.1372432592695949</v>
      </c>
      <c r="Q24" s="42">
        <v>2</v>
      </c>
      <c r="R24" s="43" t="s">
        <v>41</v>
      </c>
      <c r="S24" s="10" t="s">
        <v>0</v>
      </c>
    </row>
    <row r="25" spans="1:19" ht="32">
      <c r="A25" s="1" t="s">
        <v>23</v>
      </c>
      <c r="B25" s="3" t="s">
        <v>24</v>
      </c>
      <c r="C25" s="4">
        <v>42928</v>
      </c>
      <c r="D25" s="5">
        <v>0.3888888888888889</v>
      </c>
      <c r="E25" s="13">
        <v>27.6</v>
      </c>
      <c r="F25" s="13">
        <v>34.299999999999997</v>
      </c>
      <c r="G25" s="41">
        <v>6.5</v>
      </c>
      <c r="H25" s="13">
        <v>99.5</v>
      </c>
      <c r="I25" s="41">
        <v>8.16</v>
      </c>
      <c r="J25" s="41">
        <f>AVERAGE(1.22,1.04,1.15)</f>
        <v>1.1366666666666665</v>
      </c>
      <c r="K25" s="41">
        <v>72.57738983171501</v>
      </c>
      <c r="L25" s="41">
        <v>8.9725249716736837</v>
      </c>
      <c r="M25" s="41">
        <v>3.4734290475765843</v>
      </c>
      <c r="N25" s="41">
        <v>177.75365992967477</v>
      </c>
      <c r="O25" s="41">
        <v>7.8896460804603539</v>
      </c>
      <c r="P25" s="41">
        <v>2.1580785787361285</v>
      </c>
      <c r="Q25" s="42">
        <v>2</v>
      </c>
      <c r="R25" s="43" t="s">
        <v>68</v>
      </c>
      <c r="S25" s="10" t="s">
        <v>0</v>
      </c>
    </row>
    <row r="26" spans="1:19" ht="32">
      <c r="A26" s="1" t="s">
        <v>23</v>
      </c>
      <c r="B26" s="3" t="s">
        <v>24</v>
      </c>
      <c r="C26" s="4">
        <v>42949</v>
      </c>
      <c r="D26" s="5">
        <v>0.39305555555555555</v>
      </c>
      <c r="E26" s="13">
        <v>28</v>
      </c>
      <c r="F26" s="13">
        <v>34.299999999999997</v>
      </c>
      <c r="G26" s="41">
        <v>6.7</v>
      </c>
      <c r="H26" s="13">
        <v>103.6</v>
      </c>
      <c r="I26" s="41">
        <v>8.18</v>
      </c>
      <c r="J26" s="41">
        <f>AVERAGE(1.25,1.29,1.34)</f>
        <v>1.2933333333333332</v>
      </c>
      <c r="K26" s="41">
        <v>67.785091648000801</v>
      </c>
      <c r="L26" s="41">
        <v>9.3662800430653963</v>
      </c>
      <c r="M26" s="41">
        <v>5.1401502780660975</v>
      </c>
      <c r="N26" s="41">
        <v>39.534680916424463</v>
      </c>
      <c r="O26" s="41">
        <v>2.9546598628129996</v>
      </c>
      <c r="P26" s="41">
        <v>1.1744136644004062</v>
      </c>
      <c r="Q26" s="42">
        <v>2</v>
      </c>
      <c r="R26" s="43" t="s">
        <v>98</v>
      </c>
      <c r="S26" s="10" t="s">
        <v>0</v>
      </c>
    </row>
    <row r="27" spans="1:19" ht="32">
      <c r="A27" s="1" t="s">
        <v>23</v>
      </c>
      <c r="B27" s="3" t="s">
        <v>24</v>
      </c>
      <c r="C27" s="4">
        <v>42970</v>
      </c>
      <c r="D27" s="5">
        <v>0.40138888888888885</v>
      </c>
      <c r="E27" s="13">
        <v>27.4</v>
      </c>
      <c r="F27" s="13">
        <v>34.5</v>
      </c>
      <c r="G27" s="41">
        <v>6.64</v>
      </c>
      <c r="H27" s="13">
        <v>101.6</v>
      </c>
      <c r="I27" s="41">
        <v>8.17</v>
      </c>
      <c r="J27" s="41">
        <f>AVERAGE(4.43,5.73,5.22)</f>
        <v>5.126666666666666</v>
      </c>
      <c r="K27" s="41">
        <v>71.431001076857186</v>
      </c>
      <c r="L27" s="41">
        <v>15.467109792478748</v>
      </c>
      <c r="M27" s="41">
        <v>7.1394908978889795</v>
      </c>
      <c r="N27" s="41">
        <v>176.5702626047559</v>
      </c>
      <c r="O27" s="41">
        <v>1.944898441662227</v>
      </c>
      <c r="P27" s="41">
        <v>1.6142415511298638</v>
      </c>
      <c r="Q27" s="42">
        <v>1</v>
      </c>
      <c r="R27" s="43" t="s">
        <v>29</v>
      </c>
      <c r="S27" s="10" t="s">
        <v>0</v>
      </c>
    </row>
    <row r="28" spans="1:19" ht="32">
      <c r="A28" s="1" t="s">
        <v>23</v>
      </c>
      <c r="B28" s="3" t="s">
        <v>24</v>
      </c>
      <c r="C28" s="4">
        <v>42991</v>
      </c>
      <c r="D28" s="49">
        <v>0.375</v>
      </c>
      <c r="E28" s="13"/>
      <c r="F28" s="13"/>
      <c r="G28" s="18"/>
      <c r="H28" s="13"/>
      <c r="I28" s="18"/>
      <c r="J28" s="18"/>
      <c r="K28" s="18"/>
      <c r="O28" s="18"/>
      <c r="P28" s="18"/>
      <c r="Q28" s="42">
        <v>2</v>
      </c>
      <c r="R28" s="43" t="s">
        <v>114</v>
      </c>
      <c r="S28" s="10" t="s">
        <v>0</v>
      </c>
    </row>
    <row r="29" spans="1:19" ht="32">
      <c r="A29" s="1" t="s">
        <v>23</v>
      </c>
      <c r="B29" s="3" t="s">
        <v>24</v>
      </c>
      <c r="C29" s="4">
        <v>43012</v>
      </c>
      <c r="D29" s="49">
        <v>0.3923611111111111</v>
      </c>
      <c r="E29" s="9">
        <v>28.1</v>
      </c>
      <c r="F29" s="9">
        <v>34.5</v>
      </c>
      <c r="G29" s="8">
        <v>6.46</v>
      </c>
      <c r="H29" s="9">
        <v>100.1</v>
      </c>
      <c r="I29" s="8">
        <v>8.18</v>
      </c>
      <c r="J29" s="8">
        <f>AVERAGE(2.24,2.65,2.42)</f>
        <v>2.436666666666667</v>
      </c>
      <c r="K29" s="41">
        <v>94.056647111222929</v>
      </c>
      <c r="L29" s="41">
        <v>10.649342579013092</v>
      </c>
      <c r="M29" s="41">
        <v>5.2948588124222065</v>
      </c>
      <c r="N29" s="41">
        <v>214.25093776831179</v>
      </c>
      <c r="O29" s="41">
        <v>1.4101418191368293</v>
      </c>
      <c r="P29" s="41">
        <v>5.8793135196081172</v>
      </c>
      <c r="Q29" s="42">
        <v>1</v>
      </c>
      <c r="R29" s="43" t="s">
        <v>112</v>
      </c>
      <c r="S29" s="10" t="s">
        <v>0</v>
      </c>
    </row>
    <row r="30" spans="1:19" ht="32">
      <c r="A30" s="1" t="s">
        <v>23</v>
      </c>
      <c r="B30" s="3" t="s">
        <v>24</v>
      </c>
      <c r="C30" s="4">
        <v>43033</v>
      </c>
      <c r="D30" s="49">
        <v>0.39930555555555558</v>
      </c>
      <c r="E30" s="9">
        <v>27.2</v>
      </c>
      <c r="F30" s="9">
        <v>34.700000000000003</v>
      </c>
      <c r="G30" s="8">
        <v>6.65</v>
      </c>
      <c r="H30" s="9">
        <v>101.6</v>
      </c>
      <c r="I30" s="8">
        <v>8.14</v>
      </c>
      <c r="J30" s="8">
        <f>AVERAGE(13,13.8,13.6)</f>
        <v>13.466666666666667</v>
      </c>
      <c r="K30" s="41">
        <v>66.595915062848277</v>
      </c>
      <c r="L30" s="41">
        <v>11.081411628613294</v>
      </c>
      <c r="M30" s="41">
        <v>5.5012940514296309</v>
      </c>
      <c r="N30" s="41">
        <v>166.71281014664692</v>
      </c>
      <c r="O30" s="41">
        <v>6.1776473780968217</v>
      </c>
      <c r="P30" s="41">
        <v>8.8202746678575856</v>
      </c>
      <c r="Q30" s="42">
        <v>3</v>
      </c>
      <c r="R30" s="43" t="s">
        <v>32</v>
      </c>
      <c r="S30" s="10" t="s">
        <v>31</v>
      </c>
    </row>
    <row r="31" spans="1:19" ht="32">
      <c r="A31" s="1" t="s">
        <v>23</v>
      </c>
      <c r="B31" s="3" t="s">
        <v>24</v>
      </c>
      <c r="C31" s="4">
        <v>43054</v>
      </c>
      <c r="D31" s="49">
        <v>0.38541666666666669</v>
      </c>
      <c r="E31" s="13">
        <v>26.7</v>
      </c>
      <c r="F31" s="13">
        <v>34.700000000000003</v>
      </c>
      <c r="G31" s="41">
        <v>6.71</v>
      </c>
      <c r="H31" s="13">
        <v>101.6</v>
      </c>
      <c r="I31" s="41">
        <v>8.19</v>
      </c>
      <c r="J31" s="41">
        <f>AVERAGE(1.27,1.66,1.36)</f>
        <v>1.43</v>
      </c>
      <c r="K31" s="41">
        <v>74.564862889115034</v>
      </c>
      <c r="L31" s="41">
        <v>11.527659972120311</v>
      </c>
      <c r="M31" s="41">
        <v>3.3609603918847419</v>
      </c>
      <c r="N31" s="41">
        <v>163.9708898338225</v>
      </c>
      <c r="O31" s="41">
        <v>1.3619223335572217</v>
      </c>
      <c r="P31" s="41">
        <v>4.7910685318808799</v>
      </c>
      <c r="Q31" s="42">
        <v>1</v>
      </c>
      <c r="R31" s="43" t="s">
        <v>38</v>
      </c>
      <c r="S31" s="10" t="s">
        <v>31</v>
      </c>
    </row>
    <row r="32" spans="1:19" ht="32">
      <c r="A32" s="1" t="s">
        <v>23</v>
      </c>
      <c r="B32" s="3" t="s">
        <v>24</v>
      </c>
      <c r="C32" s="4">
        <v>43075</v>
      </c>
      <c r="D32" s="49">
        <v>0.3888888888888889</v>
      </c>
      <c r="E32" s="13">
        <v>24.6</v>
      </c>
      <c r="F32" s="13">
        <v>34.6</v>
      </c>
      <c r="G32" s="41">
        <v>6.98</v>
      </c>
      <c r="H32" s="13">
        <v>101.5</v>
      </c>
      <c r="I32" s="41">
        <v>8.2100000000000009</v>
      </c>
      <c r="J32" s="41">
        <f>AVERAGE(1.78,2.26,2.1)</f>
        <v>2.0466666666666669</v>
      </c>
      <c r="K32" s="41"/>
      <c r="O32" s="41"/>
      <c r="P32" s="41"/>
      <c r="Q32" s="42">
        <v>3</v>
      </c>
      <c r="R32" s="43" t="s">
        <v>55</v>
      </c>
      <c r="S32" s="10" t="s">
        <v>31</v>
      </c>
    </row>
    <row r="33" spans="1:19" ht="32">
      <c r="A33" s="1" t="s">
        <v>23</v>
      </c>
      <c r="B33" s="3" t="s">
        <v>24</v>
      </c>
      <c r="C33" s="4">
        <v>43089</v>
      </c>
      <c r="D33" s="49">
        <v>0.39930555555555558</v>
      </c>
      <c r="E33" s="13">
        <v>24.4</v>
      </c>
      <c r="F33" s="13">
        <v>34.9</v>
      </c>
      <c r="G33" s="41">
        <v>6.85</v>
      </c>
      <c r="H33" s="13">
        <v>100.2</v>
      </c>
      <c r="I33" s="41">
        <v>8.17</v>
      </c>
      <c r="J33" s="41">
        <f>AVERAGE(5.09,5.19,5.75)</f>
        <v>5.3433333333333337</v>
      </c>
      <c r="K33" s="41"/>
      <c r="O33" s="41"/>
      <c r="P33" s="41"/>
      <c r="Q33" s="42">
        <v>1</v>
      </c>
      <c r="R33" s="43" t="s">
        <v>77</v>
      </c>
      <c r="S33" s="10" t="s">
        <v>31</v>
      </c>
    </row>
    <row r="34" spans="1:19" ht="32">
      <c r="A34" s="1" t="s">
        <v>23</v>
      </c>
      <c r="B34" s="3" t="s">
        <v>24</v>
      </c>
      <c r="C34" s="4">
        <v>43110</v>
      </c>
      <c r="D34" s="49">
        <v>0.3979166666666667</v>
      </c>
      <c r="E34" s="13">
        <v>24.3</v>
      </c>
      <c r="F34" s="13">
        <v>34.200000000000003</v>
      </c>
      <c r="G34" s="41">
        <v>7.03</v>
      </c>
      <c r="H34" s="13">
        <v>101.5</v>
      </c>
      <c r="I34" s="41">
        <v>8.14</v>
      </c>
      <c r="J34" s="41">
        <f>AVERAGE(1.24,1.41,1.31)</f>
        <v>1.32</v>
      </c>
      <c r="K34" s="41"/>
      <c r="O34" s="41"/>
      <c r="P34" s="41"/>
      <c r="Q34" s="42">
        <v>3</v>
      </c>
      <c r="R34" s="43" t="s">
        <v>20</v>
      </c>
      <c r="S34" s="10" t="s">
        <v>31</v>
      </c>
    </row>
    <row r="35" spans="1:19" ht="32">
      <c r="A35" s="1" t="s">
        <v>23</v>
      </c>
      <c r="B35" s="3" t="s">
        <v>24</v>
      </c>
      <c r="C35" s="4">
        <v>43131</v>
      </c>
      <c r="D35" s="49">
        <v>0.3833333333333333</v>
      </c>
      <c r="E35" s="52">
        <v>24.1</v>
      </c>
      <c r="F35" s="52">
        <v>34.1</v>
      </c>
      <c r="G35" s="41">
        <v>6.94</v>
      </c>
      <c r="H35" s="52">
        <v>100.6</v>
      </c>
      <c r="I35" s="41">
        <v>8.18</v>
      </c>
      <c r="J35" s="41">
        <f>AVERAGE(3.79,4.31,4.61)</f>
        <v>4.2366666666666672</v>
      </c>
      <c r="K35" s="41"/>
      <c r="O35" s="41"/>
      <c r="P35" s="41"/>
      <c r="Q35" s="42">
        <v>1</v>
      </c>
      <c r="R35" s="43" t="s">
        <v>18</v>
      </c>
      <c r="S35" s="10" t="s">
        <v>31</v>
      </c>
    </row>
    <row r="36" spans="1:19">
      <c r="E36" s="52"/>
      <c r="F36" s="52"/>
      <c r="G36" s="51"/>
      <c r="H36" s="52"/>
      <c r="I36" s="51"/>
      <c r="J36" s="51"/>
      <c r="K36" s="51"/>
      <c r="L36" s="51"/>
      <c r="M36" s="51"/>
      <c r="N36" s="51"/>
      <c r="O36" s="51"/>
      <c r="P36" s="51"/>
      <c r="Q36" s="42"/>
      <c r="R36" s="43"/>
    </row>
    <row r="37" spans="1:19">
      <c r="E37" s="52"/>
      <c r="F37" s="52"/>
      <c r="G37" s="41"/>
      <c r="H37" s="52"/>
      <c r="I37" s="41"/>
      <c r="J37" s="41"/>
      <c r="K37" s="41"/>
      <c r="O37" s="41"/>
      <c r="P37" s="41"/>
      <c r="Q37" s="42"/>
      <c r="R37" s="43"/>
    </row>
    <row r="38" spans="1:19">
      <c r="E38" s="13"/>
      <c r="F38" s="13"/>
      <c r="G38" s="41"/>
      <c r="H38" s="13"/>
      <c r="I38" s="41"/>
      <c r="J38" s="41"/>
      <c r="K38" s="41"/>
      <c r="O38" s="41"/>
      <c r="P38" s="41"/>
      <c r="Q38" s="42"/>
      <c r="R38" s="43"/>
    </row>
    <row r="39" spans="1:19">
      <c r="E39" s="13"/>
      <c r="F39" s="13"/>
      <c r="G39" s="41"/>
      <c r="H39" s="13"/>
      <c r="I39" s="41"/>
      <c r="J39" s="41"/>
      <c r="K39" s="41"/>
      <c r="O39" s="41"/>
      <c r="P39" s="41"/>
      <c r="Q39" s="42"/>
      <c r="R39" s="43"/>
    </row>
    <row r="42" spans="1:19">
      <c r="J42" s="25">
        <f t="shared" ref="J42:P42" si="0">GEOMEAN(J10:J40)</f>
        <v>2.5881184423682377</v>
      </c>
      <c r="K42" s="18">
        <f t="shared" si="0"/>
        <v>75.802355548236505</v>
      </c>
      <c r="L42" s="41">
        <f t="shared" ref="L42:N42" si="1">GEOMEAN(L10:L40)</f>
        <v>9.8704800133274588</v>
      </c>
      <c r="M42" s="41">
        <f t="shared" si="1"/>
        <v>4.6159896874202948</v>
      </c>
      <c r="N42" s="41">
        <f t="shared" si="1"/>
        <v>148.8665655068728</v>
      </c>
      <c r="O42" s="18">
        <f t="shared" si="0"/>
        <v>2.0414496702257856</v>
      </c>
      <c r="P42" s="38">
        <f t="shared" si="0"/>
        <v>3.3197897676732162</v>
      </c>
      <c r="S42" s="10" t="s">
        <v>91</v>
      </c>
    </row>
    <row r="43" spans="1:19">
      <c r="D43" s="47">
        <f>AVERAGE(D2:D40)</f>
        <v>0.3960133744855967</v>
      </c>
      <c r="E43" s="18">
        <f>AVERAGE(E2:E40)</f>
        <v>26.238461538461543</v>
      </c>
      <c r="F43" s="41">
        <f t="shared" ref="F43:H43" si="2">AVERAGE(F2:F40)</f>
        <v>34.58461538461539</v>
      </c>
      <c r="G43" s="41">
        <f t="shared" si="2"/>
        <v>6.7434615384615375</v>
      </c>
      <c r="H43" s="41">
        <f t="shared" si="2"/>
        <v>101.06153846153845</v>
      </c>
      <c r="I43" s="18">
        <f>AVERAGE(I2:I40)</f>
        <v>8.1557692307692307</v>
      </c>
      <c r="J43" s="8">
        <f>AVERAGE(J2:J40)</f>
        <v>3.0479807692307692</v>
      </c>
      <c r="K43" s="18">
        <f t="shared" ref="K43:P43" si="3">AVERAGE(K2:K40)</f>
        <v>76.596825685333613</v>
      </c>
      <c r="L43" s="41">
        <f t="shared" si="3"/>
        <v>10.463604473015664</v>
      </c>
      <c r="M43" s="41">
        <f t="shared" si="3"/>
        <v>4.7564303745084002</v>
      </c>
      <c r="N43" s="41">
        <f t="shared" si="3"/>
        <v>165.68675493587381</v>
      </c>
      <c r="O43" s="18">
        <f t="shared" si="3"/>
        <v>2.8215568543569964</v>
      </c>
      <c r="P43" s="18">
        <f t="shared" si="3"/>
        <v>4.443410217329359</v>
      </c>
      <c r="S43" s="10" t="s">
        <v>92</v>
      </c>
    </row>
    <row r="44" spans="1:19">
      <c r="E44" s="41">
        <f>STDEV(E2:E40)</f>
        <v>1.4116874790340241</v>
      </c>
      <c r="F44" s="41">
        <f t="shared" ref="F44:H44" si="4">STDEV(F2:F40)</f>
        <v>0.52283252208855291</v>
      </c>
      <c r="G44" s="41">
        <f t="shared" si="4"/>
        <v>0.17636195298745119</v>
      </c>
      <c r="H44" s="41">
        <f t="shared" si="4"/>
        <v>1.2319340641715957</v>
      </c>
      <c r="I44" s="18">
        <f>STDEV(I2:I40)</f>
        <v>4.1777800509104089E-2</v>
      </c>
      <c r="J44" s="8">
        <f>STDEV(J2:J40)</f>
        <v>2.4986126391912955</v>
      </c>
      <c r="K44" s="18">
        <f t="shared" ref="K44:P44" si="5">STDEV(K2:K40)</f>
        <v>11.588462777186493</v>
      </c>
      <c r="L44" s="41">
        <f t="shared" si="5"/>
        <v>2.8395570363383107</v>
      </c>
      <c r="M44" s="41">
        <f t="shared" si="5"/>
        <v>1.3926114794515343</v>
      </c>
      <c r="N44" s="41">
        <f t="shared" si="5"/>
        <v>64.674364769502532</v>
      </c>
      <c r="O44" s="18">
        <f t="shared" si="5"/>
        <v>1.9623761868466583</v>
      </c>
      <c r="P44" s="18">
        <f t="shared" si="5"/>
        <v>3.8233053549252571</v>
      </c>
      <c r="S44" s="10" t="s">
        <v>93</v>
      </c>
    </row>
    <row r="45" spans="1:19">
      <c r="K45" s="18"/>
      <c r="O45" s="18"/>
      <c r="P45" s="18"/>
    </row>
    <row r="46" spans="1:19">
      <c r="J46" s="8">
        <f>J42/0.2</f>
        <v>12.940592211841189</v>
      </c>
      <c r="K46" s="18">
        <f>K42/110</f>
        <v>0.68911232316578641</v>
      </c>
      <c r="L46" s="41">
        <f>L42/16</f>
        <v>0.61690500083296618</v>
      </c>
      <c r="M46" s="41">
        <f>M42/6</f>
        <v>0.76933161457004917</v>
      </c>
      <c r="N46" s="41">
        <f>N42</f>
        <v>148.8665655068728</v>
      </c>
      <c r="O46" s="18">
        <f>O42/3.5</f>
        <v>0.58327133435022449</v>
      </c>
      <c r="P46" s="18">
        <f>P42/2</f>
        <v>1.6598948838366081</v>
      </c>
      <c r="S46" s="10" t="s">
        <v>60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9" activePane="bottomRight" state="frozen"/>
      <selection pane="topRight" activeCell="D1" sqref="D1"/>
      <selection pane="bottomLeft" activeCell="A2" sqref="A2"/>
      <selection pane="bottomRight" activeCell="A35" sqref="A35"/>
    </sheetView>
  </sheetViews>
  <sheetFormatPr baseColWidth="10" defaultRowHeight="16"/>
  <cols>
    <col min="1" max="1" width="15.42578125"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7"/>
    <col min="12" max="12" width="10.7109375" style="41"/>
    <col min="13" max="13" width="12.140625" style="41" customWidth="1"/>
    <col min="14" max="14" width="10.7109375" style="41"/>
    <col min="15" max="16" width="10.7109375" style="17"/>
    <col min="17" max="17" width="11.85546875" style="21" customWidth="1"/>
    <col min="18" max="18" width="11.85546875" style="30" customWidth="1"/>
    <col min="19" max="19" width="51.42578125" style="10" customWidth="1"/>
    <col min="20" max="16384" width="10.7109375" style="1"/>
  </cols>
  <sheetData>
    <row r="1" spans="1:19" s="2" customFormat="1" ht="32">
      <c r="A1" s="2" t="s">
        <v>1</v>
      </c>
      <c r="B1" s="2" t="s">
        <v>2</v>
      </c>
      <c r="C1" s="2" t="s">
        <v>3</v>
      </c>
      <c r="D1" s="2" t="s">
        <v>100</v>
      </c>
      <c r="E1" s="12" t="s">
        <v>101</v>
      </c>
      <c r="F1" s="12" t="s">
        <v>102</v>
      </c>
      <c r="G1" s="19" t="s">
        <v>4</v>
      </c>
      <c r="H1" s="12" t="s">
        <v>33</v>
      </c>
      <c r="I1" s="19" t="s">
        <v>43</v>
      </c>
      <c r="J1" s="19" t="s">
        <v>81</v>
      </c>
      <c r="K1" s="2" t="s">
        <v>25</v>
      </c>
      <c r="L1" s="2" t="s">
        <v>108</v>
      </c>
      <c r="M1" s="2" t="s">
        <v>46</v>
      </c>
      <c r="N1" s="2" t="s">
        <v>50</v>
      </c>
      <c r="O1" s="2" t="s">
        <v>106</v>
      </c>
      <c r="P1" s="2" t="s">
        <v>44</v>
      </c>
      <c r="Q1" s="20" t="s">
        <v>51</v>
      </c>
      <c r="R1" s="28" t="s">
        <v>52</v>
      </c>
      <c r="S1" s="2" t="s">
        <v>53</v>
      </c>
    </row>
    <row r="2" spans="1:19">
      <c r="A2" s="1" t="s">
        <v>64</v>
      </c>
      <c r="B2" s="3" t="s">
        <v>65</v>
      </c>
      <c r="C2" s="4">
        <v>42536</v>
      </c>
      <c r="D2" s="5"/>
      <c r="S2" s="10" t="s">
        <v>5</v>
      </c>
    </row>
    <row r="3" spans="1:19" ht="64">
      <c r="A3" s="1" t="s">
        <v>64</v>
      </c>
      <c r="B3" s="3" t="s">
        <v>65</v>
      </c>
      <c r="C3" s="4">
        <v>42550</v>
      </c>
      <c r="D3" s="5">
        <v>0.41944444444444445</v>
      </c>
      <c r="E3" s="9">
        <v>28.5</v>
      </c>
      <c r="F3" s="9">
        <v>29.9</v>
      </c>
      <c r="G3" s="8">
        <v>6.6</v>
      </c>
      <c r="H3" s="9">
        <v>102.1</v>
      </c>
      <c r="I3" s="8">
        <v>8.07</v>
      </c>
      <c r="J3" s="8">
        <v>4.53</v>
      </c>
      <c r="K3" s="17">
        <v>97.704687104611381</v>
      </c>
      <c r="L3" s="41">
        <v>14.020951063915772</v>
      </c>
      <c r="M3" s="41">
        <v>6.1081954417375854</v>
      </c>
      <c r="N3" s="41">
        <v>201.83804009009495</v>
      </c>
      <c r="O3" s="17">
        <v>8.6125633819893395</v>
      </c>
      <c r="P3" s="17">
        <v>11.261595485836569</v>
      </c>
      <c r="Q3" s="21">
        <v>1</v>
      </c>
      <c r="R3" s="30" t="s">
        <v>61</v>
      </c>
      <c r="S3" s="10" t="s">
        <v>62</v>
      </c>
    </row>
    <row r="4" spans="1:19" ht="32">
      <c r="A4" s="1" t="s">
        <v>64</v>
      </c>
      <c r="B4" s="3" t="s">
        <v>65</v>
      </c>
      <c r="C4" s="4">
        <v>42564</v>
      </c>
      <c r="D4" s="5">
        <v>0.3888888888888889</v>
      </c>
      <c r="E4" s="9">
        <v>28.1</v>
      </c>
      <c r="F4" s="9">
        <v>37.799999999999997</v>
      </c>
      <c r="G4" s="8">
        <v>6.56</v>
      </c>
      <c r="H4" s="9">
        <v>103.6</v>
      </c>
      <c r="I4" s="8">
        <v>8.1</v>
      </c>
      <c r="J4" s="8">
        <v>2.57</v>
      </c>
      <c r="K4" s="18">
        <v>98.885900855028211</v>
      </c>
      <c r="L4" s="41">
        <v>13.903490612903722</v>
      </c>
      <c r="M4" s="41">
        <v>6.0641678496840141</v>
      </c>
      <c r="N4" s="41">
        <v>87.567651912342171</v>
      </c>
      <c r="O4" s="18">
        <v>1.3775059416232815</v>
      </c>
      <c r="P4" s="18">
        <v>2.4852532810984482</v>
      </c>
      <c r="Q4" s="21">
        <v>1</v>
      </c>
      <c r="R4" s="30" t="s">
        <v>61</v>
      </c>
      <c r="S4" s="10" t="s">
        <v>105</v>
      </c>
    </row>
    <row r="5" spans="1:19" ht="48">
      <c r="A5" s="1" t="s">
        <v>64</v>
      </c>
      <c r="B5" s="3" t="s">
        <v>65</v>
      </c>
      <c r="C5" s="4">
        <v>42578</v>
      </c>
      <c r="D5" s="5">
        <v>0.38125000000000003</v>
      </c>
      <c r="E5" s="9">
        <v>28.1</v>
      </c>
      <c r="F5" s="9">
        <v>35.6</v>
      </c>
      <c r="G5" s="8">
        <v>6.52</v>
      </c>
      <c r="H5" s="9">
        <v>101.4</v>
      </c>
      <c r="I5" s="8">
        <v>8.1300000000000008</v>
      </c>
      <c r="J5" s="8">
        <f>AVERAGE(0.91,0.96,0.76)</f>
        <v>0.87666666666666659</v>
      </c>
      <c r="K5" s="18">
        <v>71.075102513809313</v>
      </c>
      <c r="L5" s="41">
        <v>10.627682594263993</v>
      </c>
      <c r="M5" s="41">
        <v>4.470237243357821</v>
      </c>
      <c r="N5" s="41">
        <v>29.5920616658962</v>
      </c>
      <c r="O5" s="18">
        <v>1.2437983011743363</v>
      </c>
      <c r="P5" s="18">
        <v>3.9740312483186431</v>
      </c>
      <c r="Q5" s="21">
        <v>1</v>
      </c>
      <c r="R5" s="30" t="s">
        <v>16</v>
      </c>
      <c r="S5" s="10" t="s">
        <v>39</v>
      </c>
    </row>
    <row r="6" spans="1:19" ht="32">
      <c r="A6" s="1" t="s">
        <v>64</v>
      </c>
      <c r="B6" s="3" t="s">
        <v>65</v>
      </c>
      <c r="C6" s="4">
        <v>42592</v>
      </c>
      <c r="D6" s="5">
        <v>0.37222222222222223</v>
      </c>
      <c r="E6" s="9">
        <v>28.2</v>
      </c>
      <c r="F6" s="9">
        <v>35.799999999999997</v>
      </c>
      <c r="G6" s="8">
        <v>6.57</v>
      </c>
      <c r="H6" s="9">
        <v>102.2</v>
      </c>
      <c r="I6" s="8">
        <v>8.1</v>
      </c>
      <c r="J6" s="8">
        <f>AVERAGE(3.97,4.05,4.04)</f>
        <v>4.0199999999999996</v>
      </c>
      <c r="K6" s="17">
        <v>55.038005904925292</v>
      </c>
      <c r="L6" s="41">
        <v>11.769675001505922</v>
      </c>
      <c r="M6" s="41">
        <v>4.6199517110154433</v>
      </c>
      <c r="N6" s="41">
        <v>116.02227227953694</v>
      </c>
      <c r="O6" s="17">
        <v>3.0289899543154717</v>
      </c>
      <c r="P6" s="24">
        <v>1.5</v>
      </c>
      <c r="Q6" s="21">
        <v>1</v>
      </c>
      <c r="R6" s="30" t="s">
        <v>16</v>
      </c>
      <c r="S6" s="10" t="s">
        <v>48</v>
      </c>
    </row>
    <row r="7" spans="1:19" ht="32">
      <c r="A7" s="1" t="s">
        <v>64</v>
      </c>
      <c r="B7" s="3" t="s">
        <v>65</v>
      </c>
      <c r="C7" s="4">
        <v>42606</v>
      </c>
      <c r="D7" s="5">
        <v>0.40138888888888885</v>
      </c>
      <c r="E7" s="9">
        <v>28.6</v>
      </c>
      <c r="F7" s="9">
        <v>36.1</v>
      </c>
      <c r="G7" s="8">
        <v>6.39</v>
      </c>
      <c r="H7" s="9">
        <v>100.6</v>
      </c>
      <c r="I7" s="8">
        <v>8.1300000000000008</v>
      </c>
      <c r="J7" s="8">
        <f>AVERAGE(3.56,3.92,3.84)</f>
        <v>3.7733333333333334</v>
      </c>
      <c r="K7" s="17">
        <v>74.927099697897233</v>
      </c>
      <c r="L7" s="41">
        <v>15.488371684446179</v>
      </c>
      <c r="M7" s="41">
        <v>4.2563754155169997</v>
      </c>
      <c r="N7" s="41">
        <v>103.04716584446388</v>
      </c>
      <c r="O7" s="17">
        <v>2.5882952673277702</v>
      </c>
      <c r="P7" s="17">
        <v>1.6451347641481997</v>
      </c>
      <c r="Q7" s="21">
        <v>1</v>
      </c>
      <c r="R7" s="30" t="s">
        <v>16</v>
      </c>
      <c r="S7" s="10" t="s">
        <v>36</v>
      </c>
    </row>
    <row r="8" spans="1:19" ht="32">
      <c r="A8" s="1" t="s">
        <v>64</v>
      </c>
      <c r="B8" s="3" t="s">
        <v>65</v>
      </c>
      <c r="C8" s="4">
        <v>42620</v>
      </c>
      <c r="D8" s="5">
        <v>0.38194444444444442</v>
      </c>
      <c r="E8" s="9">
        <v>27.8</v>
      </c>
      <c r="F8" s="9">
        <v>36.700000000000003</v>
      </c>
      <c r="G8" s="8">
        <v>6.26</v>
      </c>
      <c r="H8" s="9">
        <v>97.8</v>
      </c>
      <c r="I8" s="8">
        <v>7.97</v>
      </c>
      <c r="J8" s="8">
        <f>AVERAGE(2.24,2.45,2.23)</f>
        <v>2.3066666666666666</v>
      </c>
      <c r="K8" s="17">
        <v>73.691865152305198</v>
      </c>
      <c r="L8" s="41">
        <v>11.4721792668707</v>
      </c>
      <c r="M8" s="41">
        <v>4.3716909851372536</v>
      </c>
      <c r="N8" s="41">
        <v>70.909386885669974</v>
      </c>
      <c r="O8" s="17">
        <v>3.1113192979694615</v>
      </c>
      <c r="P8" s="17">
        <v>2.0531053742802303</v>
      </c>
      <c r="Q8" s="21">
        <v>1</v>
      </c>
      <c r="R8" s="30" t="s">
        <v>61</v>
      </c>
      <c r="S8" s="10" t="s">
        <v>86</v>
      </c>
    </row>
    <row r="9" spans="1:19" ht="32">
      <c r="A9" s="1" t="s">
        <v>64</v>
      </c>
      <c r="B9" s="3" t="s">
        <v>65</v>
      </c>
      <c r="C9" s="4">
        <v>42634</v>
      </c>
      <c r="D9" s="5">
        <v>0.37847222222222227</v>
      </c>
      <c r="E9" s="9">
        <v>27.7</v>
      </c>
      <c r="F9" s="9">
        <v>34.9</v>
      </c>
      <c r="G9" s="8">
        <v>6.36</v>
      </c>
      <c r="H9" s="9">
        <v>97.8</v>
      </c>
      <c r="I9" s="8">
        <v>8.11</v>
      </c>
      <c r="J9" s="8">
        <f>AVERAGE(10,10.8,9.99)</f>
        <v>10.263333333333334</v>
      </c>
      <c r="K9" s="17">
        <v>71.978058060253403</v>
      </c>
      <c r="L9" s="41">
        <v>11.687863674481235</v>
      </c>
      <c r="M9" s="41">
        <v>5.6142486398094187</v>
      </c>
      <c r="N9" s="41">
        <v>209.47154658659568</v>
      </c>
      <c r="O9" s="17">
        <v>6.3315304842856373</v>
      </c>
      <c r="P9" s="17">
        <v>7.4739303321119062</v>
      </c>
      <c r="Q9" s="21">
        <v>2</v>
      </c>
      <c r="R9" s="30" t="s">
        <v>16</v>
      </c>
      <c r="S9" s="10" t="s">
        <v>86</v>
      </c>
    </row>
    <row r="10" spans="1:19" ht="32">
      <c r="A10" s="1" t="s">
        <v>64</v>
      </c>
      <c r="B10" s="3" t="s">
        <v>65</v>
      </c>
      <c r="C10" s="4">
        <v>42648</v>
      </c>
      <c r="D10" s="5">
        <v>0.41666666666666669</v>
      </c>
      <c r="E10" s="9">
        <v>28.8</v>
      </c>
      <c r="F10" s="9">
        <v>37.299999999999997</v>
      </c>
      <c r="G10" s="8">
        <v>6.45</v>
      </c>
      <c r="H10" s="9">
        <v>102.4</v>
      </c>
      <c r="I10" s="8">
        <v>7.97</v>
      </c>
      <c r="J10" s="8">
        <f>AVERAGE(3.14,3.6,3.34)</f>
        <v>3.36</v>
      </c>
      <c r="K10" s="17">
        <v>64.152750205979189</v>
      </c>
      <c r="L10" s="41">
        <v>7.6902647403204565</v>
      </c>
      <c r="M10" s="41">
        <v>3.6487012340349918</v>
      </c>
      <c r="N10" s="41">
        <v>130.15614137302055</v>
      </c>
      <c r="O10" s="17">
        <v>2.0224004145023331</v>
      </c>
      <c r="P10" s="17">
        <v>11.804955345198627</v>
      </c>
      <c r="Q10" s="21">
        <v>1</v>
      </c>
      <c r="R10" s="30" t="s">
        <v>61</v>
      </c>
      <c r="S10" s="10" t="s">
        <v>86</v>
      </c>
    </row>
    <row r="11" spans="1:19" ht="32">
      <c r="A11" s="1" t="s">
        <v>64</v>
      </c>
      <c r="B11" s="3" t="s">
        <v>65</v>
      </c>
      <c r="C11" s="4">
        <v>42662</v>
      </c>
      <c r="D11" s="5">
        <v>0.41736111111111113</v>
      </c>
      <c r="E11" s="9">
        <v>27.7</v>
      </c>
      <c r="F11" s="9">
        <v>35</v>
      </c>
      <c r="G11" s="8">
        <v>6.28</v>
      </c>
      <c r="H11" s="9">
        <v>96.7</v>
      </c>
      <c r="I11" s="8">
        <v>8.06</v>
      </c>
      <c r="J11" s="8">
        <f>AVERAGE(4.11,4.57,4.37)</f>
        <v>4.3500000000000005</v>
      </c>
      <c r="K11" s="17">
        <v>67.891624559124494</v>
      </c>
      <c r="L11" s="41">
        <v>9.5417977549704389</v>
      </c>
      <c r="M11" s="41">
        <v>5.5714599184815619</v>
      </c>
      <c r="N11" s="41">
        <v>95.063151786130646</v>
      </c>
      <c r="O11" s="17">
        <v>1.6491054911083241</v>
      </c>
      <c r="P11" s="35">
        <v>25.59263491451307</v>
      </c>
      <c r="Q11" s="21">
        <v>2</v>
      </c>
      <c r="R11" s="30" t="s">
        <v>16</v>
      </c>
      <c r="S11" s="10" t="s">
        <v>86</v>
      </c>
    </row>
    <row r="12" spans="1:19" ht="32">
      <c r="A12" s="1" t="s">
        <v>64</v>
      </c>
      <c r="B12" s="3" t="s">
        <v>65</v>
      </c>
      <c r="C12" s="4">
        <v>42676</v>
      </c>
      <c r="D12" s="5">
        <v>0.4284722222222222</v>
      </c>
      <c r="E12" s="9">
        <v>26.5</v>
      </c>
      <c r="F12" s="9">
        <v>34.5</v>
      </c>
      <c r="G12" s="8">
        <v>6.9</v>
      </c>
      <c r="H12" s="9">
        <v>103.8</v>
      </c>
      <c r="I12" s="8">
        <v>8.1300000000000008</v>
      </c>
      <c r="J12" s="8">
        <f>AVERAGE(1.7,1.64,1.53)</f>
        <v>1.6233333333333333</v>
      </c>
      <c r="K12" s="17">
        <v>89.321932376578062</v>
      </c>
      <c r="L12" s="41">
        <v>6.6754366136241794</v>
      </c>
      <c r="M12" s="41">
        <v>4.1948136740686746</v>
      </c>
      <c r="N12" s="41">
        <v>156.12157171377689</v>
      </c>
      <c r="O12" s="17">
        <v>0.49398749655658097</v>
      </c>
      <c r="P12" s="17">
        <v>8.4518582865180516</v>
      </c>
      <c r="Q12" s="29">
        <v>2</v>
      </c>
      <c r="R12" s="30" t="s">
        <v>16</v>
      </c>
      <c r="S12" s="10" t="s">
        <v>0</v>
      </c>
    </row>
    <row r="13" spans="1:19" ht="32">
      <c r="A13" s="1" t="s">
        <v>64</v>
      </c>
      <c r="B13" s="3" t="s">
        <v>65</v>
      </c>
      <c r="C13" s="4">
        <v>42690</v>
      </c>
      <c r="D13" s="5">
        <v>0.41111111111111115</v>
      </c>
      <c r="E13" s="13">
        <v>26.7</v>
      </c>
      <c r="F13" s="13">
        <v>34.700000000000003</v>
      </c>
      <c r="G13" s="18">
        <v>6.67</v>
      </c>
      <c r="H13" s="13">
        <v>100.7</v>
      </c>
      <c r="I13" s="18">
        <v>8.11</v>
      </c>
      <c r="J13" s="18">
        <f>AVERAGE(3.19,3.36,3.45)</f>
        <v>3.3333333333333335</v>
      </c>
      <c r="K13" s="18">
        <v>58.704882736903663</v>
      </c>
      <c r="L13" s="41">
        <v>3.9519578713237453</v>
      </c>
      <c r="M13" s="41">
        <v>3.0584975158799872</v>
      </c>
      <c r="N13" s="41">
        <v>165.01415320304986</v>
      </c>
      <c r="O13" s="18">
        <v>1.889179558217275</v>
      </c>
      <c r="P13" s="24">
        <v>1.5</v>
      </c>
      <c r="Q13" s="29">
        <v>2</v>
      </c>
      <c r="R13" s="30" t="s">
        <v>16</v>
      </c>
      <c r="S13" s="10" t="s">
        <v>0</v>
      </c>
    </row>
    <row r="14" spans="1:19" ht="32">
      <c r="A14" s="1" t="s">
        <v>64</v>
      </c>
      <c r="B14" s="3" t="s">
        <v>65</v>
      </c>
      <c r="C14" s="4">
        <v>42704</v>
      </c>
      <c r="D14" s="5">
        <v>0.41736111111111113</v>
      </c>
      <c r="E14" s="13">
        <v>24.5</v>
      </c>
      <c r="F14" s="13">
        <v>34.5</v>
      </c>
      <c r="G14" s="18">
        <v>7.13</v>
      </c>
      <c r="H14" s="13">
        <v>103.6</v>
      </c>
      <c r="I14" s="18">
        <v>8.0399999999999991</v>
      </c>
      <c r="J14" s="18">
        <f>AVERAGE(1.45,1.49,1.59)</f>
        <v>1.51</v>
      </c>
      <c r="K14" s="18">
        <v>68.253163785452429</v>
      </c>
      <c r="L14" s="41">
        <v>6.7907869084793626</v>
      </c>
      <c r="M14" s="41">
        <v>1.87410933034869</v>
      </c>
      <c r="N14" s="41">
        <v>175.69770681019784</v>
      </c>
      <c r="O14" s="18">
        <v>2.6721023689765713</v>
      </c>
      <c r="P14" s="18">
        <v>2.761907460422659</v>
      </c>
      <c r="Q14" s="29">
        <v>2</v>
      </c>
      <c r="R14" s="30" t="s">
        <v>16</v>
      </c>
      <c r="S14" s="10" t="s">
        <v>0</v>
      </c>
    </row>
    <row r="15" spans="1:19" ht="32">
      <c r="A15" s="1" t="s">
        <v>64</v>
      </c>
      <c r="B15" s="3" t="s">
        <v>65</v>
      </c>
      <c r="C15" s="4">
        <v>42718</v>
      </c>
      <c r="D15" s="5">
        <v>0.41250000000000003</v>
      </c>
      <c r="E15" s="13">
        <v>24.9</v>
      </c>
      <c r="F15" s="13">
        <v>34.6</v>
      </c>
      <c r="G15" s="18">
        <v>7.02</v>
      </c>
      <c r="H15" s="13">
        <v>103</v>
      </c>
      <c r="I15" s="18">
        <v>8.1300000000000008</v>
      </c>
      <c r="J15" s="18">
        <f>AVERAGE(2.47,1.99,1.52)</f>
        <v>1.9933333333333334</v>
      </c>
      <c r="K15" s="18">
        <v>50.612297242892623</v>
      </c>
      <c r="L15" s="41">
        <v>7.1506563915432642</v>
      </c>
      <c r="M15" s="41">
        <v>2.4469081506193437</v>
      </c>
      <c r="N15" s="41">
        <v>152.395585789992</v>
      </c>
      <c r="O15" s="18">
        <v>3.3740328641223649</v>
      </c>
      <c r="P15" s="18">
        <v>2.0105120815531876</v>
      </c>
      <c r="Q15" s="29">
        <v>1</v>
      </c>
      <c r="R15" s="30" t="s">
        <v>16</v>
      </c>
      <c r="S15" s="10" t="s">
        <v>0</v>
      </c>
    </row>
    <row r="16" spans="1:19" ht="32">
      <c r="A16" s="1" t="s">
        <v>64</v>
      </c>
      <c r="B16" s="3" t="s">
        <v>65</v>
      </c>
      <c r="C16" s="4">
        <v>42739</v>
      </c>
      <c r="D16" s="5">
        <v>0.4152777777777778</v>
      </c>
      <c r="E16" s="13">
        <v>24.3</v>
      </c>
      <c r="F16" s="13">
        <v>35.1</v>
      </c>
      <c r="G16" s="18">
        <v>6.92</v>
      </c>
      <c r="H16" s="13">
        <v>100.6</v>
      </c>
      <c r="I16" s="18">
        <v>8.1199999999999992</v>
      </c>
      <c r="J16" s="18">
        <f>AVERAGE(4.58,5.57,4.89)</f>
        <v>5.0133333333333328</v>
      </c>
      <c r="K16" s="18">
        <v>76.978663315738046</v>
      </c>
      <c r="L16" s="41">
        <v>8.58227390981898</v>
      </c>
      <c r="M16" s="41">
        <v>3.2475141700679351</v>
      </c>
      <c r="N16" s="41">
        <v>117.29776393981201</v>
      </c>
      <c r="O16" s="18">
        <v>2.5852189244381205</v>
      </c>
      <c r="P16" s="24">
        <v>1.5</v>
      </c>
      <c r="Q16" s="29">
        <v>2</v>
      </c>
      <c r="R16" s="30" t="s">
        <v>16</v>
      </c>
      <c r="S16" s="10" t="s">
        <v>0</v>
      </c>
    </row>
    <row r="17" spans="1:19" ht="32">
      <c r="A17" s="1" t="s">
        <v>64</v>
      </c>
      <c r="B17" s="3" t="s">
        <v>65</v>
      </c>
      <c r="C17" s="4">
        <v>42760</v>
      </c>
      <c r="D17" s="5">
        <v>0.42152777777777778</v>
      </c>
      <c r="E17" s="13">
        <v>24.6</v>
      </c>
      <c r="F17" s="13">
        <v>35.1</v>
      </c>
      <c r="G17" s="18">
        <v>6.79</v>
      </c>
      <c r="H17" s="13">
        <v>98.9</v>
      </c>
      <c r="I17" s="31">
        <v>8.0399999999999991</v>
      </c>
      <c r="J17" s="18">
        <f>AVERAGE(1.91,1.93,2.34)</f>
        <v>2.06</v>
      </c>
      <c r="K17" s="35">
        <v>363.96090088553404</v>
      </c>
      <c r="L17" s="35">
        <v>32.041388693556122</v>
      </c>
      <c r="M17" s="35">
        <v>17.993385354962331</v>
      </c>
      <c r="N17" s="41">
        <v>123.11518246578363</v>
      </c>
      <c r="O17" s="18">
        <v>2.6299875648216697</v>
      </c>
      <c r="P17" s="35">
        <v>31.665709582967356</v>
      </c>
      <c r="Q17" s="29">
        <v>1</v>
      </c>
      <c r="R17" s="30" t="s">
        <v>16</v>
      </c>
      <c r="S17" s="10" t="s">
        <v>0</v>
      </c>
    </row>
    <row r="18" spans="1:19" ht="32">
      <c r="A18" s="1" t="s">
        <v>64</v>
      </c>
      <c r="B18" s="3" t="s">
        <v>65</v>
      </c>
      <c r="C18" s="4">
        <v>42781</v>
      </c>
      <c r="D18" s="5">
        <v>0.40763888888888888</v>
      </c>
      <c r="E18" s="13">
        <v>25.2</v>
      </c>
      <c r="F18" s="13">
        <v>34.9</v>
      </c>
      <c r="G18" s="18">
        <v>6.79</v>
      </c>
      <c r="H18" s="13">
        <v>100</v>
      </c>
      <c r="I18" s="18">
        <v>8.1300000000000008</v>
      </c>
      <c r="J18" s="18">
        <f>AVERAGE(6,5.87,5.87)</f>
        <v>5.913333333333334</v>
      </c>
      <c r="K18" s="18">
        <v>93.721716394899971</v>
      </c>
      <c r="L18" s="41">
        <v>11.028671065811968</v>
      </c>
      <c r="M18" s="41">
        <v>6.2420005115254238</v>
      </c>
      <c r="N18" s="41">
        <v>174.41991086613177</v>
      </c>
      <c r="O18" s="18">
        <v>6.004870621229756</v>
      </c>
      <c r="P18" s="18">
        <v>6.5070039625356273</v>
      </c>
      <c r="Q18" s="29">
        <v>2</v>
      </c>
      <c r="R18" s="30" t="s">
        <v>34</v>
      </c>
      <c r="S18" s="10" t="s">
        <v>0</v>
      </c>
    </row>
    <row r="19" spans="1:19" ht="32">
      <c r="A19" s="1" t="s">
        <v>64</v>
      </c>
      <c r="B19" s="3" t="s">
        <v>65</v>
      </c>
      <c r="C19" s="4">
        <v>42802</v>
      </c>
      <c r="D19" s="5">
        <v>0.43333333333333335</v>
      </c>
      <c r="E19" s="13">
        <v>25.7</v>
      </c>
      <c r="F19" s="13">
        <v>34.5</v>
      </c>
      <c r="G19" s="18">
        <v>7.07</v>
      </c>
      <c r="H19" s="13">
        <v>104.9</v>
      </c>
      <c r="I19" s="18">
        <v>8.2100000000000009</v>
      </c>
      <c r="J19" s="18">
        <f>AVERAGE(1.64,1.81,1.59)</f>
        <v>1.68</v>
      </c>
      <c r="K19" s="18">
        <v>70.075787751969486</v>
      </c>
      <c r="L19" s="41">
        <v>6.6923129904429635</v>
      </c>
      <c r="M19" s="41">
        <v>3.7929733974576272</v>
      </c>
      <c r="N19" s="41">
        <v>74.474518689239147</v>
      </c>
      <c r="O19" s="18">
        <v>2.1531556249338508</v>
      </c>
      <c r="P19" s="18">
        <v>6.0786787765373624</v>
      </c>
      <c r="Q19" s="29">
        <v>1</v>
      </c>
      <c r="R19" s="30" t="s">
        <v>6</v>
      </c>
      <c r="S19" s="10" t="s">
        <v>0</v>
      </c>
    </row>
    <row r="20" spans="1:19" ht="32">
      <c r="A20" s="1" t="s">
        <v>64</v>
      </c>
      <c r="B20" s="3" t="s">
        <v>65</v>
      </c>
      <c r="C20" s="4">
        <v>42823</v>
      </c>
      <c r="D20" s="5">
        <v>0.4236111111111111</v>
      </c>
      <c r="E20" s="13">
        <v>27.3</v>
      </c>
      <c r="F20" s="13">
        <v>34.299999999999997</v>
      </c>
      <c r="G20" s="18">
        <v>6.7</v>
      </c>
      <c r="H20" s="13">
        <v>101.8</v>
      </c>
      <c r="I20" s="18">
        <v>8.16</v>
      </c>
      <c r="J20" s="18">
        <f>AVERAGE(4.08, 4.08, 3.81)</f>
        <v>3.99</v>
      </c>
      <c r="K20" s="18">
        <v>77.778215766109255</v>
      </c>
      <c r="L20" s="41">
        <v>9.6355336980658475</v>
      </c>
      <c r="M20" s="41">
        <v>4.2234079197822494</v>
      </c>
      <c r="N20" s="41">
        <v>67.99071864343756</v>
      </c>
      <c r="O20" s="18">
        <v>2.1910180135027568</v>
      </c>
      <c r="P20" s="18">
        <v>13.342149020730149</v>
      </c>
      <c r="Q20" s="29">
        <v>1</v>
      </c>
      <c r="R20" s="30" t="s">
        <v>6</v>
      </c>
      <c r="S20" s="10" t="s">
        <v>0</v>
      </c>
    </row>
    <row r="21" spans="1:19" ht="32">
      <c r="A21" s="1" t="s">
        <v>64</v>
      </c>
      <c r="B21" s="3" t="s">
        <v>65</v>
      </c>
      <c r="C21" s="4">
        <v>42844</v>
      </c>
      <c r="D21" s="5">
        <v>0.41666666666666669</v>
      </c>
      <c r="E21" s="13">
        <v>26.7</v>
      </c>
      <c r="F21" s="13">
        <v>34.4</v>
      </c>
      <c r="G21" s="18">
        <v>6.74</v>
      </c>
      <c r="H21" s="13">
        <v>101.8</v>
      </c>
      <c r="I21" s="18">
        <v>8.18</v>
      </c>
      <c r="J21" s="18">
        <f>AVERAGE(2.59,2.57,2.44)</f>
        <v>2.5333333333333332</v>
      </c>
      <c r="K21" s="41">
        <v>84.746629434603221</v>
      </c>
      <c r="L21" s="41">
        <v>8.2307089724496176</v>
      </c>
      <c r="M21" s="41">
        <v>4.4530274350274377</v>
      </c>
      <c r="N21" s="41">
        <v>74.786858448012495</v>
      </c>
      <c r="O21" s="41">
        <v>0.58562866651554635</v>
      </c>
      <c r="P21" s="41">
        <v>2.369100865194349</v>
      </c>
      <c r="Q21" s="29">
        <v>1</v>
      </c>
      <c r="R21" s="30" t="s">
        <v>6</v>
      </c>
      <c r="S21" s="10" t="s">
        <v>0</v>
      </c>
    </row>
    <row r="22" spans="1:19" ht="32">
      <c r="A22" s="1" t="s">
        <v>64</v>
      </c>
      <c r="B22" s="3" t="s">
        <v>65</v>
      </c>
      <c r="C22" s="4">
        <v>42865</v>
      </c>
      <c r="D22" s="5">
        <v>0.41180555555555554</v>
      </c>
      <c r="E22" s="13">
        <v>26.8</v>
      </c>
      <c r="F22" s="13">
        <v>34.6</v>
      </c>
      <c r="G22" s="18">
        <v>6.94</v>
      </c>
      <c r="H22" s="13">
        <v>105</v>
      </c>
      <c r="I22" s="18">
        <v>8.18</v>
      </c>
      <c r="J22" s="18">
        <f>AVERAGE(2.16,1.8,2.6)</f>
        <v>2.186666666666667</v>
      </c>
      <c r="K22" s="41">
        <v>68.726016550607284</v>
      </c>
      <c r="L22" s="41">
        <v>8.8201722837833163</v>
      </c>
      <c r="M22" s="41">
        <v>4.447496986798126</v>
      </c>
      <c r="N22" s="41">
        <v>103.50994456197337</v>
      </c>
      <c r="O22" s="41">
        <v>1.6404290859598638</v>
      </c>
      <c r="P22" s="41">
        <v>2.5671750415914256</v>
      </c>
      <c r="Q22" s="29">
        <v>1</v>
      </c>
      <c r="R22" s="30" t="s">
        <v>45</v>
      </c>
      <c r="S22" s="10" t="s">
        <v>0</v>
      </c>
    </row>
    <row r="23" spans="1:19" ht="32">
      <c r="A23" s="1" t="s">
        <v>64</v>
      </c>
      <c r="B23" s="3" t="s">
        <v>65</v>
      </c>
      <c r="C23" s="4">
        <v>42886</v>
      </c>
      <c r="D23" s="5">
        <v>0.40833333333333338</v>
      </c>
      <c r="E23" s="9">
        <v>26.9</v>
      </c>
      <c r="F23" s="9">
        <v>34.799999999999997</v>
      </c>
      <c r="G23" s="8">
        <v>6.8</v>
      </c>
      <c r="H23" s="9">
        <v>103.2</v>
      </c>
      <c r="I23" s="8">
        <v>8.1199999999999992</v>
      </c>
      <c r="J23" s="8">
        <f>AVERAGE(2.94,2.54,2.29)</f>
        <v>2.5900000000000003</v>
      </c>
      <c r="K23" s="41">
        <v>98.088340716122516</v>
      </c>
      <c r="L23" s="41">
        <v>8.4839820100594832</v>
      </c>
      <c r="M23" s="41">
        <v>4.653825881868582</v>
      </c>
      <c r="N23" s="41">
        <v>69.647610194929925</v>
      </c>
      <c r="O23" s="41">
        <v>6.9759443323524923</v>
      </c>
      <c r="P23" s="41">
        <v>7.2352980947535421</v>
      </c>
      <c r="Q23" s="42">
        <v>1</v>
      </c>
      <c r="R23" s="43" t="s">
        <v>26</v>
      </c>
      <c r="S23" s="10" t="s">
        <v>0</v>
      </c>
    </row>
    <row r="24" spans="1:19" ht="32">
      <c r="A24" s="1" t="s">
        <v>64</v>
      </c>
      <c r="B24" s="3" t="s">
        <v>65</v>
      </c>
      <c r="C24" s="4">
        <v>42907</v>
      </c>
      <c r="D24" s="5">
        <v>0.40972222222222227</v>
      </c>
      <c r="E24" s="13">
        <v>27.4</v>
      </c>
      <c r="F24" s="13">
        <v>34.5</v>
      </c>
      <c r="G24" s="18">
        <v>6.86</v>
      </c>
      <c r="H24" s="13">
        <v>104.9</v>
      </c>
      <c r="I24" s="18">
        <v>8.1999999999999993</v>
      </c>
      <c r="J24" s="18">
        <f>AVERAGE(1.8,1.95,1.64)</f>
        <v>1.7966666666666666</v>
      </c>
      <c r="K24" s="41">
        <v>76.831209235434727</v>
      </c>
      <c r="L24" s="41">
        <v>10.82497676697157</v>
      </c>
      <c r="M24" s="41">
        <v>5.2779621136475408</v>
      </c>
      <c r="N24" s="41">
        <v>50.017149312864134</v>
      </c>
      <c r="O24" s="41">
        <v>2.3486233962657765</v>
      </c>
      <c r="P24" s="41">
        <v>1.1499157125292134</v>
      </c>
      <c r="Q24" s="42">
        <v>2</v>
      </c>
      <c r="R24" s="43" t="s">
        <v>41</v>
      </c>
      <c r="S24" s="10" t="s">
        <v>0</v>
      </c>
    </row>
    <row r="25" spans="1:19" ht="32">
      <c r="A25" s="1" t="s">
        <v>64</v>
      </c>
      <c r="B25" s="3" t="s">
        <v>65</v>
      </c>
      <c r="C25" s="4">
        <v>42928</v>
      </c>
      <c r="D25" s="5">
        <v>0.40277777777777773</v>
      </c>
      <c r="E25" s="9">
        <v>27.8</v>
      </c>
      <c r="F25" s="9">
        <v>34.5</v>
      </c>
      <c r="G25" s="8">
        <v>6.53</v>
      </c>
      <c r="H25" s="9">
        <v>100.5</v>
      </c>
      <c r="I25" s="8">
        <v>8.11</v>
      </c>
      <c r="J25" s="8">
        <f>AVERAGE(2.16,2.11,2.1)</f>
        <v>2.1233333333333331</v>
      </c>
      <c r="K25" s="41">
        <v>73.596492748095258</v>
      </c>
      <c r="L25" s="41">
        <v>10.635648426620753</v>
      </c>
      <c r="M25" s="41">
        <v>3.7715892577564221</v>
      </c>
      <c r="N25" s="41">
        <v>103.35982362346174</v>
      </c>
      <c r="O25" s="41">
        <v>7.4701407551360379</v>
      </c>
      <c r="P25" s="41">
        <v>2.0767083676141271</v>
      </c>
      <c r="Q25" s="42">
        <v>2</v>
      </c>
      <c r="R25" s="43" t="s">
        <v>68</v>
      </c>
      <c r="S25" s="10" t="s">
        <v>0</v>
      </c>
    </row>
    <row r="26" spans="1:19" ht="32">
      <c r="A26" s="1" t="s">
        <v>64</v>
      </c>
      <c r="B26" s="3" t="s">
        <v>65</v>
      </c>
      <c r="C26" s="4">
        <v>42949</v>
      </c>
      <c r="D26" s="5">
        <v>0.40763888888888888</v>
      </c>
      <c r="E26" s="13">
        <v>28.4</v>
      </c>
      <c r="F26" s="13">
        <v>34.4</v>
      </c>
      <c r="G26" s="41">
        <v>6.75</v>
      </c>
      <c r="H26" s="13">
        <v>104.9</v>
      </c>
      <c r="I26" s="41">
        <v>8.14</v>
      </c>
      <c r="J26" s="41">
        <f>AVERAGE(1.89,1.68,1.7)</f>
        <v>1.7566666666666666</v>
      </c>
      <c r="K26" s="41">
        <v>83.463096957079784</v>
      </c>
      <c r="L26" s="41">
        <v>10.055447848091719</v>
      </c>
      <c r="M26" s="41">
        <v>5.6106674911717693</v>
      </c>
      <c r="N26" s="41">
        <v>43.091469435237123</v>
      </c>
      <c r="O26" s="41">
        <v>3.5399950053276501</v>
      </c>
      <c r="P26" s="41">
        <v>2.1382727400030466</v>
      </c>
      <c r="Q26" s="42">
        <v>2</v>
      </c>
      <c r="R26" s="43" t="s">
        <v>98</v>
      </c>
      <c r="S26" s="10" t="s">
        <v>0</v>
      </c>
    </row>
    <row r="27" spans="1:19" ht="32">
      <c r="A27" s="1" t="s">
        <v>64</v>
      </c>
      <c r="B27" s="3" t="s">
        <v>65</v>
      </c>
      <c r="C27" s="4">
        <v>42970</v>
      </c>
      <c r="D27" s="5">
        <v>0.41736111111111113</v>
      </c>
      <c r="E27" s="13">
        <v>28.1</v>
      </c>
      <c r="F27" s="13">
        <v>35.1</v>
      </c>
      <c r="G27" s="41">
        <v>6.63</v>
      </c>
      <c r="H27" s="13">
        <v>103.3</v>
      </c>
      <c r="I27" s="41">
        <v>8.17</v>
      </c>
      <c r="J27" s="41">
        <f>AVERAGE(3.18,3.18,4.99)</f>
        <v>3.7833333333333337</v>
      </c>
      <c r="K27" s="41">
        <v>70.961136729582051</v>
      </c>
      <c r="L27" s="41">
        <v>9.1685679678529244</v>
      </c>
      <c r="M27" s="41">
        <v>5.4004363959543413</v>
      </c>
      <c r="N27" s="41">
        <v>51.479689568660099</v>
      </c>
      <c r="O27" s="41">
        <v>1.8632780034629728</v>
      </c>
      <c r="P27" s="41">
        <v>1.2200984347124273</v>
      </c>
      <c r="Q27" s="42">
        <v>1</v>
      </c>
      <c r="R27" s="43" t="s">
        <v>29</v>
      </c>
      <c r="S27" s="10" t="s">
        <v>0</v>
      </c>
    </row>
    <row r="28" spans="1:19" ht="32">
      <c r="A28" s="1" t="s">
        <v>64</v>
      </c>
      <c r="B28" s="3" t="s">
        <v>65</v>
      </c>
      <c r="C28" s="4">
        <v>42991</v>
      </c>
      <c r="D28" s="49">
        <v>0.38541666666666669</v>
      </c>
      <c r="E28" s="13">
        <v>28</v>
      </c>
      <c r="F28" s="13">
        <v>34.9</v>
      </c>
      <c r="G28" s="41">
        <v>6.4</v>
      </c>
      <c r="H28" s="13">
        <v>99.1</v>
      </c>
      <c r="I28" s="41">
        <v>8.11</v>
      </c>
      <c r="J28" s="41">
        <f>AVERAGE(2.34,2.45,2.51)</f>
        <v>2.4333333333333331</v>
      </c>
      <c r="K28" s="41">
        <v>53.945866137681186</v>
      </c>
      <c r="L28" s="41">
        <v>12.683619710238856</v>
      </c>
      <c r="M28" s="41">
        <v>4.6657053240621513</v>
      </c>
      <c r="N28" s="41">
        <v>117.02226645463634</v>
      </c>
      <c r="O28" s="41">
        <v>2.3876586471192787</v>
      </c>
      <c r="P28" s="41">
        <v>4.0085767168593653</v>
      </c>
      <c r="Q28" s="42">
        <v>2</v>
      </c>
      <c r="R28" s="43" t="s">
        <v>114</v>
      </c>
      <c r="S28" s="10" t="s">
        <v>0</v>
      </c>
    </row>
    <row r="29" spans="1:19" ht="32">
      <c r="A29" s="1" t="s">
        <v>64</v>
      </c>
      <c r="B29" s="3" t="s">
        <v>65</v>
      </c>
      <c r="C29" s="4">
        <v>43012</v>
      </c>
      <c r="D29" s="49">
        <v>0.40416666666666662</v>
      </c>
      <c r="E29" s="9">
        <v>28.4</v>
      </c>
      <c r="F29" s="9">
        <v>34.6</v>
      </c>
      <c r="G29" s="8">
        <v>6.52</v>
      </c>
      <c r="H29" s="9">
        <v>101.4</v>
      </c>
      <c r="I29" s="8">
        <v>8.14</v>
      </c>
      <c r="J29" s="8">
        <f>AVERAGE(1.51,1.94,1.55)</f>
        <v>1.6666666666666667</v>
      </c>
      <c r="K29" s="41">
        <v>57.28636837152056</v>
      </c>
      <c r="L29" s="41">
        <v>10.536886251034959</v>
      </c>
      <c r="M29" s="41">
        <v>4.7739857921451962</v>
      </c>
      <c r="N29" s="41">
        <v>106.35695411890957</v>
      </c>
      <c r="O29" s="41">
        <v>1.3022353147159238</v>
      </c>
      <c r="P29" s="41">
        <v>2.9226997100137382</v>
      </c>
      <c r="Q29" s="42">
        <v>1</v>
      </c>
      <c r="R29" s="43" t="s">
        <v>112</v>
      </c>
      <c r="S29" s="10" t="s">
        <v>0</v>
      </c>
    </row>
    <row r="30" spans="1:19" ht="32">
      <c r="A30" s="1" t="s">
        <v>64</v>
      </c>
      <c r="B30" s="3" t="s">
        <v>65</v>
      </c>
      <c r="C30" s="4">
        <v>43033</v>
      </c>
      <c r="D30" s="49">
        <v>0.41319444444444442</v>
      </c>
      <c r="E30" s="13">
        <v>27.9</v>
      </c>
      <c r="F30" s="13">
        <v>34.4</v>
      </c>
      <c r="G30" s="41">
        <v>6.6</v>
      </c>
      <c r="H30" s="13">
        <v>100.5</v>
      </c>
      <c r="I30" s="41">
        <v>8.09</v>
      </c>
      <c r="J30" s="41">
        <f>AVERAGE(11.7,11.1,11.3)</f>
        <v>11.366666666666665</v>
      </c>
      <c r="K30" s="41">
        <v>76.51921124231184</v>
      </c>
      <c r="L30" s="41">
        <v>10.371161136119813</v>
      </c>
      <c r="M30" s="41">
        <v>6.8943901345327108</v>
      </c>
      <c r="N30" s="41">
        <v>186.46546941053728</v>
      </c>
      <c r="O30" s="41">
        <v>11.504304823601505</v>
      </c>
      <c r="P30" s="41">
        <v>6.6845559865741162</v>
      </c>
      <c r="Q30" s="42">
        <v>3</v>
      </c>
      <c r="R30" s="43" t="s">
        <v>32</v>
      </c>
      <c r="S30" s="10" t="s">
        <v>31</v>
      </c>
    </row>
    <row r="31" spans="1:19" ht="32">
      <c r="A31" s="1" t="s">
        <v>64</v>
      </c>
      <c r="B31" s="3" t="s">
        <v>65</v>
      </c>
      <c r="C31" s="4">
        <v>43054</v>
      </c>
      <c r="D31" s="49">
        <v>0.40277777777777773</v>
      </c>
      <c r="E31" s="13">
        <v>26.5</v>
      </c>
      <c r="F31" s="13">
        <v>35</v>
      </c>
      <c r="G31" s="41">
        <v>6.74</v>
      </c>
      <c r="H31" s="13">
        <v>102</v>
      </c>
      <c r="I31" s="41">
        <v>8.15</v>
      </c>
      <c r="J31" s="41">
        <f>AVERAGE(2.41,2.04,2)</f>
        <v>2.15</v>
      </c>
      <c r="K31" s="41">
        <v>66.735811558150004</v>
      </c>
      <c r="L31" s="41">
        <v>10.958722751064451</v>
      </c>
      <c r="M31" s="41">
        <v>2.8048302550980582</v>
      </c>
      <c r="N31" s="41">
        <v>116.28492461144656</v>
      </c>
      <c r="O31" s="41">
        <v>1.8342431428453936</v>
      </c>
      <c r="P31" s="41">
        <v>4.5077033954919905</v>
      </c>
      <c r="Q31" s="42">
        <v>1</v>
      </c>
      <c r="R31" s="43" t="s">
        <v>38</v>
      </c>
      <c r="S31" s="10" t="s">
        <v>31</v>
      </c>
    </row>
    <row r="32" spans="1:19" ht="32">
      <c r="A32" s="1" t="s">
        <v>64</v>
      </c>
      <c r="B32" s="3" t="s">
        <v>65</v>
      </c>
      <c r="C32" s="4">
        <v>43075</v>
      </c>
      <c r="D32" s="49">
        <v>0.40625</v>
      </c>
      <c r="E32" s="13">
        <v>24.7</v>
      </c>
      <c r="F32" s="13">
        <v>34.9</v>
      </c>
      <c r="G32" s="41">
        <v>6.95</v>
      </c>
      <c r="H32" s="13">
        <v>101.6</v>
      </c>
      <c r="I32" s="41">
        <v>8.19</v>
      </c>
      <c r="J32" s="41">
        <f>AVERAGE(1.86,1.69,1.85)</f>
        <v>1.8</v>
      </c>
      <c r="K32" s="41"/>
      <c r="O32" s="41"/>
      <c r="P32" s="41"/>
      <c r="Q32" s="42">
        <v>3</v>
      </c>
      <c r="R32" s="43" t="s">
        <v>55</v>
      </c>
      <c r="S32" s="10" t="s">
        <v>31</v>
      </c>
    </row>
    <row r="33" spans="1:19" ht="32">
      <c r="A33" s="1" t="s">
        <v>64</v>
      </c>
      <c r="B33" s="3" t="s">
        <v>65</v>
      </c>
      <c r="C33" s="4">
        <v>43089</v>
      </c>
      <c r="D33" s="49">
        <v>0.41319444444444442</v>
      </c>
      <c r="E33" s="13">
        <v>24.6</v>
      </c>
      <c r="F33" s="13">
        <v>35</v>
      </c>
      <c r="G33" s="41">
        <v>6.77</v>
      </c>
      <c r="H33" s="13">
        <v>99.5</v>
      </c>
      <c r="I33" s="41">
        <v>8.1300000000000008</v>
      </c>
      <c r="J33" s="41">
        <f>AVERAGE(4.96,4.59,4.94)</f>
        <v>4.830000000000001</v>
      </c>
      <c r="K33" s="41"/>
      <c r="O33" s="41"/>
      <c r="P33" s="41"/>
      <c r="Q33" s="42">
        <v>1</v>
      </c>
      <c r="R33" s="43" t="s">
        <v>77</v>
      </c>
      <c r="S33" s="10" t="s">
        <v>31</v>
      </c>
    </row>
    <row r="34" spans="1:19" ht="32">
      <c r="A34" s="1" t="s">
        <v>64</v>
      </c>
      <c r="B34" s="3" t="s">
        <v>65</v>
      </c>
      <c r="C34" s="4">
        <v>43110</v>
      </c>
      <c r="D34" s="49">
        <v>0.41111111111111115</v>
      </c>
      <c r="E34" s="13">
        <v>25</v>
      </c>
      <c r="F34" s="13">
        <v>34.5</v>
      </c>
      <c r="G34" s="41">
        <v>7.11</v>
      </c>
      <c r="H34" s="13">
        <v>104</v>
      </c>
      <c r="I34" s="41">
        <v>8.15</v>
      </c>
      <c r="J34" s="41">
        <f>AVERAGE(1.02,1.03,1.18)</f>
        <v>1.0766666666666664</v>
      </c>
      <c r="K34" s="41"/>
      <c r="O34" s="41"/>
      <c r="P34" s="41"/>
      <c r="Q34" s="42">
        <v>3</v>
      </c>
      <c r="R34" s="43" t="s">
        <v>20</v>
      </c>
      <c r="S34" s="10" t="s">
        <v>31</v>
      </c>
    </row>
    <row r="35" spans="1:19" ht="32">
      <c r="A35" s="1" t="s">
        <v>64</v>
      </c>
      <c r="B35" s="3" t="s">
        <v>65</v>
      </c>
      <c r="C35" s="4">
        <v>43131</v>
      </c>
      <c r="D35" s="49">
        <v>0.3972222222222222</v>
      </c>
      <c r="E35" s="52">
        <v>24.7</v>
      </c>
      <c r="F35" s="52">
        <v>34.700000000000003</v>
      </c>
      <c r="G35" s="41">
        <v>6.85</v>
      </c>
      <c r="H35" s="52">
        <v>100.7</v>
      </c>
      <c r="I35" s="41">
        <v>8.15</v>
      </c>
      <c r="J35" s="41">
        <f>AVERAGE(3.35,3.17,4.45)</f>
        <v>3.6566666666666663</v>
      </c>
      <c r="K35" s="41"/>
      <c r="O35" s="41"/>
      <c r="P35" s="41"/>
      <c r="Q35" s="42">
        <v>1</v>
      </c>
      <c r="R35" s="43" t="s">
        <v>18</v>
      </c>
      <c r="S35" s="10" t="s">
        <v>31</v>
      </c>
    </row>
    <row r="36" spans="1:19">
      <c r="C36" s="4"/>
      <c r="D36" s="49"/>
      <c r="E36" s="52"/>
      <c r="F36" s="52"/>
      <c r="G36" s="51"/>
      <c r="H36" s="52"/>
      <c r="I36" s="51"/>
      <c r="J36" s="51"/>
      <c r="K36" s="51"/>
      <c r="L36" s="51"/>
      <c r="M36" s="51"/>
      <c r="N36" s="51"/>
      <c r="O36" s="51"/>
      <c r="P36" s="51"/>
      <c r="Q36" s="42"/>
      <c r="R36" s="43"/>
    </row>
    <row r="37" spans="1:19">
      <c r="E37" s="13"/>
      <c r="F37" s="13"/>
      <c r="G37" s="41"/>
      <c r="H37" s="13"/>
      <c r="I37" s="41"/>
      <c r="J37" s="41"/>
      <c r="K37" s="41"/>
      <c r="O37" s="41"/>
      <c r="P37" s="41"/>
      <c r="Q37" s="42"/>
      <c r="R37" s="43"/>
    </row>
    <row r="42" spans="1:19">
      <c r="J42" s="25">
        <f t="shared" ref="J42:P42" si="0">GEOMEAN(J4:J39)</f>
        <v>2.7360767608309984</v>
      </c>
      <c r="K42" s="17">
        <f t="shared" si="0"/>
        <v>76.354795021152228</v>
      </c>
      <c r="L42" s="41">
        <f t="shared" ref="L42" si="1">GEOMEAN(L4:L39)</f>
        <v>9.8523237358013827</v>
      </c>
      <c r="M42" s="41">
        <f>GEOMEAN(M4:M39)</f>
        <v>4.5186737437318261</v>
      </c>
      <c r="N42" s="41">
        <f t="shared" ref="N42" si="2">GEOMEAN(N4:N39)</f>
        <v>99.361819996595131</v>
      </c>
      <c r="O42" s="18">
        <f t="shared" si="0"/>
        <v>2.4430238638559554</v>
      </c>
      <c r="P42" s="25">
        <f t="shared" si="0"/>
        <v>3.8161421946331378</v>
      </c>
      <c r="S42" s="10" t="s">
        <v>91</v>
      </c>
    </row>
    <row r="43" spans="1:19">
      <c r="D43" s="48">
        <f>AVERAGE(D2:D39)</f>
        <v>0.40715488215488216</v>
      </c>
      <c r="E43" s="18">
        <f>AVERAGE(E2:E39)</f>
        <v>26.821212121212117</v>
      </c>
      <c r="F43" s="41">
        <f t="shared" ref="F43:H43" si="3">AVERAGE(F2:F39)</f>
        <v>34.896969696969691</v>
      </c>
      <c r="G43" s="41">
        <f t="shared" si="3"/>
        <v>6.702121212121213</v>
      </c>
      <c r="H43" s="41">
        <f t="shared" si="3"/>
        <v>101.64545454545454</v>
      </c>
      <c r="I43" s="18">
        <f>AVERAGE(I2:I39)</f>
        <v>8.1187878787878756</v>
      </c>
      <c r="J43" s="18">
        <f>AVERAGE(J2:J39)</f>
        <v>3.3005050505050511</v>
      </c>
      <c r="K43" s="17">
        <f>AVERAGE(K2:K39)</f>
        <v>83.988028758317213</v>
      </c>
      <c r="L43" s="41">
        <f t="shared" ref="L43:N43" si="4">AVERAGE(L2:L39)</f>
        <v>10.673144436573526</v>
      </c>
      <c r="M43" s="41">
        <f t="shared" si="4"/>
        <v>4.9845708803982651</v>
      </c>
      <c r="N43" s="41">
        <f t="shared" si="4"/>
        <v>112.83505828571862</v>
      </c>
      <c r="O43" s="18">
        <f t="shared" ref="O43:P43" si="5">AVERAGE(O2:O39)</f>
        <v>3.2900531980826675</v>
      </c>
      <c r="P43" s="18">
        <f t="shared" si="5"/>
        <v>6.1547781028312913</v>
      </c>
      <c r="S43" s="10" t="s">
        <v>92</v>
      </c>
    </row>
    <row r="44" spans="1:19">
      <c r="E44" s="41">
        <f>STDEV(E2:E39)</f>
        <v>1.4791800042079437</v>
      </c>
      <c r="F44" s="41">
        <f t="shared" ref="F44:H44" si="6">STDEV(F2:F39)</f>
        <v>1.2212915418946018</v>
      </c>
      <c r="G44" s="41">
        <f t="shared" si="6"/>
        <v>0.23556789859501723</v>
      </c>
      <c r="H44" s="41">
        <f t="shared" si="6"/>
        <v>2.1735758137644945</v>
      </c>
      <c r="I44" s="18">
        <f>STDEV(I2:I39)</f>
        <v>5.6111361136027445E-2</v>
      </c>
      <c r="J44" s="18">
        <f>STDEV(J2:J39)</f>
        <v>2.3010444671345751</v>
      </c>
      <c r="K44" s="17">
        <f>STDEV(K2:K39)</f>
        <v>55.394774786037033</v>
      </c>
      <c r="L44" s="41">
        <f t="shared" ref="L44:N44" si="7">STDEV(L2:L39)</f>
        <v>4.8019127215704511</v>
      </c>
      <c r="M44" s="41">
        <f t="shared" si="7"/>
        <v>2.7637936091539452</v>
      </c>
      <c r="N44" s="41">
        <f t="shared" si="7"/>
        <v>48.689491386976385</v>
      </c>
      <c r="O44" s="18">
        <f t="shared" ref="O44:P44" si="8">STDEV(O2:O39)</f>
        <v>2.6030680952727554</v>
      </c>
      <c r="P44" s="18">
        <f t="shared" si="8"/>
        <v>7.1291514878352436</v>
      </c>
      <c r="S44" s="10" t="s">
        <v>93</v>
      </c>
    </row>
    <row r="45" spans="1:19">
      <c r="J45" s="18"/>
    </row>
    <row r="46" spans="1:19">
      <c r="J46" s="18">
        <f>J42/0.2</f>
        <v>13.680383804154991</v>
      </c>
      <c r="K46" s="18">
        <f>K42/110</f>
        <v>0.69413450019229295</v>
      </c>
      <c r="L46" s="41">
        <f>L42/16</f>
        <v>0.61577023348758642</v>
      </c>
      <c r="M46" s="41">
        <f>M42/6</f>
        <v>0.75311229062197105</v>
      </c>
      <c r="N46" s="41">
        <f>N42</f>
        <v>99.361819996595131</v>
      </c>
      <c r="O46" s="18">
        <f>O42/3.5</f>
        <v>0.69800681824455868</v>
      </c>
      <c r="P46" s="18">
        <f>P42/2</f>
        <v>1.9080710973165689</v>
      </c>
      <c r="S46" s="10" t="s">
        <v>60</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6"/>
  <sheetViews>
    <sheetView workbookViewId="0">
      <pane xSplit="3" ySplit="1" topLeftCell="D28" activePane="bottomRight" state="frozen"/>
      <selection pane="topRight" activeCell="D1" sqref="D1"/>
      <selection pane="bottomLeft" activeCell="A2" sqref="A2"/>
      <selection pane="bottomRight" activeCell="A35" sqref="A35"/>
    </sheetView>
  </sheetViews>
  <sheetFormatPr baseColWidth="10" defaultRowHeight="16"/>
  <cols>
    <col min="1" max="1" width="19" style="1" customWidth="1"/>
    <col min="2" max="2" width="10.7109375" style="3"/>
    <col min="3" max="4" width="10.7109375" style="1"/>
    <col min="5" max="5" width="13.140625" style="9" customWidth="1"/>
    <col min="6" max="6" width="10.7109375" style="9"/>
    <col min="7" max="7" width="10.7109375" style="8"/>
    <col min="8" max="8" width="10.7109375" style="9"/>
    <col min="9" max="10" width="10.7109375" style="8"/>
    <col min="11" max="11" width="10.7109375" style="18"/>
    <col min="12" max="12" width="10.7109375" style="41"/>
    <col min="13" max="13" width="12.140625" style="41" customWidth="1"/>
    <col min="14" max="14" width="10.7109375" style="41"/>
    <col min="15" max="16" width="10.7109375" style="18"/>
    <col min="17" max="17" width="11.7109375" style="21" customWidth="1"/>
    <col min="18" max="18" width="12" style="30" customWidth="1"/>
    <col min="19" max="19" width="51.42578125" style="10" customWidth="1"/>
    <col min="20" max="16384" width="10.7109375" style="1"/>
  </cols>
  <sheetData>
    <row r="1" spans="1:19" ht="32">
      <c r="A1" s="2" t="s">
        <v>40</v>
      </c>
      <c r="B1" s="2" t="s">
        <v>11</v>
      </c>
      <c r="C1" s="2" t="s">
        <v>54</v>
      </c>
      <c r="D1" s="2" t="s">
        <v>110</v>
      </c>
      <c r="E1" s="12" t="s">
        <v>111</v>
      </c>
      <c r="F1" s="12" t="s">
        <v>94</v>
      </c>
      <c r="G1" s="19" t="s">
        <v>13</v>
      </c>
      <c r="H1" s="12" t="s">
        <v>14</v>
      </c>
      <c r="I1" s="19" t="s">
        <v>59</v>
      </c>
      <c r="J1" s="19" t="s">
        <v>17</v>
      </c>
      <c r="K1" s="2" t="s">
        <v>95</v>
      </c>
      <c r="L1" s="2" t="s">
        <v>84</v>
      </c>
      <c r="M1" s="2" t="s">
        <v>46</v>
      </c>
      <c r="N1" s="2" t="s">
        <v>85</v>
      </c>
      <c r="O1" s="2" t="s">
        <v>82</v>
      </c>
      <c r="P1" s="2" t="s">
        <v>83</v>
      </c>
      <c r="Q1" s="20" t="s">
        <v>97</v>
      </c>
      <c r="R1" s="28" t="s">
        <v>88</v>
      </c>
      <c r="S1" s="2" t="s">
        <v>35</v>
      </c>
    </row>
    <row r="2" spans="1:19" ht="32">
      <c r="A2" s="1" t="s">
        <v>37</v>
      </c>
      <c r="B2" s="3" t="s">
        <v>73</v>
      </c>
      <c r="C2" s="4">
        <v>42536</v>
      </c>
      <c r="D2" s="5">
        <v>0.4458333333333333</v>
      </c>
      <c r="E2" s="9">
        <v>27.4</v>
      </c>
      <c r="F2" s="9">
        <v>29.6</v>
      </c>
      <c r="G2" s="8">
        <v>6.94</v>
      </c>
      <c r="H2" s="9">
        <v>106.1</v>
      </c>
      <c r="I2" s="8">
        <v>8.11</v>
      </c>
      <c r="J2" s="8">
        <v>1.19</v>
      </c>
      <c r="K2" s="18">
        <v>71.071158937446654</v>
      </c>
      <c r="L2" s="41">
        <v>14.405611453222617</v>
      </c>
      <c r="M2" s="41">
        <v>4.8471718187389383</v>
      </c>
      <c r="N2" s="41">
        <v>72.895493181907284</v>
      </c>
      <c r="O2" s="18">
        <v>4.0723642515923562</v>
      </c>
      <c r="P2" s="18">
        <v>2.7990393380787517</v>
      </c>
      <c r="Q2" s="21">
        <v>1</v>
      </c>
      <c r="R2" s="30" t="s">
        <v>15</v>
      </c>
      <c r="S2" s="10" t="s">
        <v>10</v>
      </c>
    </row>
    <row r="3" spans="1:19" ht="32">
      <c r="A3" s="1" t="s">
        <v>37</v>
      </c>
      <c r="B3" s="3" t="s">
        <v>73</v>
      </c>
      <c r="C3" s="4">
        <v>42550</v>
      </c>
      <c r="D3" s="5">
        <v>0.44375000000000003</v>
      </c>
      <c r="E3" s="9">
        <v>28</v>
      </c>
      <c r="F3" s="9">
        <v>29.3</v>
      </c>
      <c r="G3" s="8">
        <v>7.17</v>
      </c>
      <c r="H3" s="9">
        <v>111.1</v>
      </c>
      <c r="I3" s="8">
        <v>8.1</v>
      </c>
      <c r="J3" s="8">
        <v>1.07</v>
      </c>
      <c r="K3" s="18">
        <v>87.437872900232804</v>
      </c>
      <c r="L3" s="41">
        <v>13.940507389343828</v>
      </c>
      <c r="M3" s="41">
        <v>4.5033946026660008</v>
      </c>
      <c r="N3" s="41">
        <v>84.662240019010682</v>
      </c>
      <c r="O3" s="18">
        <v>3.8792926331833675</v>
      </c>
      <c r="P3" s="18">
        <v>6.1975145312103317</v>
      </c>
      <c r="Q3" s="21">
        <v>1</v>
      </c>
      <c r="R3" s="30" t="s">
        <v>15</v>
      </c>
      <c r="S3" s="10" t="s">
        <v>103</v>
      </c>
    </row>
    <row r="4" spans="1:19" ht="32">
      <c r="A4" s="1" t="s">
        <v>37</v>
      </c>
      <c r="B4" s="3" t="s">
        <v>73</v>
      </c>
      <c r="C4" s="4">
        <v>42564</v>
      </c>
      <c r="D4" s="5">
        <v>0.40833333333333338</v>
      </c>
      <c r="E4" s="9">
        <v>28</v>
      </c>
      <c r="F4" s="9">
        <v>37.4</v>
      </c>
      <c r="G4" s="8">
        <v>6.98</v>
      </c>
      <c r="H4" s="9">
        <v>109.8</v>
      </c>
      <c r="I4" s="8">
        <v>8.0399999999999991</v>
      </c>
      <c r="J4" s="8">
        <v>1.86</v>
      </c>
      <c r="K4" s="18">
        <v>75.49801837026682</v>
      </c>
      <c r="L4" s="41">
        <v>13.921408684166629</v>
      </c>
      <c r="M4" s="41">
        <v>5.0998915928235151</v>
      </c>
      <c r="N4" s="41">
        <v>120.86040098219779</v>
      </c>
      <c r="O4" s="18">
        <v>5.0991886610967088</v>
      </c>
      <c r="P4" s="18">
        <v>3.3664223069228911</v>
      </c>
      <c r="Q4" s="21">
        <v>1</v>
      </c>
      <c r="R4" s="30" t="s">
        <v>15</v>
      </c>
      <c r="S4" s="10" t="s">
        <v>105</v>
      </c>
    </row>
    <row r="5" spans="1:19" ht="32">
      <c r="A5" s="1" t="s">
        <v>37</v>
      </c>
      <c r="B5" s="3" t="s">
        <v>73</v>
      </c>
      <c r="C5" s="4">
        <v>42578</v>
      </c>
      <c r="D5" s="5">
        <v>0.40208333333333335</v>
      </c>
      <c r="E5" s="9">
        <v>27.8</v>
      </c>
      <c r="F5" s="9">
        <v>35.5</v>
      </c>
      <c r="G5" s="8">
        <v>6.89</v>
      </c>
      <c r="H5" s="9">
        <v>106.6</v>
      </c>
      <c r="I5" s="8">
        <v>8.1199999999999992</v>
      </c>
      <c r="J5" s="8">
        <f>AVERAGE(1.05,0.89,1)</f>
        <v>0.98</v>
      </c>
      <c r="K5" s="18">
        <v>88.963426380732756</v>
      </c>
      <c r="L5" s="41">
        <v>10.523724826223788</v>
      </c>
      <c r="M5" s="41">
        <v>4.7200245458110981</v>
      </c>
      <c r="N5" s="41">
        <v>44.644435786913981</v>
      </c>
      <c r="O5" s="18">
        <v>3.8150762825399309</v>
      </c>
      <c r="P5" s="18">
        <v>5.9749082073434145</v>
      </c>
      <c r="Q5" s="21">
        <v>1</v>
      </c>
      <c r="R5" s="30" t="s">
        <v>63</v>
      </c>
      <c r="S5" s="10" t="s">
        <v>58</v>
      </c>
    </row>
    <row r="6" spans="1:19" ht="32">
      <c r="A6" s="1" t="s">
        <v>37</v>
      </c>
      <c r="B6" s="3" t="s">
        <v>73</v>
      </c>
      <c r="C6" s="4">
        <v>42592</v>
      </c>
      <c r="D6" s="5">
        <v>0.38819444444444445</v>
      </c>
      <c r="E6" s="9">
        <v>27.9</v>
      </c>
      <c r="F6" s="9">
        <v>35.799999999999997</v>
      </c>
      <c r="G6" s="8">
        <v>6.78</v>
      </c>
      <c r="H6" s="9">
        <v>105.1</v>
      </c>
      <c r="I6" s="8">
        <v>8.07</v>
      </c>
      <c r="J6" s="8">
        <f>AVERAGE(0.95,1.17,2.24)</f>
        <v>1.4533333333333334</v>
      </c>
      <c r="K6" s="18">
        <v>54.697968696672838</v>
      </c>
      <c r="L6" s="41">
        <v>11.676707584432414</v>
      </c>
      <c r="M6" s="41">
        <v>4.2747533065287362</v>
      </c>
      <c r="N6" s="41">
        <v>76.480160431522592</v>
      </c>
      <c r="O6" s="18">
        <v>4.7743890799233712</v>
      </c>
      <c r="P6" s="18">
        <v>3.6131319781306344</v>
      </c>
      <c r="Q6" s="21">
        <v>1</v>
      </c>
      <c r="R6" s="30" t="s">
        <v>63</v>
      </c>
      <c r="S6" s="10" t="s">
        <v>48</v>
      </c>
    </row>
    <row r="7" spans="1:19" ht="32">
      <c r="A7" s="1" t="s">
        <v>37</v>
      </c>
      <c r="B7" s="3" t="s">
        <v>73</v>
      </c>
      <c r="C7" s="4">
        <v>42606</v>
      </c>
      <c r="D7" s="5">
        <v>0.41666666666666669</v>
      </c>
      <c r="E7" s="9">
        <v>29</v>
      </c>
      <c r="F7" s="9">
        <v>36</v>
      </c>
      <c r="G7" s="8">
        <v>6.85</v>
      </c>
      <c r="H7" s="9">
        <v>108.5</v>
      </c>
      <c r="I7" s="8">
        <v>8.1</v>
      </c>
      <c r="J7" s="8">
        <f>AVERAGE(1.74,1.11,1.04)</f>
        <v>1.2966666666666666</v>
      </c>
      <c r="K7" s="18">
        <v>79.932709846003235</v>
      </c>
      <c r="L7" s="41">
        <v>13.900488200830688</v>
      </c>
      <c r="M7" s="41">
        <v>4.5997307632626976</v>
      </c>
      <c r="N7" s="41">
        <v>113.46796406378881</v>
      </c>
      <c r="O7" s="18">
        <v>4.5505540427094786</v>
      </c>
      <c r="P7" s="18">
        <v>3.7210515151515149</v>
      </c>
      <c r="Q7" s="21">
        <v>1</v>
      </c>
      <c r="R7" s="30" t="s">
        <v>63</v>
      </c>
      <c r="S7" s="10" t="s">
        <v>36</v>
      </c>
    </row>
    <row r="8" spans="1:19" ht="32">
      <c r="A8" s="1" t="s">
        <v>37</v>
      </c>
      <c r="B8" s="3" t="s">
        <v>73</v>
      </c>
      <c r="C8" s="4">
        <v>42620</v>
      </c>
      <c r="D8" s="5">
        <v>0.40208333333333335</v>
      </c>
      <c r="E8" s="9">
        <v>28.4</v>
      </c>
      <c r="F8" s="9">
        <v>37</v>
      </c>
      <c r="G8" s="8">
        <v>6.55</v>
      </c>
      <c r="H8" s="9">
        <v>103.3</v>
      </c>
      <c r="I8" s="8">
        <v>8.06</v>
      </c>
      <c r="J8" s="8">
        <f>AVERAGE(1.29,0.94,1.13)</f>
        <v>1.1199999999999999</v>
      </c>
      <c r="K8" s="18">
        <v>82.564858851531838</v>
      </c>
      <c r="L8" s="41">
        <v>13.030313177022668</v>
      </c>
      <c r="M8" s="41">
        <v>4.2447142904992221</v>
      </c>
      <c r="N8" s="41">
        <v>63.226492756140843</v>
      </c>
      <c r="O8" s="18">
        <v>4.701214360669498</v>
      </c>
      <c r="P8" s="18">
        <v>4.4806432036293842</v>
      </c>
      <c r="Q8" s="21">
        <v>1</v>
      </c>
      <c r="R8" s="30" t="s">
        <v>15</v>
      </c>
      <c r="S8" s="10" t="s">
        <v>86</v>
      </c>
    </row>
    <row r="9" spans="1:19" ht="32">
      <c r="A9" s="1" t="s">
        <v>37</v>
      </c>
      <c r="B9" s="3" t="s">
        <v>73</v>
      </c>
      <c r="C9" s="4">
        <v>42634</v>
      </c>
      <c r="D9" s="5">
        <v>0.39999999999999997</v>
      </c>
      <c r="E9" s="9">
        <v>27.6</v>
      </c>
      <c r="F9" s="9">
        <v>34.799999999999997</v>
      </c>
      <c r="G9" s="8">
        <v>6.58</v>
      </c>
      <c r="H9" s="9">
        <v>101.2</v>
      </c>
      <c r="I9" s="8">
        <v>8.17</v>
      </c>
      <c r="J9" s="8">
        <f>AVERAGE(2.35,2.19,2.25,2.6)</f>
        <v>2.3475000000000001</v>
      </c>
      <c r="K9" s="18">
        <v>69.947358336086381</v>
      </c>
      <c r="L9" s="41">
        <v>12.279136447068737</v>
      </c>
      <c r="M9" s="41">
        <v>4.3950132351728097</v>
      </c>
      <c r="N9" s="41">
        <v>59.631829563415707</v>
      </c>
      <c r="O9" s="18">
        <v>4.6326210451755054</v>
      </c>
      <c r="P9" s="18">
        <v>3.4178910341418018</v>
      </c>
      <c r="Q9" s="21">
        <v>2</v>
      </c>
      <c r="R9" s="30" t="s">
        <v>63</v>
      </c>
      <c r="S9" s="10" t="s">
        <v>86</v>
      </c>
    </row>
    <row r="10" spans="1:19" ht="32">
      <c r="A10" s="1" t="s">
        <v>37</v>
      </c>
      <c r="B10" s="3" t="s">
        <v>73</v>
      </c>
      <c r="C10" s="4">
        <v>42648</v>
      </c>
      <c r="D10" s="5">
        <v>0.43263888888888885</v>
      </c>
      <c r="E10" s="9">
        <v>28.8</v>
      </c>
      <c r="F10" s="9">
        <v>37.200000000000003</v>
      </c>
      <c r="G10" s="8">
        <v>6.73</v>
      </c>
      <c r="H10" s="9">
        <v>106.9</v>
      </c>
      <c r="I10" s="8">
        <v>7.99</v>
      </c>
      <c r="J10" s="8">
        <f>AVERAGE(2.09,2.13,2)</f>
        <v>2.0733333333333333</v>
      </c>
      <c r="K10" s="18">
        <v>64.411438068930408</v>
      </c>
      <c r="L10" s="41">
        <v>8.9434655224713229</v>
      </c>
      <c r="M10" s="41">
        <v>4.5258769714834344</v>
      </c>
      <c r="N10" s="41">
        <v>95.746088271674992</v>
      </c>
      <c r="O10" s="18">
        <v>4.7967550501075591</v>
      </c>
      <c r="P10" s="18">
        <v>4.5516436136799854</v>
      </c>
      <c r="Q10" s="21">
        <v>1</v>
      </c>
      <c r="R10" s="30" t="s">
        <v>15</v>
      </c>
      <c r="S10" s="10" t="s">
        <v>86</v>
      </c>
    </row>
    <row r="11" spans="1:19" ht="32">
      <c r="A11" s="1" t="s">
        <v>37</v>
      </c>
      <c r="B11" s="3" t="s">
        <v>73</v>
      </c>
      <c r="C11" s="4">
        <v>42662</v>
      </c>
      <c r="D11" s="5">
        <v>0.44236111111111115</v>
      </c>
      <c r="E11" s="9">
        <v>27.4</v>
      </c>
      <c r="F11" s="9">
        <v>34.9</v>
      </c>
      <c r="G11" s="8">
        <v>6.65</v>
      </c>
      <c r="H11" s="9">
        <v>102</v>
      </c>
      <c r="I11" s="8">
        <v>8.1199999999999992</v>
      </c>
      <c r="J11" s="8">
        <f>AVERAGE(2.82,3.15,2.85)</f>
        <v>2.94</v>
      </c>
      <c r="K11" s="18">
        <v>72.836135247874893</v>
      </c>
      <c r="L11" s="41">
        <v>18.921168378597919</v>
      </c>
      <c r="M11" s="41">
        <v>7.005196110824861</v>
      </c>
      <c r="N11" s="41">
        <v>65.372485737895744</v>
      </c>
      <c r="O11" s="18">
        <v>3.1717053503106749</v>
      </c>
      <c r="P11" s="35">
        <v>12.057947679843009</v>
      </c>
      <c r="Q11" s="21">
        <v>2</v>
      </c>
      <c r="R11" s="30" t="s">
        <v>63</v>
      </c>
      <c r="S11" s="10" t="s">
        <v>86</v>
      </c>
    </row>
    <row r="12" spans="1:19" ht="32">
      <c r="A12" s="1" t="s">
        <v>37</v>
      </c>
      <c r="B12" s="3" t="s">
        <v>73</v>
      </c>
      <c r="C12" s="4">
        <v>42676</v>
      </c>
      <c r="D12" s="5">
        <v>0.44861111111111113</v>
      </c>
      <c r="E12" s="9">
        <v>26.3</v>
      </c>
      <c r="F12" s="9">
        <v>34.799999999999997</v>
      </c>
      <c r="G12" s="8">
        <v>6.83</v>
      </c>
      <c r="H12" s="9">
        <v>102.6</v>
      </c>
      <c r="I12" s="8">
        <v>8.07</v>
      </c>
      <c r="J12" s="8">
        <f>AVERAGE(1.74,1.84,1.66)</f>
        <v>1.7466666666666668</v>
      </c>
      <c r="K12" s="18">
        <v>69.273630652253487</v>
      </c>
      <c r="L12" s="41">
        <v>9.2997494808123093</v>
      </c>
      <c r="M12" s="41">
        <v>5.0680303776406568</v>
      </c>
      <c r="N12" s="41">
        <v>63.819626634954581</v>
      </c>
      <c r="O12" s="18">
        <v>4.0744857978023337</v>
      </c>
      <c r="P12" s="18">
        <v>7.1601431512618179</v>
      </c>
      <c r="Q12" s="29">
        <v>2</v>
      </c>
      <c r="R12" s="30" t="s">
        <v>63</v>
      </c>
      <c r="S12" s="10" t="s">
        <v>0</v>
      </c>
    </row>
    <row r="13" spans="1:19" ht="32">
      <c r="A13" s="1" t="s">
        <v>37</v>
      </c>
      <c r="B13" s="3" t="s">
        <v>73</v>
      </c>
      <c r="C13" s="4">
        <v>42690</v>
      </c>
      <c r="D13" s="5">
        <v>0.42708333333333331</v>
      </c>
      <c r="E13" s="13">
        <v>26.8</v>
      </c>
      <c r="F13" s="13">
        <v>34.700000000000003</v>
      </c>
      <c r="G13" s="18">
        <v>8.6</v>
      </c>
      <c r="H13" s="13">
        <v>106.9</v>
      </c>
      <c r="I13" s="18">
        <v>8.11</v>
      </c>
      <c r="J13" s="18">
        <f>AVERAGE(4.9,3.97,4.25)</f>
        <v>4.373333333333334</v>
      </c>
      <c r="K13" s="18">
        <v>72.190521119568402</v>
      </c>
      <c r="L13" s="32">
        <v>7.065051196532754</v>
      </c>
      <c r="M13" s="41">
        <v>4.3296186330848414</v>
      </c>
      <c r="N13" s="32">
        <v>140.76814949010523</v>
      </c>
      <c r="O13" s="18">
        <v>6.0126102175734299</v>
      </c>
      <c r="P13" s="18">
        <v>2.6582450430660733</v>
      </c>
      <c r="Q13" s="29">
        <v>2</v>
      </c>
      <c r="R13" s="30" t="s">
        <v>63</v>
      </c>
      <c r="S13" s="10" t="s">
        <v>0</v>
      </c>
    </row>
    <row r="14" spans="1:19" ht="32">
      <c r="A14" s="1" t="s">
        <v>37</v>
      </c>
      <c r="B14" s="3" t="s">
        <v>73</v>
      </c>
      <c r="C14" s="4">
        <v>42704</v>
      </c>
      <c r="D14" s="5">
        <v>0.43402777777777773</v>
      </c>
      <c r="E14" s="13">
        <v>24.7</v>
      </c>
      <c r="F14" s="13">
        <v>34.799999999999997</v>
      </c>
      <c r="G14" s="18">
        <v>7.37</v>
      </c>
      <c r="H14" s="13">
        <v>108</v>
      </c>
      <c r="I14" s="18">
        <v>8.1300000000000008</v>
      </c>
      <c r="J14" s="18">
        <f>AVERAGE(2.64,2.48,2.15)</f>
        <v>2.4233333333333333</v>
      </c>
      <c r="K14" s="18">
        <v>78.81639379172951</v>
      </c>
      <c r="L14" s="41">
        <v>7.9993374654644276</v>
      </c>
      <c r="M14" s="41">
        <v>3.8746363276263254</v>
      </c>
      <c r="N14" s="41">
        <v>214.63569676780179</v>
      </c>
      <c r="O14" s="18">
        <v>5.8163248286466338</v>
      </c>
      <c r="P14" s="18">
        <v>3.8062462848202023</v>
      </c>
      <c r="Q14" s="29">
        <v>2</v>
      </c>
      <c r="R14" s="30" t="s">
        <v>63</v>
      </c>
      <c r="S14" s="10" t="s">
        <v>0</v>
      </c>
    </row>
    <row r="15" spans="1:19" ht="32">
      <c r="A15" s="1" t="s">
        <v>37</v>
      </c>
      <c r="B15" s="3" t="s">
        <v>73</v>
      </c>
      <c r="C15" s="4">
        <v>42718</v>
      </c>
      <c r="D15" s="5">
        <v>0.42777777777777781</v>
      </c>
      <c r="E15" s="13">
        <v>24.7</v>
      </c>
      <c r="F15" s="13">
        <v>34.799999999999997</v>
      </c>
      <c r="G15" s="18">
        <v>6.68</v>
      </c>
      <c r="H15" s="13">
        <v>97.7</v>
      </c>
      <c r="I15" s="18">
        <v>8.08</v>
      </c>
      <c r="J15" s="18">
        <f>AVERAGE(3.96,4.13,4.21)</f>
        <v>4.1000000000000005</v>
      </c>
      <c r="K15" s="18">
        <v>75.557421473688905</v>
      </c>
      <c r="L15" s="41">
        <v>8.2707329976740507</v>
      </c>
      <c r="M15" s="41">
        <v>4.7092705060114701</v>
      </c>
      <c r="N15" s="41">
        <v>139.35486993984273</v>
      </c>
      <c r="O15" s="35">
        <v>24.191025572965486</v>
      </c>
      <c r="P15" s="18">
        <v>4.190401979341301</v>
      </c>
      <c r="Q15" s="29">
        <v>1</v>
      </c>
      <c r="R15" s="30" t="s">
        <v>63</v>
      </c>
      <c r="S15" s="10" t="s">
        <v>0</v>
      </c>
    </row>
    <row r="16" spans="1:19" ht="32">
      <c r="A16" s="1" t="s">
        <v>37</v>
      </c>
      <c r="B16" s="3" t="s">
        <v>73</v>
      </c>
      <c r="C16" s="4">
        <v>42739</v>
      </c>
      <c r="D16" s="5">
        <v>0.43333333333333335</v>
      </c>
      <c r="E16" s="13">
        <v>24.3</v>
      </c>
      <c r="F16" s="13">
        <v>35</v>
      </c>
      <c r="G16" s="18">
        <v>7.46</v>
      </c>
      <c r="H16" s="13">
        <v>108.5</v>
      </c>
      <c r="I16" s="18">
        <v>8.1300000000000008</v>
      </c>
      <c r="J16" s="18">
        <f>AVERAGE(2,2.22,2.32)</f>
        <v>2.1800000000000002</v>
      </c>
      <c r="K16" s="18">
        <v>80.461607917732493</v>
      </c>
      <c r="L16" s="41">
        <v>10.000771320317938</v>
      </c>
      <c r="M16" s="41">
        <v>4.7583810385248384</v>
      </c>
      <c r="N16" s="41">
        <v>120.30438453321024</v>
      </c>
      <c r="O16" s="18">
        <v>5.1551064497161292</v>
      </c>
      <c r="P16" s="18">
        <v>3.7156025169382656</v>
      </c>
      <c r="Q16" s="29">
        <v>2</v>
      </c>
      <c r="R16" s="30" t="s">
        <v>63</v>
      </c>
      <c r="S16" s="10" t="s">
        <v>0</v>
      </c>
    </row>
    <row r="17" spans="1:19" ht="32">
      <c r="A17" s="1" t="s">
        <v>37</v>
      </c>
      <c r="B17" s="3" t="s">
        <v>73</v>
      </c>
      <c r="C17" s="4">
        <v>42760</v>
      </c>
      <c r="D17" s="5">
        <v>0.4375</v>
      </c>
      <c r="E17" s="13">
        <v>24.7</v>
      </c>
      <c r="F17" s="13">
        <v>35.200000000000003</v>
      </c>
      <c r="G17" s="18">
        <v>6.46</v>
      </c>
      <c r="H17" s="13">
        <v>94.3</v>
      </c>
      <c r="I17" s="31">
        <v>7.9</v>
      </c>
      <c r="J17" s="18">
        <f>AVERAGE(1.21,1.12,1.31)</f>
        <v>1.2133333333333334</v>
      </c>
      <c r="K17" s="18">
        <v>77.501333200808119</v>
      </c>
      <c r="L17" s="41">
        <v>15.246444800433272</v>
      </c>
      <c r="M17" s="41">
        <v>8.7058477075177176</v>
      </c>
      <c r="N17" s="41">
        <v>94.532347179425514</v>
      </c>
      <c r="O17" s="18">
        <v>4.9449695734998373</v>
      </c>
      <c r="P17" s="18">
        <v>6.5411979899892705</v>
      </c>
      <c r="Q17" s="29">
        <v>1</v>
      </c>
      <c r="R17" s="30" t="s">
        <v>63</v>
      </c>
      <c r="S17" s="10" t="s">
        <v>0</v>
      </c>
    </row>
    <row r="18" spans="1:19" ht="32">
      <c r="A18" s="1" t="s">
        <v>37</v>
      </c>
      <c r="B18" s="3" t="s">
        <v>73</v>
      </c>
      <c r="C18" s="4">
        <v>42781</v>
      </c>
      <c r="D18" s="5">
        <v>0.42430555555555555</v>
      </c>
      <c r="E18" s="13">
        <v>25.1</v>
      </c>
      <c r="F18" s="13">
        <v>34.9</v>
      </c>
      <c r="G18" s="18">
        <v>6.59</v>
      </c>
      <c r="H18" s="13">
        <v>96.8</v>
      </c>
      <c r="I18" s="18">
        <v>8.1</v>
      </c>
      <c r="J18" s="18">
        <f>AVERAGE(3.82,4.36,4.29)</f>
        <v>4.1566666666666663</v>
      </c>
      <c r="K18" s="18">
        <v>83.21375524796504</v>
      </c>
      <c r="L18" s="41">
        <v>11.443731119462289</v>
      </c>
      <c r="M18" s="41">
        <v>6.5163020478813563</v>
      </c>
      <c r="N18" s="41">
        <v>150.70973571427908</v>
      </c>
      <c r="O18" s="18">
        <v>5.5672920795851422</v>
      </c>
      <c r="P18" s="18">
        <v>7.2169799536125847</v>
      </c>
      <c r="Q18" s="29">
        <v>2</v>
      </c>
      <c r="R18" s="30" t="s">
        <v>34</v>
      </c>
      <c r="S18" s="10" t="s">
        <v>0</v>
      </c>
    </row>
    <row r="19" spans="1:19" ht="32">
      <c r="A19" s="1" t="s">
        <v>37</v>
      </c>
      <c r="B19" s="3" t="s">
        <v>73</v>
      </c>
      <c r="C19" s="4">
        <v>42802</v>
      </c>
      <c r="D19" s="5">
        <v>0.45833333333333331</v>
      </c>
      <c r="E19" s="13">
        <v>26</v>
      </c>
      <c r="F19" s="13">
        <v>34.5</v>
      </c>
      <c r="G19" s="18">
        <v>7.35</v>
      </c>
      <c r="H19" s="13">
        <v>109.4</v>
      </c>
      <c r="I19" s="18">
        <v>8.1300000000000008</v>
      </c>
      <c r="J19" s="18">
        <f>AVERAGE(1.69,1.71,1.6)</f>
        <v>1.6666666666666667</v>
      </c>
      <c r="K19" s="18">
        <v>80.981869126055784</v>
      </c>
      <c r="L19" s="41">
        <v>7.284661760375351</v>
      </c>
      <c r="M19" s="41">
        <v>5.4991552025423722</v>
      </c>
      <c r="N19" s="41">
        <v>100.43625813604848</v>
      </c>
      <c r="O19" s="18">
        <v>6.1666970049740666</v>
      </c>
      <c r="P19" s="18">
        <v>8.9302806976056459</v>
      </c>
      <c r="Q19" s="29">
        <v>1</v>
      </c>
      <c r="R19" s="30" t="s">
        <v>7</v>
      </c>
      <c r="S19" s="10" t="s">
        <v>0</v>
      </c>
    </row>
    <row r="20" spans="1:19" ht="32">
      <c r="A20" s="1" t="s">
        <v>37</v>
      </c>
      <c r="B20" s="3" t="s">
        <v>73</v>
      </c>
      <c r="C20" s="4">
        <v>42823</v>
      </c>
      <c r="D20" s="5">
        <v>0.44166666666666665</v>
      </c>
      <c r="E20" s="13">
        <v>26.8</v>
      </c>
      <c r="F20" s="13">
        <v>34</v>
      </c>
      <c r="G20" s="18">
        <v>6.95</v>
      </c>
      <c r="H20" s="13">
        <v>104.5</v>
      </c>
      <c r="I20" s="18">
        <v>8.1300000000000008</v>
      </c>
      <c r="J20" s="18">
        <f>AVERAGE(1.93,2.2,2.4)</f>
        <v>2.1766666666666663</v>
      </c>
      <c r="K20" s="18">
        <v>77.953764781627783</v>
      </c>
      <c r="L20" s="41">
        <v>12.43012039602301</v>
      </c>
      <c r="M20" s="41">
        <v>6.2818161106513406</v>
      </c>
      <c r="N20" s="41">
        <v>147.20210308538441</v>
      </c>
      <c r="O20" s="18">
        <v>5.6763530764468291</v>
      </c>
      <c r="P20" s="35">
        <v>14.600277505181381</v>
      </c>
      <c r="Q20" s="29">
        <v>1</v>
      </c>
      <c r="R20" s="30" t="s">
        <v>7</v>
      </c>
      <c r="S20" s="10" t="s">
        <v>0</v>
      </c>
    </row>
    <row r="21" spans="1:19" ht="32">
      <c r="A21" s="1" t="s">
        <v>37</v>
      </c>
      <c r="B21" s="3" t="s">
        <v>73</v>
      </c>
      <c r="C21" s="4">
        <v>42844</v>
      </c>
      <c r="D21" s="5">
        <v>0.43402777777777773</v>
      </c>
      <c r="E21" s="13">
        <v>27</v>
      </c>
      <c r="F21" s="13">
        <v>34.299999999999997</v>
      </c>
      <c r="G21" s="18">
        <v>6.97</v>
      </c>
      <c r="H21" s="13">
        <v>105.7</v>
      </c>
      <c r="I21" s="18">
        <v>8.15</v>
      </c>
      <c r="J21" s="18">
        <f>AVERAGE(1.55,1.42,1.53)</f>
        <v>1.5</v>
      </c>
      <c r="K21" s="35">
        <v>118.54027482353172</v>
      </c>
      <c r="L21" s="41">
        <v>9.2456044037000353</v>
      </c>
      <c r="M21" s="41">
        <v>6.5680674927808305</v>
      </c>
      <c r="N21" s="41">
        <v>158.80477087091415</v>
      </c>
      <c r="O21" s="41">
        <v>3.7687884744575162</v>
      </c>
      <c r="P21" s="41">
        <v>7.8778867624183437</v>
      </c>
      <c r="Q21" s="29">
        <v>1</v>
      </c>
      <c r="R21" s="30" t="s">
        <v>6</v>
      </c>
      <c r="S21" s="10" t="s">
        <v>0</v>
      </c>
    </row>
    <row r="22" spans="1:19" ht="32">
      <c r="A22" s="1" t="s">
        <v>37</v>
      </c>
      <c r="B22" s="3" t="s">
        <v>73</v>
      </c>
      <c r="C22" s="4">
        <v>42865</v>
      </c>
      <c r="D22" s="5">
        <v>0.42986111111111108</v>
      </c>
      <c r="E22" s="13">
        <v>26.8</v>
      </c>
      <c r="F22" s="13">
        <v>34.4</v>
      </c>
      <c r="G22" s="18">
        <v>7.23</v>
      </c>
      <c r="H22" s="13">
        <v>109.7</v>
      </c>
      <c r="I22" s="18">
        <v>8.18</v>
      </c>
      <c r="J22" s="18">
        <f>AVERAGE(1.63,1.74,1.85)</f>
        <v>1.7400000000000002</v>
      </c>
      <c r="K22" s="41">
        <v>73.022217082162413</v>
      </c>
      <c r="L22" s="41">
        <v>8.6288916108025155</v>
      </c>
      <c r="M22" s="41">
        <v>5.9264811127155372</v>
      </c>
      <c r="N22" s="41">
        <v>94.428285828078998</v>
      </c>
      <c r="O22" s="41">
        <v>4.3535336539723977</v>
      </c>
      <c r="P22" s="41">
        <v>2.8320636870162144</v>
      </c>
      <c r="Q22" s="29">
        <v>1</v>
      </c>
      <c r="R22" s="30" t="s">
        <v>45</v>
      </c>
      <c r="S22" s="10" t="s">
        <v>0</v>
      </c>
    </row>
    <row r="23" spans="1:19" ht="32">
      <c r="A23" s="1" t="s">
        <v>37</v>
      </c>
      <c r="B23" s="3" t="s">
        <v>73</v>
      </c>
      <c r="C23" s="4">
        <v>42886</v>
      </c>
      <c r="D23" s="5">
        <v>0.4236111111111111</v>
      </c>
      <c r="E23" s="9">
        <v>27.1</v>
      </c>
      <c r="F23" s="9">
        <v>34.700000000000003</v>
      </c>
      <c r="G23" s="8">
        <v>7.27</v>
      </c>
      <c r="H23" s="9">
        <v>110.5</v>
      </c>
      <c r="I23" s="8">
        <v>8.1</v>
      </c>
      <c r="J23" s="8">
        <f>AVERAGE(2.29,2.71,1.93)</f>
        <v>2.31</v>
      </c>
      <c r="K23" s="41">
        <v>66.908043585380327</v>
      </c>
      <c r="L23" s="41">
        <v>6.4088765274192658</v>
      </c>
      <c r="M23" s="41">
        <v>4.2285337246861259</v>
      </c>
      <c r="N23" s="41">
        <v>70.32978858540757</v>
      </c>
      <c r="O23" s="41">
        <v>8.7262629720240881</v>
      </c>
      <c r="P23" s="41">
        <v>3.1918653909236356</v>
      </c>
      <c r="Q23" s="42">
        <v>1</v>
      </c>
      <c r="R23" s="43" t="s">
        <v>26</v>
      </c>
      <c r="S23" s="10" t="s">
        <v>0</v>
      </c>
    </row>
    <row r="24" spans="1:19" ht="32">
      <c r="A24" s="1" t="s">
        <v>37</v>
      </c>
      <c r="B24" s="3" t="s">
        <v>73</v>
      </c>
      <c r="C24" s="4">
        <v>42907</v>
      </c>
      <c r="D24" s="5">
        <v>0.42499999999999999</v>
      </c>
      <c r="E24" s="13">
        <v>27.6</v>
      </c>
      <c r="F24" s="13">
        <v>34.6</v>
      </c>
      <c r="G24" s="18">
        <v>6.94</v>
      </c>
      <c r="H24" s="13">
        <v>106.5</v>
      </c>
      <c r="I24" s="18">
        <v>8.16</v>
      </c>
      <c r="J24" s="18">
        <f>AVERAGE(3.81,3.1,3.85)</f>
        <v>3.5866666666666664</v>
      </c>
      <c r="K24" s="41">
        <v>70.710776129981241</v>
      </c>
      <c r="L24" s="41">
        <v>10.579011609734563</v>
      </c>
      <c r="M24" s="41">
        <v>5.9673496836236595</v>
      </c>
      <c r="N24" s="41">
        <v>76.784100678156051</v>
      </c>
      <c r="O24" s="41">
        <v>3.8754112339626579</v>
      </c>
      <c r="P24" s="41">
        <v>2.3031089591544878</v>
      </c>
      <c r="Q24" s="42">
        <v>2</v>
      </c>
      <c r="R24" s="43" t="s">
        <v>41</v>
      </c>
      <c r="S24" s="10" t="s">
        <v>0</v>
      </c>
    </row>
    <row r="25" spans="1:19" ht="32">
      <c r="A25" s="1" t="s">
        <v>37</v>
      </c>
      <c r="B25" s="3" t="s">
        <v>73</v>
      </c>
      <c r="C25" s="4">
        <v>42928</v>
      </c>
      <c r="D25" s="5">
        <v>0.41666666666666669</v>
      </c>
      <c r="E25" s="13">
        <v>27.8</v>
      </c>
      <c r="F25" s="13">
        <v>34.4</v>
      </c>
      <c r="G25" s="41">
        <v>6.24</v>
      </c>
      <c r="H25" s="13">
        <v>95.9</v>
      </c>
      <c r="I25" s="41">
        <v>8.07</v>
      </c>
      <c r="J25" s="41">
        <f>AVERAGE(1.47,1.84,1.64)</f>
        <v>1.6500000000000001</v>
      </c>
      <c r="K25" s="41">
        <v>65.006911024318924</v>
      </c>
      <c r="L25" s="41">
        <v>11.902541842144695</v>
      </c>
      <c r="M25" s="41">
        <v>4.8776674568106575</v>
      </c>
      <c r="N25" s="41">
        <v>125.81979096946931</v>
      </c>
      <c r="O25" s="41">
        <v>9.2424329160567389</v>
      </c>
      <c r="P25" s="41">
        <v>2.776658244918691</v>
      </c>
      <c r="Q25" s="42">
        <v>2</v>
      </c>
      <c r="R25" s="43" t="s">
        <v>68</v>
      </c>
      <c r="S25" s="10" t="s">
        <v>0</v>
      </c>
    </row>
    <row r="26" spans="1:19" ht="32">
      <c r="A26" s="1" t="s">
        <v>37</v>
      </c>
      <c r="B26" s="3" t="s">
        <v>73</v>
      </c>
      <c r="C26" s="4">
        <v>42949</v>
      </c>
      <c r="D26" s="5">
        <v>0.4236111111111111</v>
      </c>
      <c r="E26" s="13">
        <v>28.3</v>
      </c>
      <c r="F26" s="13">
        <v>34.6</v>
      </c>
      <c r="G26" s="41">
        <v>6.65</v>
      </c>
      <c r="H26" s="13">
        <v>103.3</v>
      </c>
      <c r="I26" s="41">
        <v>8.0299999999999994</v>
      </c>
      <c r="J26" s="41">
        <f>AVERAGE(1.16,1.05,1.8)</f>
        <v>1.3366666666666667</v>
      </c>
      <c r="K26" s="41">
        <v>79.026150082810844</v>
      </c>
      <c r="L26" s="41">
        <v>9.7447574441864102</v>
      </c>
      <c r="M26" s="41">
        <v>6.2613827858923781</v>
      </c>
      <c r="N26" s="41">
        <v>48.266367752307893</v>
      </c>
      <c r="O26" s="41">
        <v>5.3391426644912103</v>
      </c>
      <c r="P26" s="41">
        <v>7.0435629797800505</v>
      </c>
      <c r="Q26" s="42">
        <v>2</v>
      </c>
      <c r="R26" s="43" t="s">
        <v>98</v>
      </c>
      <c r="S26" s="10" t="s">
        <v>0</v>
      </c>
    </row>
    <row r="27" spans="1:19" ht="32">
      <c r="A27" s="1" t="s">
        <v>37</v>
      </c>
      <c r="B27" s="3" t="s">
        <v>73</v>
      </c>
      <c r="C27" s="4">
        <v>42970</v>
      </c>
      <c r="D27" s="5">
        <v>0.43402777777777773</v>
      </c>
      <c r="E27" s="13">
        <v>27.8</v>
      </c>
      <c r="F27" s="13">
        <v>35</v>
      </c>
      <c r="G27" s="41">
        <v>7.06</v>
      </c>
      <c r="H27" s="13">
        <v>109.2</v>
      </c>
      <c r="I27" s="41">
        <v>8.09</v>
      </c>
      <c r="J27" s="41">
        <f>AVERAGE(1.72,1.9,1.24)</f>
        <v>1.62</v>
      </c>
      <c r="K27" s="41">
        <v>69.147103490102126</v>
      </c>
      <c r="L27" s="41">
        <v>8.6827611544737149</v>
      </c>
      <c r="M27" s="41">
        <v>5.2345397493882082</v>
      </c>
      <c r="N27" s="41">
        <v>61.943975103621803</v>
      </c>
      <c r="O27" s="41">
        <v>1.816637753063399</v>
      </c>
      <c r="P27" s="41">
        <v>2.2108309046162562</v>
      </c>
      <c r="Q27" s="42">
        <v>1</v>
      </c>
      <c r="R27" s="43" t="s">
        <v>29</v>
      </c>
      <c r="S27" s="10" t="s">
        <v>0</v>
      </c>
    </row>
    <row r="28" spans="1:19" ht="32">
      <c r="A28" s="1" t="s">
        <v>37</v>
      </c>
      <c r="B28" s="3" t="s">
        <v>73</v>
      </c>
      <c r="C28" s="4">
        <v>42991</v>
      </c>
      <c r="D28" s="49">
        <v>0.3979166666666667</v>
      </c>
      <c r="E28" s="9">
        <v>28.3</v>
      </c>
      <c r="F28" s="9">
        <v>34.9</v>
      </c>
      <c r="G28" s="8">
        <v>6.15</v>
      </c>
      <c r="H28" s="9">
        <v>95.9</v>
      </c>
      <c r="I28" s="8">
        <v>8.0399999999999991</v>
      </c>
      <c r="J28" s="8">
        <f>AVERAGE(1.18,1.21,1.06)</f>
        <v>1.1499999999999999</v>
      </c>
      <c r="K28" s="41">
        <v>62.098227088642538</v>
      </c>
      <c r="L28" s="41">
        <v>16.401443022526959</v>
      </c>
      <c r="M28" s="41">
        <v>5.564140482444845</v>
      </c>
      <c r="N28" s="41">
        <v>121.09373085089624</v>
      </c>
      <c r="O28" s="41">
        <v>9.2638843005906324</v>
      </c>
      <c r="P28" s="41">
        <v>5.3193181553937672</v>
      </c>
      <c r="Q28" s="42">
        <v>2</v>
      </c>
      <c r="R28" s="43" t="s">
        <v>114</v>
      </c>
      <c r="S28" s="10" t="s">
        <v>0</v>
      </c>
    </row>
    <row r="29" spans="1:19" ht="32">
      <c r="A29" s="1" t="s">
        <v>37</v>
      </c>
      <c r="B29" s="3" t="s">
        <v>73</v>
      </c>
      <c r="C29" s="4">
        <v>43012</v>
      </c>
      <c r="D29" s="49">
        <v>0.4236111111111111</v>
      </c>
      <c r="E29" s="9">
        <v>27.9</v>
      </c>
      <c r="F29" s="9">
        <v>34.6</v>
      </c>
      <c r="G29" s="8">
        <v>6.81</v>
      </c>
      <c r="H29" s="9">
        <v>105.3</v>
      </c>
      <c r="I29" s="8">
        <v>8.15</v>
      </c>
      <c r="J29" s="8">
        <f>AVERAGE(1.02,1.43,1.23)</f>
        <v>1.2266666666666668</v>
      </c>
      <c r="K29" s="41">
        <v>130.79046548529345</v>
      </c>
      <c r="L29" s="41">
        <v>49.423100715053003</v>
      </c>
      <c r="M29" s="41">
        <v>10.578780658539383</v>
      </c>
      <c r="N29" s="41">
        <v>122.52321114498385</v>
      </c>
      <c r="O29" s="41">
        <v>4.8754120633808986</v>
      </c>
      <c r="P29" s="41">
        <v>7.7280667429015448</v>
      </c>
      <c r="Q29" s="42">
        <v>1</v>
      </c>
      <c r="R29" s="43" t="s">
        <v>112</v>
      </c>
      <c r="S29" s="10" t="s">
        <v>0</v>
      </c>
    </row>
    <row r="30" spans="1:19" ht="32">
      <c r="A30" s="1" t="s">
        <v>37</v>
      </c>
      <c r="B30" s="3" t="s">
        <v>73</v>
      </c>
      <c r="C30" s="4">
        <v>43033</v>
      </c>
      <c r="D30" s="49">
        <v>0.42708333333333331</v>
      </c>
      <c r="E30" s="13">
        <v>27.1</v>
      </c>
      <c r="F30" s="13">
        <v>34.6</v>
      </c>
      <c r="G30" s="41">
        <v>6.59</v>
      </c>
      <c r="H30" s="13">
        <v>100.5</v>
      </c>
      <c r="I30" s="41">
        <v>8.1</v>
      </c>
      <c r="J30" s="41">
        <f>AVERAGE(1.47,1.63,1.82)</f>
        <v>1.64</v>
      </c>
      <c r="K30" s="41">
        <v>68.200171150648885</v>
      </c>
      <c r="L30" s="41">
        <v>10.76771766109534</v>
      </c>
      <c r="M30" s="41">
        <v>5.7282361022589852</v>
      </c>
      <c r="N30" s="41">
        <v>167.62770867670204</v>
      </c>
      <c r="O30" s="41">
        <v>8.2033467565438141</v>
      </c>
      <c r="P30" s="41">
        <v>6.8010813543640127</v>
      </c>
      <c r="Q30" s="42">
        <v>3</v>
      </c>
      <c r="R30" s="43" t="s">
        <v>32</v>
      </c>
      <c r="S30" s="10" t="s">
        <v>31</v>
      </c>
    </row>
    <row r="31" spans="1:19" ht="32">
      <c r="A31" s="1" t="s">
        <v>37</v>
      </c>
      <c r="B31" s="3" t="s">
        <v>73</v>
      </c>
      <c r="C31" s="4">
        <v>43054</v>
      </c>
      <c r="D31" s="49">
        <v>0.4201388888888889</v>
      </c>
      <c r="E31" s="13">
        <v>25.5</v>
      </c>
      <c r="F31" s="13">
        <v>35</v>
      </c>
      <c r="G31" s="41">
        <v>6.62</v>
      </c>
      <c r="H31" s="13">
        <v>98.4</v>
      </c>
      <c r="I31" s="41">
        <v>8.09</v>
      </c>
      <c r="J31" s="41">
        <f>AVERAGE(1.34,1.32,1.55)</f>
        <v>1.4033333333333333</v>
      </c>
      <c r="K31" s="41">
        <v>100.75659825088898</v>
      </c>
      <c r="L31" s="41">
        <v>18.584669733293985</v>
      </c>
      <c r="M31" s="41">
        <v>8.0114979125501993</v>
      </c>
      <c r="N31" s="41">
        <v>158.0631191690525</v>
      </c>
      <c r="O31" s="41">
        <v>5.2928090688525495</v>
      </c>
      <c r="P31" s="41">
        <v>8.1757589394967081</v>
      </c>
      <c r="Q31" s="42">
        <v>1</v>
      </c>
      <c r="R31" s="43" t="s">
        <v>38</v>
      </c>
      <c r="S31" s="10" t="s">
        <v>31</v>
      </c>
    </row>
    <row r="32" spans="1:19" ht="32">
      <c r="A32" s="1" t="s">
        <v>37</v>
      </c>
      <c r="B32" s="3" t="s">
        <v>73</v>
      </c>
      <c r="C32" s="4">
        <v>43075</v>
      </c>
      <c r="D32" s="49">
        <v>0.42222222222222222</v>
      </c>
      <c r="E32" s="13">
        <v>24.6</v>
      </c>
      <c r="F32" s="13">
        <v>34.799999999999997</v>
      </c>
      <c r="G32" s="41">
        <v>6.96</v>
      </c>
      <c r="H32" s="13">
        <v>101.4</v>
      </c>
      <c r="I32" s="41">
        <v>8.16</v>
      </c>
      <c r="J32" s="41">
        <f>AVERAGE(1.39,1.41,1.33)</f>
        <v>1.3766666666666667</v>
      </c>
      <c r="K32" s="41"/>
      <c r="O32" s="41"/>
      <c r="P32" s="41"/>
      <c r="Q32" s="42">
        <v>3</v>
      </c>
      <c r="R32" s="43" t="s">
        <v>55</v>
      </c>
      <c r="S32" s="10" t="s">
        <v>31</v>
      </c>
    </row>
    <row r="33" spans="1:19" ht="32">
      <c r="A33" s="1" t="s">
        <v>37</v>
      </c>
      <c r="B33" s="3" t="s">
        <v>73</v>
      </c>
      <c r="C33" s="4">
        <v>43089</v>
      </c>
      <c r="D33" s="49">
        <v>0.42708333333333331</v>
      </c>
      <c r="E33" s="13">
        <v>24.6</v>
      </c>
      <c r="F33" s="13">
        <v>35</v>
      </c>
      <c r="G33" s="41">
        <v>6.35</v>
      </c>
      <c r="H33" s="13">
        <v>93.2</v>
      </c>
      <c r="I33" s="41">
        <v>8.08</v>
      </c>
      <c r="J33" s="41">
        <f>AVERAGE(2.48,2.89,2.56)</f>
        <v>2.6433333333333331</v>
      </c>
      <c r="K33" s="41"/>
      <c r="O33" s="41"/>
      <c r="P33" s="41"/>
      <c r="Q33" s="42">
        <v>1</v>
      </c>
      <c r="R33" s="43" t="s">
        <v>77</v>
      </c>
      <c r="S33" s="10" t="s">
        <v>31</v>
      </c>
    </row>
    <row r="34" spans="1:19" ht="32">
      <c r="A34" s="1" t="s">
        <v>37</v>
      </c>
      <c r="B34" s="3" t="s">
        <v>73</v>
      </c>
      <c r="C34" s="4">
        <v>43110</v>
      </c>
      <c r="D34" s="49">
        <v>0.42986111111111108</v>
      </c>
      <c r="E34" s="52">
        <v>24.5</v>
      </c>
      <c r="F34" s="52">
        <v>34.5</v>
      </c>
      <c r="G34" s="41">
        <v>7.38</v>
      </c>
      <c r="H34" s="52">
        <v>107.2</v>
      </c>
      <c r="I34" s="41">
        <v>8.1300000000000008</v>
      </c>
      <c r="J34" s="41">
        <f>AVERAGE(2.92,2.87,2.75)</f>
        <v>2.8466666666666662</v>
      </c>
      <c r="K34" s="41"/>
      <c r="O34" s="41"/>
      <c r="P34" s="41"/>
      <c r="Q34" s="42">
        <v>3</v>
      </c>
      <c r="R34" s="43" t="s">
        <v>20</v>
      </c>
      <c r="S34" s="10" t="s">
        <v>31</v>
      </c>
    </row>
    <row r="35" spans="1:19" ht="32">
      <c r="A35" s="1" t="s">
        <v>37</v>
      </c>
      <c r="B35" s="3" t="s">
        <v>73</v>
      </c>
      <c r="C35" s="4">
        <v>43131</v>
      </c>
      <c r="D35" s="49">
        <v>0.41319444444444442</v>
      </c>
      <c r="E35" s="52">
        <v>24.6</v>
      </c>
      <c r="F35" s="52">
        <v>34.6</v>
      </c>
      <c r="G35" s="41">
        <v>6.92</v>
      </c>
      <c r="H35" s="52">
        <v>101.5</v>
      </c>
      <c r="I35" s="41">
        <v>8.07</v>
      </c>
      <c r="J35" s="41">
        <f>AVERAGE(4.46,5.28,4.69)</f>
        <v>4.8099999999999996</v>
      </c>
      <c r="K35" s="41"/>
      <c r="O35" s="41"/>
      <c r="P35" s="41"/>
      <c r="Q35" s="42">
        <v>1</v>
      </c>
      <c r="R35" s="43" t="s">
        <v>18</v>
      </c>
      <c r="S35" s="10" t="s">
        <v>31</v>
      </c>
    </row>
    <row r="36" spans="1:19">
      <c r="E36" s="52"/>
      <c r="F36" s="52"/>
      <c r="G36" s="51"/>
      <c r="H36" s="52"/>
      <c r="I36" s="51"/>
      <c r="J36" s="51"/>
      <c r="K36" s="51"/>
      <c r="L36" s="51"/>
      <c r="M36" s="51"/>
      <c r="N36" s="51"/>
      <c r="O36" s="51"/>
      <c r="P36" s="51"/>
      <c r="Q36" s="42"/>
      <c r="R36" s="43"/>
    </row>
    <row r="37" spans="1:19">
      <c r="E37" s="52"/>
      <c r="F37" s="52"/>
      <c r="G37" s="41"/>
      <c r="H37" s="52"/>
      <c r="I37" s="41"/>
      <c r="J37" s="41"/>
      <c r="K37" s="41"/>
      <c r="O37" s="41"/>
      <c r="P37" s="41"/>
      <c r="Q37" s="42"/>
      <c r="R37" s="43"/>
    </row>
    <row r="42" spans="1:19">
      <c r="J42" s="25">
        <f>GEOMEAN(J2:J39)</f>
        <v>1.8930617635896876</v>
      </c>
      <c r="K42" s="18">
        <f>GEOMEAN(K2:K39)</f>
        <v>76.98908888271734</v>
      </c>
      <c r="L42" s="41">
        <f t="shared" ref="L42:N42" si="0">GEOMEAN(L2:L39)</f>
        <v>11.565298494854339</v>
      </c>
      <c r="M42" s="41">
        <f t="shared" si="0"/>
        <v>5.4057878682352118</v>
      </c>
      <c r="N42" s="41">
        <f t="shared" si="0"/>
        <v>98.062831930895001</v>
      </c>
      <c r="O42" s="25">
        <f t="shared" ref="O42:P42" si="1">GEOMEAN(O2:O39)</f>
        <v>5.2350666678722773</v>
      </c>
      <c r="P42" s="25">
        <f t="shared" si="1"/>
        <v>4.877953136532355</v>
      </c>
      <c r="S42" s="10" t="s">
        <v>91</v>
      </c>
    </row>
    <row r="43" spans="1:19">
      <c r="D43" s="49">
        <f>AVERAGE(D2:D39)</f>
        <v>0.42536764705882357</v>
      </c>
      <c r="E43" s="18">
        <f>AVERAGE(E2:E39)</f>
        <v>26.741176470588233</v>
      </c>
      <c r="F43" s="41">
        <f t="shared" ref="F43:H43" si="2">AVERAGE(F2:F39)</f>
        <v>34.711764705882352</v>
      </c>
      <c r="G43" s="41">
        <f t="shared" si="2"/>
        <v>6.8985294117647058</v>
      </c>
      <c r="H43" s="41">
        <f t="shared" si="2"/>
        <v>103.92647058823529</v>
      </c>
      <c r="I43" s="18">
        <f>AVERAGE(I2:I39)</f>
        <v>8.0958823529411745</v>
      </c>
      <c r="J43" s="18">
        <f>AVERAGE(J2:J39)</f>
        <v>2.0943382352941176</v>
      </c>
      <c r="K43" s="18">
        <f>AVERAGE(K2:K39)</f>
        <v>78.250606038032331</v>
      </c>
      <c r="L43" s="41">
        <f t="shared" ref="L43:N43" si="3">AVERAGE(L2:L39)</f>
        <v>12.698416930830216</v>
      </c>
      <c r="M43" s="41">
        <f t="shared" si="3"/>
        <v>5.5635167450327678</v>
      </c>
      <c r="N43" s="41">
        <f t="shared" si="3"/>
        <v>105.81452039683704</v>
      </c>
      <c r="O43" s="18">
        <f t="shared" ref="O43:P43" si="4">AVERAGE(O2:O39)</f>
        <v>5.861856240530475</v>
      </c>
      <c r="P43" s="18">
        <f t="shared" si="4"/>
        <v>5.5086590216977331</v>
      </c>
      <c r="S43" s="10" t="s">
        <v>92</v>
      </c>
    </row>
    <row r="44" spans="1:19">
      <c r="E44" s="41">
        <f>STDEV(E2:E39)</f>
        <v>1.4674483413671406</v>
      </c>
      <c r="F44" s="41">
        <f t="shared" ref="F44:H44" si="5">STDEV(F2:F39)</f>
        <v>1.5499295596667704</v>
      </c>
      <c r="G44" s="41">
        <f t="shared" si="5"/>
        <v>0.44191821780728469</v>
      </c>
      <c r="H44" s="41">
        <f t="shared" si="5"/>
        <v>5.005167561360274</v>
      </c>
      <c r="I44" s="18">
        <f>STDEV(I2:I39)</f>
        <v>5.4723417349688323E-2</v>
      </c>
      <c r="J44" s="18">
        <f>STDEV(J2:J39)</f>
        <v>1.0364067965596524</v>
      </c>
      <c r="K44" s="18">
        <f>STDEV(K2:K39)</f>
        <v>15.548136976352863</v>
      </c>
      <c r="L44" s="41">
        <f t="shared" ref="L44:N44" si="6">STDEV(L2:L39)</f>
        <v>7.6446558474849153</v>
      </c>
      <c r="M44" s="41">
        <f t="shared" si="6"/>
        <v>1.4860017008875099</v>
      </c>
      <c r="N44" s="41">
        <f t="shared" si="6"/>
        <v>41.476389112941703</v>
      </c>
      <c r="O44" s="18">
        <f t="shared" ref="O44:P44" si="7">STDEV(O2:O39)</f>
        <v>3.8595735619162399</v>
      </c>
      <c r="P44" s="18">
        <f t="shared" si="7"/>
        <v>2.927650772732513</v>
      </c>
      <c r="S44" s="10" t="s">
        <v>93</v>
      </c>
    </row>
    <row r="45" spans="1:19">
      <c r="J45" s="18"/>
    </row>
    <row r="46" spans="1:19">
      <c r="J46" s="18">
        <f>J42/0.2</f>
        <v>9.4653088179484381</v>
      </c>
      <c r="K46" s="18">
        <f>K42/110</f>
        <v>0.69990080802470311</v>
      </c>
      <c r="L46" s="41">
        <f>L42/16</f>
        <v>0.7228311559283962</v>
      </c>
      <c r="M46" s="41">
        <f>M42/6</f>
        <v>0.90096464470586868</v>
      </c>
      <c r="N46" s="41">
        <f>N42</f>
        <v>98.062831930895001</v>
      </c>
      <c r="O46" s="18">
        <f>O42/3.5</f>
        <v>1.4957333336777936</v>
      </c>
      <c r="P46" s="18">
        <f>P42/2</f>
        <v>2.4389765682661775</v>
      </c>
      <c r="S46" s="10" t="s">
        <v>60</v>
      </c>
    </row>
  </sheetData>
  <phoneticPr fontId="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28</vt:i4>
      </vt:variant>
    </vt:vector>
  </HeadingPairs>
  <TitlesOfParts>
    <vt:vector size="34" baseType="lpstr">
      <vt:lpstr>505 Front</vt:lpstr>
      <vt:lpstr>Lindsey Hale</vt:lpstr>
      <vt:lpstr>Lahaina Town</vt:lpstr>
      <vt:lpstr>Puamana</vt:lpstr>
      <vt:lpstr>Launiupoko</vt:lpstr>
      <vt:lpstr>Olowalu Shore Front</vt:lpstr>
      <vt:lpstr>PFF turb</vt:lpstr>
      <vt:lpstr>PFF pH</vt:lpstr>
      <vt:lpstr>PFF temp</vt:lpstr>
      <vt:lpstr>PFF Silicates vs Nitrogen</vt:lpstr>
      <vt:lpstr>PLH Turb</vt:lpstr>
      <vt:lpstr>PLH N</vt:lpstr>
      <vt:lpstr>PLH pH</vt:lpstr>
      <vt:lpstr>PLH temp</vt:lpstr>
      <vt:lpstr>Tide</vt:lpstr>
      <vt:lpstr>PLH Si NNN Correl</vt:lpstr>
      <vt:lpstr>PLH Salinity</vt:lpstr>
      <vt:lpstr>PLT Turb</vt:lpstr>
      <vt:lpstr>PLT Nutrients</vt:lpstr>
      <vt:lpstr>PLT pH</vt:lpstr>
      <vt:lpstr>PLT temp</vt:lpstr>
      <vt:lpstr>PLT Si NNN Correl</vt:lpstr>
      <vt:lpstr>PLT salinity</vt:lpstr>
      <vt:lpstr>PPU turb</vt:lpstr>
      <vt:lpstr>PPU temp</vt:lpstr>
      <vt:lpstr>PPU pH</vt:lpstr>
      <vt:lpstr>PPU Silicates cor NNN</vt:lpstr>
      <vt:lpstr>OLP turb</vt:lpstr>
      <vt:lpstr>OLP pH</vt:lpstr>
      <vt:lpstr>OLP temp</vt:lpstr>
      <vt:lpstr>pH (OSF)</vt:lpstr>
      <vt:lpstr>OSF turb</vt:lpstr>
      <vt:lpstr>OSF temp</vt:lpstr>
      <vt:lpstr>OSF Silicates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Reed</dc:creator>
  <cp:lastModifiedBy>Dana Reed</cp:lastModifiedBy>
  <dcterms:created xsi:type="dcterms:W3CDTF">2016-07-06T01:43:01Z</dcterms:created>
  <dcterms:modified xsi:type="dcterms:W3CDTF">2018-02-07T23:00:39Z</dcterms:modified>
</cp:coreProperties>
</file>