
<file path=[Content_Types].xml><?xml version="1.0" encoding="utf-8"?>
<Types xmlns="http://schemas.openxmlformats.org/package/2006/content-types">
  <Override PartName="/xl/drawings/drawing23.xml" ContentType="application/vnd.openxmlformats-officedocument.drawing+xml"/>
  <Override PartName="/xl/chartsheets/sheet1.xml" ContentType="application/vnd.openxmlformats-officedocument.spreadsheetml.chartsheet+xml"/>
  <Override PartName="/xl/charts/chart18.xml" ContentType="application/vnd.openxmlformats-officedocument.drawingml.chart+xml"/>
  <Override PartName="/xl/chartsheets/sheet37.xml" ContentType="application/vnd.openxmlformats-officedocument.spreadsheetml.chartsheet+xml"/>
  <Override PartName="/xl/chartsheets/sheet21.xml" ContentType="application/vnd.openxmlformats-officedocument.spreadsheetml.chartsheet+xml"/>
  <Override PartName="/xl/chartsheets/sheet18.xml" ContentType="application/vnd.openxmlformats-officedocument.spreadsheetml.chartsheet+xml"/>
  <Override PartName="/xl/charts/chart37.xml" ContentType="application/vnd.openxmlformats-officedocument.drawingml.chart+xml"/>
  <Override PartName="/xl/comments2.xml" ContentType="application/vnd.openxmlformats-officedocument.spreadsheetml.comments+xml"/>
  <Override PartName="/xl/worksheets/sheet6.xml" ContentType="application/vnd.openxmlformats-officedocument.spreadsheetml.worksheet+xml"/>
  <Override PartName="/xl/drawings/drawing25.xml" ContentType="application/vnd.openxmlformats-officedocument.drawing+xml"/>
  <Override PartName="/xl/drawings/drawing11.xml" ContentType="application/vnd.openxmlformats-officedocument.drawing+xml"/>
  <Override PartName="/xl/drawings/drawing30.xml" ContentType="application/vnd.openxmlformats-officedocument.drawing+xml"/>
  <Override PartName="/xl/charts/chart25.xml" ContentType="application/vnd.openxmlformats-officedocument.drawingml.chart+xml"/>
  <Override PartName="/xl/chartsheets/sheet5.xml" ContentType="application/vnd.openxmlformats-officedocument.spreadsheetml.chartsheet+xml"/>
  <Override PartName="/xl/chartsheets/sheet25.xml" ContentType="application/vnd.openxmlformats-officedocument.spreadsheetml.chartsheet+xml"/>
  <Override PartName="/xl/charts/chart11.xml" ContentType="application/vnd.openxmlformats-officedocument.drawingml.chart+xml"/>
  <Override PartName="/xl/chartsheets/sheet30.xml" ContentType="application/vnd.openxmlformats-officedocument.spreadsheetml.chartsheet+xml"/>
  <Override PartName="/xl/chartsheets/sheet11.xml" ContentType="application/vnd.openxmlformats-officedocument.spreadsheetml.chartsheet+xml"/>
  <Override PartName="/xl/charts/chart30.xml" ContentType="application/vnd.openxmlformats-officedocument.drawingml.chart+xml"/>
  <Override PartName="/xl/drawings/drawing3.xml" ContentType="application/vnd.openxmlformats-officedocument.drawing+xml"/>
  <Override PartName="/xl/drawings/drawing29.xml" ContentType="application/vnd.openxmlformats-officedocument.drawing+xml"/>
  <Override PartName="/xl/comments6.xml" ContentType="application/vnd.openxmlformats-officedocument.spreadsheetml.comments+xml"/>
  <Override PartName="/xl/charts/chart6.xml" ContentType="application/vnd.openxmlformats-officedocument.drawingml.chart+xml"/>
  <Override PartName="/xl/drawings/drawing15.xml" ContentType="application/vnd.openxmlformats-officedocument.drawing+xml"/>
  <Override PartName="/xl/drawings/drawing34.xml" ContentType="application/vnd.openxmlformats-officedocument.drawing+xml"/>
  <Override PartName="/xl/chartsheets/sheet9.xml" ContentType="application/vnd.openxmlformats-officedocument.spreadsheetml.chartsheet+xml"/>
  <Override PartName="/xl/chartsheets/sheet29.xml" ContentType="application/vnd.openxmlformats-officedocument.spreadsheetml.chartsheet+xml"/>
  <Override PartName="/xl/worksheets/sheet1.xml" ContentType="application/vnd.openxmlformats-officedocument.spreadsheetml.worksheet+xml"/>
  <Override PartName="/xl/drawings/drawing20.xml" ContentType="application/vnd.openxmlformats-officedocument.drawing+xml"/>
  <Override PartName="/xl/charts/chart29.xml" ContentType="application/vnd.openxmlformats-officedocument.drawingml.chart+xml"/>
  <Override PartName="/xl/chartsheets/sheet15.xml" ContentType="application/vnd.openxmlformats-officedocument.spreadsheetml.chartsheet+xml"/>
  <Override PartName="/xl/charts/chart15.xml" ContentType="application/vnd.openxmlformats-officedocument.drawingml.chart+xml"/>
  <Override PartName="/xl/chartsheets/sheet34.xml" ContentType="application/vnd.openxmlformats-officedocument.spreadsheetml.chartsheet+xml"/>
  <Override PartName="/xl/charts/chart34.xml" ContentType="application/vnd.openxmlformats-officedocument.drawingml.chart+xml"/>
  <Override PartName="/xl/drawings/drawing7.xml" ContentType="application/vnd.openxmlformats-officedocument.drawing+xml"/>
  <Override PartName="/xl/charts/chart20.xml" ContentType="application/vnd.openxmlformats-officedocument.drawingml.chart+xml"/>
  <Override PartName="/xl/worksheets/sheet3.xml" ContentType="application/vnd.openxmlformats-officedocument.spreadsheetml.worksheet+xml"/>
  <Override PartName="/xl/drawings/drawing19.xml" ContentType="application/vnd.openxmlformats-officedocument.drawing+xml"/>
  <Override PartName="/xl/drawings/drawing38.xml" ContentType="application/vnd.openxmlformats-officedocument.drawing+xml"/>
  <Override PartName="/xl/drawings/drawing24.xml" ContentType="application/vnd.openxmlformats-officedocument.drawing+xml"/>
  <Override PartName="/xl/chartsheets/sheet2.xml" ContentType="application/vnd.openxmlformats-officedocument.spreadsheetml.chartsheet+xml"/>
  <Override PartName="/xl/charts/chart19.xml" ContentType="application/vnd.openxmlformats-officedocument.drawingml.chart+xml"/>
  <Override PartName="/xl/chartsheets/sheet38.xml" ContentType="application/vnd.openxmlformats-officedocument.spreadsheetml.chartsheet+xml"/>
  <Override PartName="/xl/chartsheets/sheet22.xml" ContentType="application/vnd.openxmlformats-officedocument.spreadsheetml.chartsheet+xml"/>
  <Override PartName="/xl/chartsheets/sheet19.xml" ContentType="application/vnd.openxmlformats-officedocument.spreadsheetml.chartsheet+xml"/>
  <Override PartName="/xl/charts/chart1.xml" ContentType="application/vnd.openxmlformats-officedocument.drawingml.chart+xml"/>
  <Override PartName="/xl/charts/chart38.xml" ContentType="application/vnd.openxmlformats-officedocument.drawingml.chart+xml"/>
  <Override PartName="/xl/comments3.xml" ContentType="application/vnd.openxmlformats-officedocument.spreadsheetml.comments+xml"/>
  <Override PartName="/xl/styles.xml" ContentType="application/vnd.openxmlformats-officedocument.spreadsheetml.styles+xml"/>
  <Override PartName="/xl/drawings/drawing26.xml" ContentType="application/vnd.openxmlformats-officedocument.drawing+xml"/>
  <Override PartName="/xl/drawings/drawing12.xml" ContentType="application/vnd.openxmlformats-officedocument.drawing+xml"/>
  <Override PartName="/xl/drawings/drawing31.xml" ContentType="application/vnd.openxmlformats-officedocument.drawing+xml"/>
  <Override PartName="/xl/charts/chart26.xml" ContentType="application/vnd.openxmlformats-officedocument.drawingml.chart+xml"/>
  <Override PartName="/xl/chartsheets/sheet6.xml" ContentType="application/vnd.openxmlformats-officedocument.spreadsheetml.chartsheet+xml"/>
  <Override PartName="/xl/chartsheets/sheet26.xml" ContentType="application/vnd.openxmlformats-officedocument.spreadsheetml.chartsheet+xml"/>
  <Override PartName="/xl/charts/chart12.xml" ContentType="application/vnd.openxmlformats-officedocument.drawingml.chart+xml"/>
  <Override PartName="/xl/chartsheets/sheet31.xml" ContentType="application/vnd.openxmlformats-officedocument.spreadsheetml.chartsheet+xml"/>
  <Override PartName="/xl/chartsheets/sheet12.xml" ContentType="application/vnd.openxmlformats-officedocument.spreadsheetml.chartsheet+xml"/>
  <Override PartName="/xl/charts/chart3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xl/charts/chart7.xml" ContentType="application/vnd.openxmlformats-officedocument.drawingml.chart+xml"/>
  <Override PartName="/xl/drawings/drawing16.xml" ContentType="application/vnd.openxmlformats-officedocument.drawing+xml"/>
  <Override PartName="/xl/drawings/drawing35.xml" ContentType="application/vnd.openxmlformats-officedocument.drawing+xml"/>
  <Default Extension="vml" ContentType="application/vnd.openxmlformats-officedocument.vmlDrawing"/>
  <Override PartName="/xl/worksheets/sheet2.xml" ContentType="application/vnd.openxmlformats-officedocument.spreadsheetml.worksheet+xml"/>
  <Override PartName="/xl/drawings/drawing21.xml" ContentType="application/vnd.openxmlformats-officedocument.drawing+xml"/>
  <Override PartName="/xl/charts/chart16.xml" ContentType="application/vnd.openxmlformats-officedocument.drawingml.chart+xml"/>
  <Override PartName="/xl/chartsheets/sheet35.xml" ContentType="application/vnd.openxmlformats-officedocument.spreadsheetml.chartsheet+xml"/>
  <Override PartName="/xl/chartsheets/sheet16.xml" ContentType="application/vnd.openxmlformats-officedocument.spreadsheetml.chartsheet+xml"/>
  <Override PartName="/xl/charts/chart35.xml" ContentType="application/vnd.openxmlformats-officedocument.drawingml.chart+xml"/>
  <Override PartName="/xl/drawings/drawing8.xml" ContentType="application/vnd.openxmlformats-officedocument.drawing+xml"/>
  <Override PartName="/xl/theme/theme1.xml" ContentType="application/vnd.openxmlformats-officedocument.theme+xml"/>
  <Override PartName="/xl/charts/chart21.xml" ContentType="application/vnd.openxmlformats-officedocument.drawingml.chart+xml"/>
  <Override PartName="/xl/worksheets/sheet4.xml" ContentType="application/vnd.openxmlformats-officedocument.spreadsheetml.worksheet+xml"/>
  <Override PartName="/xl/drawings/drawing39.xml" ContentType="application/vnd.openxmlformats-officedocument.drawing+xml"/>
  <Default Extension="rels" ContentType="application/vnd.openxmlformats-package.relationships+xml"/>
  <Override PartName="/xl/chartsheets/sheet3.xml" ContentType="application/vnd.openxmlformats-officedocument.spreadsheetml.chartsheet+xml"/>
  <Override PartName="/xl/chartsheets/sheet23.xml" ContentType="application/vnd.openxmlformats-officedocument.spreadsheetml.chartsheet+xml"/>
  <Override PartName="/xl/chartsheets/sheet39.xml" ContentType="application/vnd.openxmlformats-officedocument.spreadsheetml.chartsheet+xml"/>
  <Override PartName="/xl/charts/chart23.xml" ContentType="application/vnd.openxmlformats-officedocument.drawingml.chart+xml"/>
  <Override PartName="/xl/charts/chart2.xml" ContentType="application/vnd.openxmlformats-officedocument.drawingml.chart+xml"/>
  <Override PartName="/xl/charts/chart39.xml" ContentType="application/vnd.openxmlformats-officedocument.drawingml.chart+xml"/>
  <Override PartName="/xl/comments4.xml" ContentType="application/vnd.openxmlformats-officedocument.spreadsheetml.comments+xml"/>
  <Override PartName="/xl/drawings/drawing1.xml" ContentType="application/vnd.openxmlformats-officedocument.drawing+xml"/>
  <Override PartName="/xl/drawings/drawing27.xml" ContentType="application/vnd.openxmlformats-officedocument.drawing+xml"/>
  <Override PartName="/xl/sharedStrings.xml" ContentType="application/vnd.openxmlformats-officedocument.spreadsheetml.sharedStrings+xml"/>
  <Override PartName="/xl/drawings/drawing13.xml" ContentType="application/vnd.openxmlformats-officedocument.drawing+xml"/>
  <Override PartName="/xl/charts/chart4.xml" ContentType="application/vnd.openxmlformats-officedocument.drawingml.chart+xml"/>
  <Override PartName="/xl/drawings/drawing32.xml" ContentType="application/vnd.openxmlformats-officedocument.drawing+xml"/>
  <Override PartName="/xl/charts/chart27.xml" ContentType="application/vnd.openxmlformats-officedocument.drawingml.chart+xml"/>
  <Override PartName="/xl/chartsheets/sheet7.xml" ContentType="application/vnd.openxmlformats-officedocument.spreadsheetml.chartsheet+xml"/>
  <Override PartName="/xl/chartsheets/sheet27.xml" ContentType="application/vnd.openxmlformats-officedocument.spreadsheetml.chartsheet+xml"/>
  <Override PartName="/xl/chartsheets/sheet13.xml" ContentType="application/vnd.openxmlformats-officedocument.spreadsheetml.chartsheet+xml"/>
  <Override PartName="/xl/chartsheets/sheet32.xml" ContentType="application/vnd.openxmlformats-officedocument.spreadsheetml.chartsheet+xml"/>
  <Override PartName="/xl/charts/chart13.xml" ContentType="application/vnd.openxmlformats-officedocument.drawingml.chart+xml"/>
  <Override PartName="/xl/charts/chart32.xml" ContentType="application/vnd.openxmlformats-officedocument.drawingml.chart+xml"/>
  <Override PartName="/xl/drawings/drawing5.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drawings/drawing36.xml" ContentType="application/vnd.openxmlformats-officedocument.drawing+xml"/>
  <Default Extension="xml" ContentType="application/xml"/>
  <Override PartName="/xl/drawings/drawing22.xml" ContentType="application/vnd.openxmlformats-officedocument.drawing+xml"/>
  <Override PartName="/xl/chartsheets/sheet20.xml" ContentType="application/vnd.openxmlformats-officedocument.spreadsheetml.chartsheet+xml"/>
  <Override PartName="/xl/charts/chart17.xml" ContentType="application/vnd.openxmlformats-officedocument.drawingml.chart+xml"/>
  <Override PartName="/xl/chartsheets/sheet36.xml" ContentType="application/vnd.openxmlformats-officedocument.spreadsheetml.chartsheet+xml"/>
  <Override PartName="/xl/chartsheets/sheet17.xml" ContentType="application/vnd.openxmlformats-officedocument.spreadsheetml.chartsheet+xml"/>
  <Override PartName="/xl/charts/chart36.xml" ContentType="application/vnd.openxmlformats-officedocument.drawingml.chart+xml"/>
  <Override PartName="/xl/drawings/drawing9.xml" ContentType="application/vnd.openxmlformats-officedocument.drawing+xml"/>
  <Override PartName="/docProps/app.xml" ContentType="application/vnd.openxmlformats-officedocument.extended-properties+xml"/>
  <Override PartName="/xl/comments1.xml" ContentType="application/vnd.openxmlformats-officedocument.spreadsheetml.comments+xml"/>
  <Override PartName="/xl/charts/chart22.xml" ContentType="application/vnd.openxmlformats-officedocument.drawingml.chart+xml"/>
  <Override PartName="/xl/worksheets/sheet5.xml" ContentType="application/vnd.openxmlformats-officedocument.spreadsheetml.worksheet+xml"/>
  <Override PartName="/xl/drawings/drawing10.xml" ContentType="application/vnd.openxmlformats-officedocument.drawing+xml"/>
  <Override PartName="/xl/chartsheets/sheet24.xml" ContentType="application/vnd.openxmlformats-officedocument.spreadsheetml.chartsheet+xml"/>
  <Override PartName="/xl/charts/chart24.xml" ContentType="application/vnd.openxmlformats-officedocument.drawingml.chart+xml"/>
  <Override PartName="/xl/chartsheets/sheet4.xml" ContentType="application/vnd.openxmlformats-officedocument.spreadsheetml.chartsheet+xml"/>
  <Override PartName="/xl/charts/chart3.xml" ContentType="application/vnd.openxmlformats-officedocument.drawingml.chart+xml"/>
  <Override PartName="/xl/workbook.xml" ContentType="application/vnd.openxmlformats-officedocument.spreadsheetml.sheet.main+xml"/>
  <Override PartName="/xl/charts/chart10.xml" ContentType="application/vnd.openxmlformats-officedocument.drawingml.chart+xml"/>
  <Override PartName="/xl/chartsheets/sheet10.xml" ContentType="application/vnd.openxmlformats-officedocument.spreadsheetml.chartsheet+xml"/>
  <Override PartName="/xl/comments5.xml" ContentType="application/vnd.openxmlformats-officedocument.spreadsheetml.comments+xml"/>
  <Override PartName="/xl/drawings/drawing2.xml" ContentType="application/vnd.openxmlformats-officedocument.drawing+xml"/>
  <Override PartName="/xl/drawings/drawing28.xml" ContentType="application/vnd.openxmlformats-officedocument.drawing+xml"/>
  <Override PartName="/xl/charts/chart5.xml" ContentType="application/vnd.openxmlformats-officedocument.drawingml.chart+xml"/>
  <Override PartName="/xl/drawings/drawing14.xml" ContentType="application/vnd.openxmlformats-officedocument.drawing+xml"/>
  <Override PartName="/xl/drawings/drawing33.xml" ContentType="application/vnd.openxmlformats-officedocument.drawing+xml"/>
  <Override PartName="/xl/charts/chart28.xml" ContentType="application/vnd.openxmlformats-officedocument.drawingml.chart+xml"/>
  <Override PartName="/xl/chartsheets/sheet8.xml" ContentType="application/vnd.openxmlformats-officedocument.spreadsheetml.chartsheet+xml"/>
  <Override PartName="/xl/chartsheets/sheet28.xml" ContentType="application/vnd.openxmlformats-officedocument.spreadsheetml.chartsheet+xml"/>
  <Override PartName="/xl/chartsheets/sheet14.xml" ContentType="application/vnd.openxmlformats-officedocument.spreadsheetml.chartsheet+xml"/>
  <Override PartName="/xl/charts/chart14.xml" ContentType="application/vnd.openxmlformats-officedocument.drawingml.chart+xml"/>
  <Override PartName="/xl/chartsheets/sheet33.xml" ContentType="application/vnd.openxmlformats-officedocument.spreadsheetml.chartsheet+xml"/>
  <Override PartName="/xl/charts/chart33.xml" ContentType="application/vnd.openxmlformats-officedocument.drawingml.chart+xml"/>
  <Override PartName="/xl/drawings/drawing6.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drawings/drawing37.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560" yWindow="480" windowWidth="21640" windowHeight="13940" tabRatio="500" firstSheet="22" activeTab="25"/>
  </bookViews>
  <sheets>
    <sheet name="RNS turb" sheetId="26" r:id="rId1"/>
    <sheet name="RNS pH" sheetId="27" r:id="rId2"/>
    <sheet name="RNS temp" sheetId="28" r:id="rId3"/>
    <sheet name="RNS Silicates" sheetId="29" r:id="rId4"/>
    <sheet name="RNS Si vs NNN correlation" sheetId="44" r:id="rId5"/>
    <sheet name="RNS Phosphorous" sheetId="45" r:id="rId6"/>
    <sheet name="RNS salinity" sheetId="47" r:id="rId7"/>
    <sheet name="Napili" sheetId="22" r:id="rId8"/>
    <sheet name="RPO pH" sheetId="6" r:id="rId9"/>
    <sheet name="RPO Silicates" sheetId="8" r:id="rId10"/>
    <sheet name="RPO turb" sheetId="12" r:id="rId11"/>
    <sheet name="RPO temp" sheetId="19" r:id="rId12"/>
    <sheet name="RPO NNN vs Silicates" sheetId="31" r:id="rId13"/>
    <sheet name="RPO TP vs Silicates" sheetId="35" r:id="rId14"/>
    <sheet name="RPO salinity" sheetId="46" r:id="rId15"/>
    <sheet name="RPO salinity vs NNN" sheetId="48" r:id="rId16"/>
    <sheet name="RPO NNN vs. Salinity" sheetId="49" r:id="rId17"/>
    <sheet name="Silicates v Nitrates correlatio" sheetId="51" r:id="rId18"/>
    <sheet name="Pohaku" sheetId="1" r:id="rId19"/>
    <sheet name="RKS turb" sheetId="10" r:id="rId20"/>
    <sheet name="RKS pH" sheetId="13" r:id="rId21"/>
    <sheet name="RKS temp" sheetId="20" r:id="rId22"/>
    <sheet name="RKS Salinity" sheetId="33" r:id="rId23"/>
    <sheet name="RKS pH vs Salinity" sheetId="34" r:id="rId24"/>
    <sheet name="RKS Nitrogen vs Silicates" sheetId="37" r:id="rId25"/>
    <sheet name="Kaanapali Shores" sheetId="2" r:id="rId26"/>
    <sheet name="RAB pH" sheetId="7" r:id="rId27"/>
    <sheet name="RAB turb" sheetId="14" r:id="rId28"/>
    <sheet name="RAB temp" sheetId="21" r:id="rId29"/>
    <sheet name="RAB Nitrogen vs Silicates" sheetId="38" r:id="rId30"/>
    <sheet name="RAB Si NNN Correl" sheetId="43" r:id="rId31"/>
    <sheet name="Airport Beach" sheetId="3" r:id="rId32"/>
    <sheet name="RCB pH" sheetId="9" r:id="rId33"/>
    <sheet name="RCB turb" sheetId="15" r:id="rId34"/>
    <sheet name="RCB temp" sheetId="18" r:id="rId35"/>
    <sheet name="RCB Nitrogen vs Silicate" sheetId="39" r:id="rId36"/>
    <sheet name="RCB Si NNN Correl" sheetId="42" r:id="rId37"/>
    <sheet name="Canoe Beach" sheetId="4" r:id="rId38"/>
    <sheet name="RWA pH" sheetId="11" r:id="rId39"/>
    <sheet name="RWA turb" sheetId="16" r:id="rId40"/>
    <sheet name="RWA temp" sheetId="17" r:id="rId41"/>
    <sheet name="RWA Nitrogen vs Silicates" sheetId="40" r:id="rId42"/>
    <sheet name="RWA Si NNN Correl" sheetId="41" r:id="rId43"/>
    <sheet name="RWA salinity" sheetId="50" r:id="rId44"/>
    <sheet name="Wahikuli Beach" sheetId="5" r:id="rId45"/>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J35" i="3"/>
  <c r="J34"/>
  <c r="J33"/>
  <c r="J32"/>
  <c r="N42"/>
  <c r="N46"/>
  <c r="M42"/>
  <c r="M46"/>
  <c r="L42"/>
  <c r="L46"/>
  <c r="N44"/>
  <c r="M44"/>
  <c r="L44"/>
  <c r="N43"/>
  <c r="M43"/>
  <c r="L43"/>
  <c r="J31"/>
  <c r="J30"/>
  <c r="J29"/>
  <c r="J28"/>
  <c r="J27"/>
  <c r="D43"/>
  <c r="F44"/>
  <c r="G44"/>
  <c r="H44"/>
  <c r="E44"/>
  <c r="H43"/>
  <c r="G43"/>
  <c r="F43"/>
  <c r="J26"/>
  <c r="J25"/>
  <c r="J24"/>
  <c r="J23"/>
  <c r="J22"/>
  <c r="J21"/>
  <c r="J20"/>
  <c r="J19"/>
  <c r="J18"/>
  <c r="J17"/>
  <c r="J16"/>
  <c r="J15"/>
  <c r="J14"/>
  <c r="J13"/>
  <c r="J12"/>
  <c r="E43"/>
  <c r="I44"/>
  <c r="I43"/>
  <c r="J11"/>
  <c r="J6"/>
  <c r="J7"/>
  <c r="J8"/>
  <c r="J9"/>
  <c r="J10"/>
  <c r="J42"/>
  <c r="J46"/>
  <c r="J44"/>
  <c r="J43"/>
  <c r="P42"/>
  <c r="P46"/>
  <c r="O42"/>
  <c r="O46"/>
  <c r="K42"/>
  <c r="K46"/>
  <c r="O43"/>
  <c r="P43"/>
  <c r="O44"/>
  <c r="P44"/>
  <c r="K44"/>
  <c r="K43"/>
  <c r="J35" i="4"/>
  <c r="J34"/>
  <c r="J33"/>
  <c r="J32"/>
  <c r="N42"/>
  <c r="N46"/>
  <c r="M42"/>
  <c r="M46"/>
  <c r="L42"/>
  <c r="L46"/>
  <c r="N44"/>
  <c r="M44"/>
  <c r="L44"/>
  <c r="N43"/>
  <c r="M43"/>
  <c r="L43"/>
  <c r="J31"/>
  <c r="J30"/>
  <c r="J29"/>
  <c r="J28"/>
  <c r="J27"/>
  <c r="D43"/>
  <c r="F44"/>
  <c r="G44"/>
  <c r="H44"/>
  <c r="E44"/>
  <c r="F43"/>
  <c r="G43"/>
  <c r="H43"/>
  <c r="J26"/>
  <c r="J25"/>
  <c r="J24"/>
  <c r="J23"/>
  <c r="J22"/>
  <c r="J21"/>
  <c r="J20"/>
  <c r="J19"/>
  <c r="J18"/>
  <c r="J17"/>
  <c r="J16"/>
  <c r="J15"/>
  <c r="J14"/>
  <c r="J13"/>
  <c r="J12"/>
  <c r="E43"/>
  <c r="I44"/>
  <c r="I43"/>
  <c r="J11"/>
  <c r="J6"/>
  <c r="J7"/>
  <c r="J8"/>
  <c r="J9"/>
  <c r="J10"/>
  <c r="J42"/>
  <c r="J46"/>
  <c r="J44"/>
  <c r="J43"/>
  <c r="P42"/>
  <c r="P46"/>
  <c r="O42"/>
  <c r="O46"/>
  <c r="K42"/>
  <c r="K46"/>
  <c r="O43"/>
  <c r="P43"/>
  <c r="O44"/>
  <c r="P44"/>
  <c r="K44"/>
  <c r="K43"/>
  <c r="J35" i="2"/>
  <c r="J34"/>
  <c r="J33"/>
  <c r="J32"/>
  <c r="N42"/>
  <c r="N46"/>
  <c r="M42"/>
  <c r="M46"/>
  <c r="L42"/>
  <c r="L46"/>
  <c r="N44"/>
  <c r="M44"/>
  <c r="L44"/>
  <c r="N43"/>
  <c r="M43"/>
  <c r="L43"/>
  <c r="J31"/>
  <c r="J30"/>
  <c r="J29"/>
  <c r="J28"/>
  <c r="J27"/>
  <c r="D43"/>
  <c r="F44"/>
  <c r="G44"/>
  <c r="H44"/>
  <c r="E44"/>
  <c r="F43"/>
  <c r="G43"/>
  <c r="H43"/>
  <c r="J26"/>
  <c r="J25"/>
  <c r="J24"/>
  <c r="J23"/>
  <c r="J22"/>
  <c r="J21"/>
  <c r="J20"/>
  <c r="J19"/>
  <c r="J18"/>
  <c r="J17"/>
  <c r="J16"/>
  <c r="J15"/>
  <c r="J14"/>
  <c r="J13"/>
  <c r="J12"/>
  <c r="E43"/>
  <c r="I44"/>
  <c r="I43"/>
  <c r="J11"/>
  <c r="J6"/>
  <c r="J7"/>
  <c r="J8"/>
  <c r="J9"/>
  <c r="J10"/>
  <c r="J42"/>
  <c r="J46"/>
  <c r="J44"/>
  <c r="J43"/>
  <c r="P42"/>
  <c r="P46"/>
  <c r="O42"/>
  <c r="O46"/>
  <c r="K42"/>
  <c r="K46"/>
  <c r="O43"/>
  <c r="P43"/>
  <c r="O44"/>
  <c r="P44"/>
  <c r="K44"/>
  <c r="K43"/>
  <c r="J19" i="22"/>
  <c r="J18"/>
  <c r="J17"/>
  <c r="J16"/>
  <c r="P27"/>
  <c r="O27"/>
  <c r="N27"/>
  <c r="L27"/>
  <c r="M27"/>
  <c r="K27"/>
  <c r="N31"/>
  <c r="M31"/>
  <c r="L31"/>
  <c r="N29"/>
  <c r="M29"/>
  <c r="L29"/>
  <c r="N28"/>
  <c r="M28"/>
  <c r="L28"/>
  <c r="J15"/>
  <c r="J14"/>
  <c r="J13"/>
  <c r="J12"/>
  <c r="J11"/>
  <c r="D28"/>
  <c r="F29"/>
  <c r="G29"/>
  <c r="H29"/>
  <c r="E29"/>
  <c r="F28"/>
  <c r="G28"/>
  <c r="H28"/>
  <c r="J10"/>
  <c r="J9"/>
  <c r="J8"/>
  <c r="J7"/>
  <c r="J6"/>
  <c r="J5"/>
  <c r="J4"/>
  <c r="J3"/>
  <c r="J2"/>
  <c r="P31"/>
  <c r="O31"/>
  <c r="K31"/>
  <c r="J27"/>
  <c r="J31"/>
  <c r="P29"/>
  <c r="O29"/>
  <c r="K29"/>
  <c r="J29"/>
  <c r="I29"/>
  <c r="P28"/>
  <c r="O28"/>
  <c r="K28"/>
  <c r="J28"/>
  <c r="I28"/>
  <c r="E28"/>
  <c r="J35" i="1"/>
  <c r="D43"/>
  <c r="J29"/>
  <c r="J34"/>
  <c r="J33"/>
  <c r="J32"/>
  <c r="N42"/>
  <c r="N46"/>
  <c r="M42"/>
  <c r="M46"/>
  <c r="L42"/>
  <c r="L46"/>
  <c r="N44"/>
  <c r="M44"/>
  <c r="L44"/>
  <c r="N43"/>
  <c r="M43"/>
  <c r="L43"/>
  <c r="J31"/>
  <c r="J30"/>
  <c r="J28"/>
  <c r="J27"/>
  <c r="F44"/>
  <c r="G44"/>
  <c r="H44"/>
  <c r="E44"/>
  <c r="F43"/>
  <c r="G43"/>
  <c r="H43"/>
  <c r="J26"/>
  <c r="J25"/>
  <c r="J24"/>
  <c r="J23"/>
  <c r="J22"/>
  <c r="J21"/>
  <c r="J20"/>
  <c r="O42"/>
  <c r="P42"/>
  <c r="K42"/>
  <c r="J19"/>
  <c r="J18"/>
  <c r="J17"/>
  <c r="J16"/>
  <c r="J15"/>
  <c r="J14"/>
  <c r="J13"/>
  <c r="J12"/>
  <c r="J6"/>
  <c r="J7"/>
  <c r="J8"/>
  <c r="J9"/>
  <c r="J10"/>
  <c r="J11"/>
  <c r="J42"/>
  <c r="E43"/>
  <c r="I44"/>
  <c r="I43"/>
  <c r="J46"/>
  <c r="J44"/>
  <c r="J43"/>
  <c r="P46"/>
  <c r="O46"/>
  <c r="K46"/>
  <c r="O43"/>
  <c r="P43"/>
  <c r="O44"/>
  <c r="P44"/>
  <c r="K44"/>
  <c r="K43"/>
  <c r="J35" i="5"/>
  <c r="J34"/>
  <c r="J33"/>
  <c r="J32"/>
  <c r="N42"/>
  <c r="N46"/>
  <c r="M42"/>
  <c r="M46"/>
  <c r="L42"/>
  <c r="L46"/>
  <c r="N44"/>
  <c r="M44"/>
  <c r="L44"/>
  <c r="N43"/>
  <c r="M43"/>
  <c r="L43"/>
  <c r="J31"/>
  <c r="J30"/>
  <c r="J29"/>
  <c r="J28"/>
  <c r="J27"/>
  <c r="D43"/>
  <c r="F44"/>
  <c r="G44"/>
  <c r="H44"/>
  <c r="E44"/>
  <c r="F43"/>
  <c r="G43"/>
  <c r="H43"/>
  <c r="J26"/>
  <c r="J25"/>
  <c r="J24"/>
  <c r="J23"/>
  <c r="J22"/>
  <c r="J21"/>
  <c r="J20"/>
  <c r="J19"/>
  <c r="J18"/>
  <c r="J17"/>
  <c r="J16"/>
  <c r="J15"/>
  <c r="J14"/>
  <c r="J13"/>
  <c r="J12"/>
  <c r="E43"/>
  <c r="I44"/>
  <c r="I43"/>
  <c r="J11"/>
  <c r="J6"/>
  <c r="J7"/>
  <c r="J8"/>
  <c r="J9"/>
  <c r="J10"/>
  <c r="J42"/>
  <c r="J46"/>
  <c r="J44"/>
  <c r="J43"/>
  <c r="P42"/>
  <c r="P46"/>
  <c r="O42"/>
  <c r="O46"/>
  <c r="K42"/>
  <c r="K46"/>
  <c r="O43"/>
  <c r="P43"/>
  <c r="O44"/>
  <c r="P44"/>
  <c r="K44"/>
  <c r="K43"/>
</calcChain>
</file>

<file path=xl/comments1.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Big sets of waves, people walking on beach, wind from south about 5-10 knts.</t>
        </r>
      </text>
    </comment>
    <comment ref="A3" authorId="0">
      <text>
        <r>
          <rPr>
            <b/>
            <sz val="9"/>
            <color indexed="81"/>
            <rFont val="Verdana"/>
          </rPr>
          <t>Dana Reed:</t>
        </r>
        <r>
          <rPr>
            <sz val="9"/>
            <color indexed="81"/>
            <rFont val="Verdana"/>
          </rPr>
          <t xml:space="preserve">
Shore break with small waves.  No swimmers. Winds 1-2 BFT</t>
        </r>
      </text>
    </comment>
    <comment ref="A4" authorId="0">
      <text>
        <r>
          <rPr>
            <b/>
            <sz val="9"/>
            <color indexed="81"/>
            <rFont val="Verdana"/>
          </rPr>
          <t>Dana Reed:</t>
        </r>
        <r>
          <rPr>
            <sz val="9"/>
            <color indexed="81"/>
            <rFont val="Verdana"/>
          </rPr>
          <t xml:space="preserve">
some waves, not bad. 2 SUPs, 1 swimmer, couple of beach people, breezy</t>
        </r>
      </text>
    </comment>
    <comment ref="A5" authorId="0">
      <text>
        <r>
          <rPr>
            <b/>
            <sz val="9"/>
            <color indexed="81"/>
            <rFont val="Verdana"/>
          </rPr>
          <t>Dana Reed:</t>
        </r>
        <r>
          <rPr>
            <sz val="9"/>
            <color indexed="81"/>
            <rFont val="Verdana"/>
          </rPr>
          <t xml:space="preserve">
Sets of waves, no swimmers, calm winds</t>
        </r>
      </text>
    </comment>
    <comment ref="A6" authorId="0">
      <text>
        <r>
          <rPr>
            <b/>
            <sz val="9"/>
            <color indexed="81"/>
            <rFont val="Verdana"/>
          </rPr>
          <t>Dana Reed:</t>
        </r>
        <r>
          <rPr>
            <sz val="9"/>
            <color indexed="81"/>
            <rFont val="Verdana"/>
          </rPr>
          <t xml:space="preserve">
waves: small to none 0 ft
people: 0 SSK, 5-10 OB
wind:  0</t>
        </r>
      </text>
    </comment>
    <comment ref="A7" authorId="0">
      <text>
        <r>
          <rPr>
            <b/>
            <sz val="9"/>
            <color indexed="81"/>
            <rFont val="Verdana"/>
          </rPr>
          <t>Dana Reed:</t>
        </r>
        <r>
          <rPr>
            <sz val="9"/>
            <color indexed="81"/>
            <rFont val="Verdana"/>
          </rPr>
          <t xml:space="preserve">
Waves: 0
Wind: 1
People: 1 SKS, 2 OB, 0 C</t>
        </r>
      </text>
    </comment>
    <comment ref="A8" authorId="0">
      <text>
        <r>
          <rPr>
            <b/>
            <sz val="9"/>
            <color indexed="81"/>
            <rFont val="Verdana"/>
          </rPr>
          <t>Dana Reed:</t>
        </r>
        <r>
          <rPr>
            <sz val="9"/>
            <color indexed="81"/>
            <rFont val="Verdana"/>
          </rPr>
          <t xml:space="preserve">
Waves:  King tides coming
Wind:  0 slight mist
People: 20 beach</t>
        </r>
      </text>
    </comment>
    <comment ref="A9" authorId="0">
      <text>
        <r>
          <rPr>
            <b/>
            <sz val="9"/>
            <color indexed="81"/>
            <rFont val="Verdana"/>
          </rPr>
          <t>Dana Reed:</t>
        </r>
        <r>
          <rPr>
            <sz val="9"/>
            <color indexed="81"/>
            <rFont val="Verdana"/>
          </rPr>
          <t xml:space="preserve">
Waves: 1
Wind: 0
People: ssk 5, ob 10-20</t>
        </r>
      </text>
    </comment>
    <comment ref="A10" authorId="0">
      <text>
        <r>
          <rPr>
            <b/>
            <sz val="9"/>
            <color indexed="81"/>
            <rFont val="Verdana"/>
          </rPr>
          <t>Dana Reed:</t>
        </r>
        <r>
          <rPr>
            <sz val="9"/>
            <color indexed="81"/>
            <rFont val="Verdana"/>
          </rPr>
          <t xml:space="preserve">
Waves: 1
Wind: 0
People: ssk 1-5, ob 10-20</t>
        </r>
      </text>
    </comment>
    <comment ref="A11" authorId="0">
      <text>
        <r>
          <rPr>
            <b/>
            <sz val="9"/>
            <color indexed="81"/>
            <rFont val="Verdana"/>
          </rPr>
          <t>Dana Reed:</t>
        </r>
        <r>
          <rPr>
            <sz val="9"/>
            <color indexed="81"/>
            <rFont val="Verdana"/>
          </rPr>
          <t xml:space="preserve">
Waves: 0
Wind: 1
People: ssk 1, beach 0, camp 0
Raining at Napili during collection.</t>
        </r>
      </text>
    </comment>
    <comment ref="A12" authorId="0">
      <text>
        <r>
          <rPr>
            <b/>
            <sz val="9"/>
            <color indexed="81"/>
            <rFont val="Verdana"/>
          </rPr>
          <t>Dana Reed:</t>
        </r>
        <r>
          <rPr>
            <sz val="9"/>
            <color indexed="81"/>
            <rFont val="Verdana"/>
          </rPr>
          <t xml:space="preserve">
Waves: 0
Wind: 0
People: 5,10,0
Napili access changed because stairs at south end of bay washed out during large south swell and larger than normal tides.</t>
        </r>
      </text>
    </comment>
    <comment ref="A13" authorId="0">
      <text>
        <r>
          <rPr>
            <b/>
            <sz val="9"/>
            <color indexed="81"/>
            <rFont val="Verdana"/>
          </rPr>
          <t>Dana Reed:</t>
        </r>
        <r>
          <rPr>
            <sz val="9"/>
            <color indexed="81"/>
            <rFont val="Verdana"/>
          </rPr>
          <t xml:space="preserve">
Waves: 1
Wind: 0
People: 0,6,0
Erosion drop off more evident.</t>
        </r>
      </text>
    </comment>
    <comment ref="A14" authorId="0">
      <text>
        <r>
          <rPr>
            <b/>
            <sz val="9"/>
            <color indexed="81"/>
            <rFont val="Verdana"/>
          </rPr>
          <t>Dana Reed:</t>
        </r>
        <r>
          <rPr>
            <sz val="9"/>
            <color indexed="81"/>
            <rFont val="Verdana"/>
          </rPr>
          <t xml:space="preserve">
Waves: 1
Wind: 0
People: 2,1,0
Very large storm on Monday night into Tuesday evening with power outage all over island. Overcast with Kona winds.</t>
        </r>
      </text>
    </comment>
    <comment ref="A15" authorId="0">
      <text>
        <r>
          <rPr>
            <b/>
            <sz val="9"/>
            <color indexed="81"/>
            <rFont val="Verdana"/>
          </rPr>
          <t>Dana Reed:</t>
        </r>
        <r>
          <rPr>
            <sz val="9"/>
            <color indexed="81"/>
            <rFont val="Verdana"/>
          </rPr>
          <t xml:space="preserve">
Waves: 2
Wind: 0
People: 0,10,0
Tested 20 yards north of usual sampling spot because of the shore break.</t>
        </r>
      </text>
    </comment>
    <comment ref="A16" authorId="0">
      <text>
        <r>
          <rPr>
            <b/>
            <sz val="9"/>
            <color indexed="81"/>
            <rFont val="Verdana"/>
          </rPr>
          <t>Dana Reed:</t>
        </r>
        <r>
          <rPr>
            <sz val="9"/>
            <color indexed="81"/>
            <rFont val="Verdana"/>
          </rPr>
          <t xml:space="preserve">
Waves: 2
Wind: 3
People: 1,1,0
Light rain in last 24 hours with trade winds. </t>
        </r>
      </text>
    </comment>
    <comment ref="A17" authorId="0">
      <text>
        <r>
          <rPr>
            <b/>
            <sz val="9"/>
            <color indexed="81"/>
            <rFont val="Verdana"/>
          </rPr>
          <t>Dana Reed:</t>
        </r>
        <r>
          <rPr>
            <sz val="9"/>
            <color indexed="81"/>
            <rFont val="Verdana"/>
          </rPr>
          <t xml:space="preserve">
Waves: 2
Wind: 0
People: 2,3,0
Overcast, light rain in last 24 hours, Kona winds. Eventually on this week the sediment basin for Napili overflows and turbid water is dumped into bay.</t>
        </r>
      </text>
    </comment>
    <comment ref="A18" authorId="0">
      <text>
        <r>
          <rPr>
            <b/>
            <sz val="9"/>
            <color indexed="81"/>
            <rFont val="Verdana"/>
          </rPr>
          <t>Dana Reed:</t>
        </r>
        <r>
          <rPr>
            <sz val="9"/>
            <color indexed="81"/>
            <rFont val="Verdana"/>
          </rPr>
          <t xml:space="preserve">
Waves: 1
Wind: 0
People: 3,2,0
No rain, no cloud cover, light winds
</t>
        </r>
      </text>
    </comment>
    <comment ref="A19" authorId="0">
      <text>
        <r>
          <rPr>
            <b/>
            <sz val="9"/>
            <color indexed="81"/>
            <rFont val="Verdana"/>
          </rPr>
          <t>Dana Reed:</t>
        </r>
        <r>
          <rPr>
            <sz val="9"/>
            <color indexed="81"/>
            <rFont val="Verdana"/>
          </rPr>
          <t xml:space="preserve">
Waves: 2
Wind: 1
People: 0,1,0
Kona winds. </t>
        </r>
      </text>
    </comment>
  </commentList>
</comments>
</file>

<file path=xl/comments2.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Site to the right of the cement channel.  Large south swell.  </t>
        </r>
      </text>
    </comment>
    <comment ref="A4" authorId="0">
      <text>
        <r>
          <rPr>
            <b/>
            <sz val="9"/>
            <color indexed="81"/>
            <rFont val="Verdana"/>
          </rPr>
          <t>Dana Reed:</t>
        </r>
        <r>
          <rPr>
            <sz val="9"/>
            <color indexed="81"/>
            <rFont val="Verdana"/>
          </rPr>
          <t xml:space="preserve">
Sewer smell this week and gate was closed to park.</t>
        </r>
      </text>
    </comment>
    <comment ref="F4" authorId="0">
      <text>
        <r>
          <rPr>
            <b/>
            <sz val="9"/>
            <color indexed="81"/>
            <rFont val="Verdana"/>
          </rPr>
          <t>Dana Reed:</t>
        </r>
        <r>
          <rPr>
            <sz val="9"/>
            <color indexed="81"/>
            <rFont val="Verdana"/>
          </rPr>
          <t xml:space="preserve">
33 ppt refractometer</t>
        </r>
      </text>
    </comment>
    <comment ref="G4" authorId="0">
      <text>
        <r>
          <rPr>
            <b/>
            <sz val="9"/>
            <color indexed="81"/>
            <rFont val="Verdana"/>
          </rPr>
          <t>Dana Reed:</t>
        </r>
        <r>
          <rPr>
            <sz val="9"/>
            <color indexed="81"/>
            <rFont val="Verdana"/>
          </rPr>
          <t xml:space="preserve">
Changed DO probe to read salinity probe</t>
        </r>
      </text>
    </comment>
    <comment ref="A5" authorId="0">
      <text>
        <r>
          <rPr>
            <b/>
            <sz val="9"/>
            <color indexed="81"/>
            <rFont val="Verdana"/>
          </rPr>
          <t>Dana Reed:</t>
        </r>
        <r>
          <rPr>
            <sz val="9"/>
            <color indexed="81"/>
            <rFont val="Verdana"/>
          </rPr>
          <t xml:space="preserve">
Sewage smell again. Calm winds and some rogue waves.</t>
        </r>
      </text>
    </comment>
    <comment ref="A6" authorId="0">
      <text>
        <r>
          <rPr>
            <b/>
            <sz val="9"/>
            <color indexed="81"/>
            <rFont val="Verdana"/>
          </rPr>
          <t>Dana Reed:</t>
        </r>
        <r>
          <rPr>
            <sz val="9"/>
            <color indexed="81"/>
            <rFont val="Verdana"/>
          </rPr>
          <t xml:space="preserve">
3 swimmers, calm, sand redistributed</t>
        </r>
      </text>
    </comment>
    <comment ref="A7" authorId="0">
      <text>
        <r>
          <rPr>
            <b/>
            <sz val="9"/>
            <color indexed="81"/>
            <rFont val="Verdana"/>
          </rPr>
          <t>Dana Reed:</t>
        </r>
        <r>
          <rPr>
            <sz val="9"/>
            <color indexed="81"/>
            <rFont val="Verdana"/>
          </rPr>
          <t xml:space="preserve">
1 fisherman, 1 yoga beach person</t>
        </r>
      </text>
    </comment>
    <comment ref="A8" authorId="0">
      <text>
        <r>
          <rPr>
            <b/>
            <sz val="9"/>
            <color indexed="81"/>
            <rFont val="Verdana"/>
          </rPr>
          <t>Dana Reed:</t>
        </r>
        <r>
          <rPr>
            <sz val="9"/>
            <color indexed="81"/>
            <rFont val="Verdana"/>
          </rPr>
          <t xml:space="preserve">
SUPs, 1 surfer, 2 beach runners, sewer smell, high surf, sharp shore break, had to avoid largest wave sets. DOH along and would not have sampled</t>
        </r>
      </text>
    </comment>
    <comment ref="A9" authorId="0">
      <text>
        <r>
          <rPr>
            <b/>
            <sz val="9"/>
            <color indexed="81"/>
            <rFont val="Verdana"/>
          </rPr>
          <t>Dana Reed:</t>
        </r>
        <r>
          <rPr>
            <sz val="9"/>
            <color indexed="81"/>
            <rFont val="Verdana"/>
          </rPr>
          <t xml:space="preserve">
Turbidity and nutrient samples were taken out of bucket. Light rain, breezy 5 - 15 mph wind</t>
        </r>
      </text>
    </comment>
    <comment ref="A10" authorId="0">
      <text>
        <r>
          <rPr>
            <b/>
            <sz val="9"/>
            <color indexed="81"/>
            <rFont val="Verdana"/>
          </rPr>
          <t>Dana Reed:</t>
        </r>
        <r>
          <rPr>
            <sz val="9"/>
            <color indexed="81"/>
            <rFont val="Verdana"/>
          </rPr>
          <t xml:space="preserve">
Calm, sewer smell, no swimmers, cloudy</t>
        </r>
      </text>
    </comment>
    <comment ref="A11" authorId="0">
      <text>
        <r>
          <rPr>
            <b/>
            <sz val="9"/>
            <color indexed="81"/>
            <rFont val="Verdana"/>
          </rPr>
          <t>Dana Reed:</t>
        </r>
        <r>
          <rPr>
            <sz val="9"/>
            <color indexed="81"/>
            <rFont val="Verdana"/>
          </rPr>
          <t xml:space="preserve">
Misty rainy morning, no one on the beach, calm water, fairly clear</t>
        </r>
      </text>
    </comment>
    <comment ref="A12" authorId="0">
      <text>
        <r>
          <rPr>
            <b/>
            <sz val="9"/>
            <color indexed="81"/>
            <rFont val="Verdana"/>
          </rPr>
          <t>Dana Reed:</t>
        </r>
        <r>
          <rPr>
            <sz val="9"/>
            <color indexed="81"/>
            <rFont val="Verdana"/>
          </rPr>
          <t xml:space="preserve">
Clear, calm, no one at beach. Few low lying clouds, ocean bluish grey, no waves, no wind.</t>
        </r>
      </text>
    </comment>
    <comment ref="A13" authorId="0">
      <text>
        <r>
          <rPr>
            <b/>
            <sz val="9"/>
            <color indexed="81"/>
            <rFont val="Verdana"/>
          </rPr>
          <t>Dana Reed:</t>
        </r>
        <r>
          <rPr>
            <sz val="9"/>
            <color indexed="81"/>
            <rFont val="Verdana"/>
          </rPr>
          <t xml:space="preserve">
Lots of cars but nobody in water. One surfer told a tale of cockroaches bubbling out of the rocks. Very windy.</t>
        </r>
      </text>
    </comment>
    <comment ref="A14" authorId="0">
      <text>
        <r>
          <rPr>
            <b/>
            <sz val="9"/>
            <color indexed="81"/>
            <rFont val="Verdana"/>
          </rPr>
          <t>Dana Reed:</t>
        </r>
        <r>
          <rPr>
            <sz val="9"/>
            <color indexed="81"/>
            <rFont val="Verdana"/>
          </rPr>
          <t xml:space="preserve">
One shell picker.  Raining.  Rainbows.</t>
        </r>
      </text>
    </comment>
    <comment ref="A15" authorId="0">
      <text>
        <r>
          <rPr>
            <b/>
            <sz val="9"/>
            <color indexed="81"/>
            <rFont val="Verdana"/>
          </rPr>
          <t>Dana Reed:</t>
        </r>
        <r>
          <rPr>
            <sz val="9"/>
            <color indexed="81"/>
            <rFont val="Verdana"/>
          </rPr>
          <t xml:space="preserve">
4 SUPs, calm, potential contamination of styrofoam sample cell hole in area of blank</t>
        </r>
      </text>
    </comment>
    <comment ref="A16" authorId="0">
      <text>
        <r>
          <rPr>
            <b/>
            <sz val="9"/>
            <color indexed="81"/>
            <rFont val="Verdana"/>
          </rPr>
          <t>Dana Reed:</t>
        </r>
        <r>
          <rPr>
            <sz val="9"/>
            <color indexed="81"/>
            <rFont val="Verdana"/>
          </rPr>
          <t xml:space="preserve">
No swimmers, no clouds, no wind, no surf.  Had to take multiple </t>
        </r>
      </text>
    </comment>
    <comment ref="A17" authorId="0">
      <text>
        <r>
          <rPr>
            <b/>
            <sz val="9"/>
            <color indexed="81"/>
            <rFont val="Verdana"/>
          </rPr>
          <t>Dana Reed:</t>
        </r>
        <r>
          <rPr>
            <sz val="9"/>
            <color indexed="81"/>
            <rFont val="Verdana"/>
          </rPr>
          <t xml:space="preserve">
Waves small, lots of surfers and a large beach. Small breeze</t>
        </r>
      </text>
    </comment>
    <comment ref="G17" authorId="0">
      <text>
        <r>
          <rPr>
            <b/>
            <sz val="9"/>
            <color indexed="81"/>
            <rFont val="Verdana"/>
          </rPr>
          <t>Dana Reed:</t>
        </r>
        <r>
          <rPr>
            <sz val="9"/>
            <color indexed="81"/>
            <rFont val="Verdana"/>
          </rPr>
          <t xml:space="preserve">
Suspect salinity probe was not hooked up.</t>
        </r>
      </text>
    </comment>
    <comment ref="A18" authorId="0">
      <text>
        <r>
          <rPr>
            <b/>
            <sz val="9"/>
            <color indexed="81"/>
            <rFont val="Verdana"/>
          </rPr>
          <t>Dana Reed:</t>
        </r>
        <r>
          <rPr>
            <sz val="9"/>
            <color indexed="81"/>
            <rFont val="Verdana"/>
          </rPr>
          <t xml:space="preserve">
smaller waves than usual, swell from north, 1 surfer, windy</t>
        </r>
      </text>
    </comment>
    <comment ref="A19" authorId="0">
      <text>
        <r>
          <rPr>
            <b/>
            <sz val="9"/>
            <color indexed="81"/>
            <rFont val="Verdana"/>
          </rPr>
          <t>Dana Reed:</t>
        </r>
        <r>
          <rPr>
            <sz val="9"/>
            <color indexed="81"/>
            <rFont val="Verdana"/>
          </rPr>
          <t xml:space="preserve">
Ulva seaweed growing on rocks on beach - bright green.  Small waves, no swimmers, 2-3 BFT</t>
        </r>
      </text>
    </comment>
    <comment ref="A20" authorId="0">
      <text>
        <r>
          <rPr>
            <b/>
            <sz val="9"/>
            <color indexed="81"/>
            <rFont val="Verdana"/>
          </rPr>
          <t>Dana Reed:</t>
        </r>
        <r>
          <rPr>
            <sz val="9"/>
            <color indexed="81"/>
            <rFont val="Verdana"/>
          </rPr>
          <t xml:space="preserve">
Some waves but smaller surf. Surfer stopped by to talk. 7 surfers.  Wind calm.</t>
        </r>
      </text>
    </comment>
    <comment ref="A21" authorId="0">
      <text>
        <r>
          <rPr>
            <b/>
            <sz val="9"/>
            <color indexed="81"/>
            <rFont val="Verdana"/>
          </rPr>
          <t>Dana Reed:</t>
        </r>
        <r>
          <rPr>
            <sz val="9"/>
            <color indexed="81"/>
            <rFont val="Verdana"/>
          </rPr>
          <t xml:space="preserve">
Water calm and relatively clear, no swimmers or surfers, calm winds</t>
        </r>
      </text>
    </comment>
    <comment ref="A22" authorId="0">
      <text>
        <r>
          <rPr>
            <b/>
            <sz val="9"/>
            <color indexed="81"/>
            <rFont val="Verdana"/>
          </rPr>
          <t>Dana Reed:</t>
        </r>
        <r>
          <rPr>
            <sz val="9"/>
            <color indexed="81"/>
            <rFont val="Verdana"/>
          </rPr>
          <t xml:space="preserve">
Waves:  0 ft
People:  0-5 SSK, 0-5 OB
Wind:  0</t>
        </r>
      </text>
    </comment>
    <comment ref="A23" authorId="0">
      <text>
        <r>
          <rPr>
            <b/>
            <sz val="9"/>
            <color indexed="81"/>
            <rFont val="Verdana"/>
          </rPr>
          <t>Dana Reed:</t>
        </r>
        <r>
          <rPr>
            <sz val="9"/>
            <color indexed="81"/>
            <rFont val="Verdana"/>
          </rPr>
          <t xml:space="preserve">
Waves: 0
Wind: 0
Swim: 0 ssk, 3 ob, 0 c</t>
        </r>
      </text>
    </comment>
    <comment ref="A24" authorId="0">
      <text>
        <r>
          <rPr>
            <b/>
            <sz val="9"/>
            <color indexed="81"/>
            <rFont val="Verdana"/>
          </rPr>
          <t>Dana Reed:</t>
        </r>
        <r>
          <rPr>
            <sz val="9"/>
            <color indexed="81"/>
            <rFont val="Verdana"/>
          </rPr>
          <t xml:space="preserve">
Waves:  waves
Wind: 0
People: 3 out</t>
        </r>
      </text>
    </comment>
    <comment ref="A25" authorId="0">
      <text>
        <r>
          <rPr>
            <b/>
            <sz val="9"/>
            <color indexed="81"/>
            <rFont val="Verdana"/>
          </rPr>
          <t>Dana Reed:</t>
        </r>
        <r>
          <rPr>
            <sz val="9"/>
            <color indexed="81"/>
            <rFont val="Verdana"/>
          </rPr>
          <t xml:space="preserve">
Waves: 0
Wind: 1
People: ssk 0, ob 1-5</t>
        </r>
      </text>
    </comment>
    <comment ref="A26" authorId="0">
      <text>
        <r>
          <rPr>
            <b/>
            <sz val="9"/>
            <color indexed="81"/>
            <rFont val="Verdana"/>
          </rPr>
          <t>Dana Reed:</t>
        </r>
        <r>
          <rPr>
            <sz val="9"/>
            <color indexed="81"/>
            <rFont val="Verdana"/>
          </rPr>
          <t xml:space="preserve">
Waves: 0
Wind: 0
People: ssk 1-5, ob 1-5</t>
        </r>
      </text>
    </comment>
    <comment ref="A27" authorId="0">
      <text>
        <r>
          <rPr>
            <b/>
            <sz val="9"/>
            <color indexed="81"/>
            <rFont val="Verdana"/>
          </rPr>
          <t>Dana Reed:</t>
        </r>
        <r>
          <rPr>
            <sz val="9"/>
            <color indexed="81"/>
            <rFont val="Verdana"/>
          </rPr>
          <t xml:space="preserve">
Waves: 0
Wind: 0-1
People: ssk 0, beach 0, camp 0
Light rain at Pohaku during sample</t>
        </r>
      </text>
    </comment>
    <comment ref="A28" authorId="0">
      <text>
        <r>
          <rPr>
            <b/>
            <sz val="9"/>
            <color indexed="81"/>
            <rFont val="Verdana"/>
          </rPr>
          <t>Dana Reed:</t>
        </r>
        <r>
          <rPr>
            <sz val="9"/>
            <color indexed="81"/>
            <rFont val="Verdana"/>
          </rPr>
          <t xml:space="preserve">
Waves: 1
Wind: 0
1 spear fisherman, Terry pulled plastic bag out of water, crew reports day was hot and humid</t>
        </r>
      </text>
    </comment>
    <comment ref="A29" authorId="0">
      <text>
        <r>
          <rPr>
            <b/>
            <sz val="9"/>
            <color indexed="81"/>
            <rFont val="Verdana"/>
          </rPr>
          <t>Dana Reed:</t>
        </r>
        <r>
          <rPr>
            <sz val="9"/>
            <color indexed="81"/>
            <rFont val="Verdana"/>
          </rPr>
          <t xml:space="preserve">
Waves: 2
Wind: 1
People: 0,2,0
One of the people on the beach was a fisherman. Surf was up today.</t>
        </r>
      </text>
    </comment>
    <comment ref="A30" authorId="0">
      <text>
        <r>
          <rPr>
            <b/>
            <sz val="9"/>
            <color indexed="81"/>
            <rFont val="Verdana"/>
          </rPr>
          <t>Dana Reed:</t>
        </r>
        <r>
          <rPr>
            <sz val="9"/>
            <color indexed="81"/>
            <rFont val="Verdana"/>
          </rPr>
          <t xml:space="preserve">
Waves: 1
Wind: 0
People: 0,0,0
no rain when sampling but water was brown near shore.
</t>
        </r>
      </text>
    </comment>
    <comment ref="A31" authorId="0">
      <text>
        <r>
          <rPr>
            <b/>
            <sz val="9"/>
            <color indexed="81"/>
            <rFont val="Verdana"/>
          </rPr>
          <t>Dana Reed:</t>
        </r>
        <r>
          <rPr>
            <sz val="9"/>
            <color indexed="81"/>
            <rFont val="Verdana"/>
          </rPr>
          <t xml:space="preserve">
Waves: 1
Wind: 0
People: 10,2,0
Light rain at Pohaku and Napili from last night. Very light trades.</t>
        </r>
      </text>
    </comment>
    <comment ref="A32" authorId="0">
      <text>
        <r>
          <rPr>
            <b/>
            <sz val="9"/>
            <color indexed="81"/>
            <rFont val="Verdana"/>
          </rPr>
          <t>Dana Reed:</t>
        </r>
        <r>
          <rPr>
            <sz val="9"/>
            <color indexed="81"/>
            <rFont val="Verdana"/>
          </rPr>
          <t xml:space="preserve">
Waves: 1
Wind: 2
People: 0,0,0
Brown water and lots of ulva on rocks. Coastal erosion issue due to higher tides and surf.</t>
        </r>
      </text>
    </comment>
    <comment ref="A33" authorId="0">
      <text>
        <r>
          <rPr>
            <b/>
            <sz val="9"/>
            <color indexed="81"/>
            <rFont val="Verdana"/>
          </rPr>
          <t>Dana Reed:</t>
        </r>
        <r>
          <rPr>
            <sz val="9"/>
            <color indexed="81"/>
            <rFont val="Verdana"/>
          </rPr>
          <t xml:space="preserve">
Waves: 1
Wind: 0
People: 0,2,0
Brown plume at Pohaku and two fishermen in area near where we are sampling.</t>
        </r>
      </text>
    </comment>
    <comment ref="A34" authorId="0">
      <text>
        <r>
          <rPr>
            <b/>
            <sz val="9"/>
            <color indexed="81"/>
            <rFont val="Verdana"/>
          </rPr>
          <t>Dana Reed:</t>
        </r>
        <r>
          <rPr>
            <sz val="9"/>
            <color indexed="81"/>
            <rFont val="Verdana"/>
          </rPr>
          <t xml:space="preserve">
Waves: 1
Wind: 0
People: 12, 3, 0
</t>
        </r>
      </text>
    </comment>
    <comment ref="A35" authorId="0">
      <text>
        <r>
          <rPr>
            <b/>
            <sz val="9"/>
            <color indexed="81"/>
            <rFont val="Verdana"/>
          </rPr>
          <t>Dana Reed:</t>
        </r>
        <r>
          <rPr>
            <sz val="9"/>
            <color indexed="81"/>
            <rFont val="Verdana"/>
          </rPr>
          <t xml:space="preserve">
Waves: 3
Wind: 2
People: 3,3,0
</t>
        </r>
      </text>
    </comment>
  </commentList>
</comments>
</file>

<file path=xl/comments3.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salinity 31.0 ppt.  We read the salinity probe several times and it would not give us a different reading.</t>
        </r>
      </text>
    </comment>
    <comment ref="A5" authorId="0">
      <text>
        <r>
          <rPr>
            <b/>
            <sz val="9"/>
            <color indexed="81"/>
            <rFont val="Verdana"/>
          </rPr>
          <t>Dana Reed:</t>
        </r>
        <r>
          <rPr>
            <sz val="9"/>
            <color indexed="81"/>
            <rFont val="Verdana"/>
          </rPr>
          <t xml:space="preserve">
Significant beach and embankment erosion.</t>
        </r>
      </text>
    </comment>
    <comment ref="A6" authorId="0">
      <text>
        <r>
          <rPr>
            <b/>
            <sz val="9"/>
            <color indexed="81"/>
            <rFont val="Verdana"/>
          </rPr>
          <t>Dana Reed:</t>
        </r>
        <r>
          <rPr>
            <sz val="9"/>
            <color indexed="81"/>
            <rFont val="Verdana"/>
          </rPr>
          <t xml:space="preserve">
No swimmers, calm</t>
        </r>
      </text>
    </comment>
    <comment ref="A7" authorId="0">
      <text>
        <r>
          <rPr>
            <b/>
            <sz val="9"/>
            <color indexed="81"/>
            <rFont val="Verdana"/>
          </rPr>
          <t>Dana Reed:</t>
        </r>
        <r>
          <rPr>
            <sz val="9"/>
            <color indexed="81"/>
            <rFont val="Verdana"/>
          </rPr>
          <t xml:space="preserve">
Very calm, 5 people walking beach, family swimming, new steps for erosion control</t>
        </r>
      </text>
    </comment>
    <comment ref="A8" authorId="0">
      <text>
        <r>
          <rPr>
            <b/>
            <sz val="9"/>
            <color indexed="81"/>
            <rFont val="Verdana"/>
          </rPr>
          <t>Dana Reed:</t>
        </r>
        <r>
          <rPr>
            <sz val="9"/>
            <color indexed="81"/>
            <rFont val="Verdana"/>
          </rPr>
          <t xml:space="preserve">
1 snorkler, small waves, stream</t>
        </r>
      </text>
    </comment>
    <comment ref="A9" authorId="0">
      <text>
        <r>
          <rPr>
            <b/>
            <sz val="9"/>
            <color indexed="81"/>
            <rFont val="Verdana"/>
          </rPr>
          <t>Dana Reed:</t>
        </r>
        <r>
          <rPr>
            <sz val="9"/>
            <color indexed="81"/>
            <rFont val="Verdana"/>
          </rPr>
          <t xml:space="preserve">
Team took nutrient and turbidity samples out of bucket.  50% cloud cover, no rain, 2 swimmers</t>
        </r>
      </text>
    </comment>
    <comment ref="A10" authorId="0">
      <text>
        <r>
          <rPr>
            <b/>
            <sz val="9"/>
            <color indexed="81"/>
            <rFont val="Verdana"/>
          </rPr>
          <t>Dana Reed:</t>
        </r>
        <r>
          <rPr>
            <sz val="9"/>
            <color indexed="81"/>
            <rFont val="Verdana"/>
          </rPr>
          <t xml:space="preserve">
small kids with ? In water, calm, 1 beach walker and 1 swimmer</t>
        </r>
      </text>
    </comment>
    <comment ref="A11" authorId="0">
      <text>
        <r>
          <rPr>
            <b/>
            <sz val="9"/>
            <color indexed="81"/>
            <rFont val="Verdana"/>
          </rPr>
          <t>Dana Reed:</t>
        </r>
        <r>
          <rPr>
            <sz val="9"/>
            <color indexed="81"/>
            <rFont val="Verdana"/>
          </rPr>
          <t xml:space="preserve">
Walkers on sidewalk. 1 beach walker. Calm, still drizzling. Questions on beach erosion, 1 swimming</t>
        </r>
      </text>
    </comment>
    <comment ref="A12" authorId="0">
      <text>
        <r>
          <rPr>
            <b/>
            <sz val="9"/>
            <color indexed="81"/>
            <rFont val="Verdana"/>
          </rPr>
          <t>Dana Reed:</t>
        </r>
        <r>
          <rPr>
            <sz val="9"/>
            <color indexed="81"/>
            <rFont val="Verdana"/>
          </rPr>
          <t xml:space="preserve">
Clear, 2-3 foot waves, ocean blue grey, 5 people sitting on beach, windy</t>
        </r>
      </text>
    </comment>
    <comment ref="A13" authorId="0">
      <text>
        <r>
          <rPr>
            <b/>
            <sz val="9"/>
            <color indexed="81"/>
            <rFont val="Verdana"/>
          </rPr>
          <t>Dana Reed:</t>
        </r>
        <r>
          <rPr>
            <sz val="9"/>
            <color indexed="81"/>
            <rFont val="Verdana"/>
          </rPr>
          <t xml:space="preserve">
Again lots of cars. 1 surf watcher, turbid looking so Ty collected sediment sample.</t>
        </r>
      </text>
    </comment>
    <comment ref="A14" authorId="0">
      <text>
        <r>
          <rPr>
            <b/>
            <sz val="9"/>
            <color indexed="81"/>
            <rFont val="Verdana"/>
          </rPr>
          <t>Dana Reed:</t>
        </r>
        <r>
          <rPr>
            <sz val="9"/>
            <color indexed="81"/>
            <rFont val="Verdana"/>
          </rPr>
          <t xml:space="preserve">
Still raining lightly. Wavy, turbid, windy.  Couple of people in the vacinity</t>
        </r>
      </text>
    </comment>
    <comment ref="A15" authorId="0">
      <text>
        <r>
          <rPr>
            <b/>
            <sz val="9"/>
            <color indexed="81"/>
            <rFont val="Verdana"/>
          </rPr>
          <t>Dana Reed:</t>
        </r>
        <r>
          <rPr>
            <sz val="9"/>
            <color indexed="81"/>
            <rFont val="Verdana"/>
          </rPr>
          <t xml:space="preserve">
1 swimmer, low laying clouds, calm, slight brown color, garbage on beach, cans, paper, driftwood, KCl solution from pH probe soaker bottle accidentally dumped at this site.
</t>
        </r>
      </text>
    </comment>
    <comment ref="A16" authorId="0">
      <text>
        <r>
          <rPr>
            <b/>
            <sz val="9"/>
            <color indexed="81"/>
            <rFont val="Verdana"/>
          </rPr>
          <t>Dana Reed:</t>
        </r>
        <r>
          <rPr>
            <sz val="9"/>
            <color indexed="81"/>
            <rFont val="Verdana"/>
          </rPr>
          <t xml:space="preserve">
1 beach walker, 0.5 foot surf, clear sky, 2 SUPs.  Again had to make repeated pH measurements to get most accurate reading.</t>
        </r>
      </text>
    </comment>
    <comment ref="A17" authorId="0">
      <text>
        <r>
          <rPr>
            <b/>
            <sz val="9"/>
            <color indexed="81"/>
            <rFont val="Verdana"/>
          </rPr>
          <t>Dana Reed:</t>
        </r>
        <r>
          <rPr>
            <sz val="9"/>
            <color indexed="81"/>
            <rFont val="Verdana"/>
          </rPr>
          <t xml:space="preserve">
Choppy and sloppy with film on top. Beach erosion 4 foot lower? 1 fisherman, small breeze</t>
        </r>
      </text>
    </comment>
    <comment ref="A18" authorId="0">
      <text>
        <r>
          <rPr>
            <b/>
            <sz val="9"/>
            <color indexed="81"/>
            <rFont val="Verdana"/>
          </rPr>
          <t>Dana Reed:</t>
        </r>
        <r>
          <rPr>
            <sz val="9"/>
            <color indexed="81"/>
            <rFont val="Verdana"/>
          </rPr>
          <t xml:space="preserve">
Rough choppy water, lots of questions from fishermen and passersby ,no swimmers, fishermen, slight breeze</t>
        </r>
      </text>
    </comment>
    <comment ref="A19" authorId="0">
      <text>
        <r>
          <rPr>
            <b/>
            <sz val="9"/>
            <color indexed="81"/>
            <rFont val="Verdana"/>
          </rPr>
          <t>Dana Reed:</t>
        </r>
        <r>
          <rPr>
            <sz val="9"/>
            <color indexed="81"/>
            <rFont val="Verdana"/>
          </rPr>
          <t xml:space="preserve">
Small waves, no swimmers, 2-3 BFT</t>
        </r>
      </text>
    </comment>
    <comment ref="A20" authorId="0">
      <text>
        <r>
          <rPr>
            <b/>
            <sz val="9"/>
            <color indexed="81"/>
            <rFont val="Verdana"/>
          </rPr>
          <t>Dana Reed:</t>
        </r>
        <r>
          <rPr>
            <sz val="9"/>
            <color indexed="81"/>
            <rFont val="Verdana"/>
          </rPr>
          <t xml:space="preserve">
Much larger beach today. Some waves. 2 kids with mom in water, calm winds.</t>
        </r>
      </text>
    </comment>
    <comment ref="A21" authorId="0">
      <text>
        <r>
          <rPr>
            <b/>
            <sz val="9"/>
            <color indexed="81"/>
            <rFont val="Verdana"/>
          </rPr>
          <t>Dana Reed:</t>
        </r>
        <r>
          <rPr>
            <sz val="9"/>
            <color indexed="81"/>
            <rFont val="Verdana"/>
          </rPr>
          <t xml:space="preserve">
calm waves, small shore break, 1 swimmer, calm winds</t>
        </r>
      </text>
    </comment>
    <comment ref="A22" authorId="0">
      <text>
        <r>
          <rPr>
            <b/>
            <sz val="9"/>
            <color indexed="81"/>
            <rFont val="Verdana"/>
          </rPr>
          <t>Dana Reed:</t>
        </r>
        <r>
          <rPr>
            <sz val="9"/>
            <color indexed="81"/>
            <rFont val="Verdana"/>
          </rPr>
          <t xml:space="preserve">
Waves: 0 ft
People: 0-5 SSK 0-5 OB
Wind: 0</t>
        </r>
      </text>
    </comment>
    <comment ref="A23" authorId="0">
      <text>
        <r>
          <rPr>
            <b/>
            <sz val="9"/>
            <color indexed="81"/>
            <rFont val="Verdana"/>
          </rPr>
          <t>Dana Reed:</t>
        </r>
        <r>
          <rPr>
            <sz val="9"/>
            <color indexed="81"/>
            <rFont val="Verdana"/>
          </rPr>
          <t xml:space="preserve">
Waves: 0
Wind: 1
Swimmers: 3 kayak, 6 ob, 0 c</t>
        </r>
      </text>
    </comment>
    <comment ref="A24" authorId="0">
      <text>
        <r>
          <rPr>
            <b/>
            <sz val="9"/>
            <color indexed="81"/>
            <rFont val="Verdana"/>
          </rPr>
          <t>Dana Reed:</t>
        </r>
        <r>
          <rPr>
            <sz val="9"/>
            <color indexed="81"/>
            <rFont val="Verdana"/>
          </rPr>
          <t xml:space="preserve">
Waves:  0
Wind: 0
People: b - 6</t>
        </r>
      </text>
    </comment>
    <comment ref="A25" authorId="0">
      <text>
        <r>
          <rPr>
            <b/>
            <sz val="9"/>
            <color indexed="81"/>
            <rFont val="Verdana"/>
          </rPr>
          <t>Dana Reed:</t>
        </r>
        <r>
          <rPr>
            <sz val="9"/>
            <color indexed="81"/>
            <rFont val="Verdana"/>
          </rPr>
          <t xml:space="preserve">
Waves: 1
Wind: 1
People: ssk 5-10, ob 10-20</t>
        </r>
      </text>
    </comment>
    <comment ref="A26" authorId="0">
      <text>
        <r>
          <rPr>
            <b/>
            <sz val="9"/>
            <color indexed="81"/>
            <rFont val="Verdana"/>
          </rPr>
          <t>Dana Reed:</t>
        </r>
        <r>
          <rPr>
            <sz val="9"/>
            <color indexed="81"/>
            <rFont val="Verdana"/>
          </rPr>
          <t xml:space="preserve">
Waves: 1
Wind: 0
People: ssk 1-5, ob 10-20</t>
        </r>
      </text>
    </comment>
    <comment ref="A27" authorId="0">
      <text>
        <r>
          <rPr>
            <b/>
            <sz val="9"/>
            <color indexed="81"/>
            <rFont val="Verdana"/>
          </rPr>
          <t>Dana Reed:</t>
        </r>
        <r>
          <rPr>
            <sz val="9"/>
            <color indexed="81"/>
            <rFont val="Verdana"/>
          </rPr>
          <t xml:space="preserve">
Waves: 1-2
Wind: 3
People: ssk 3, beach 6, camp 0
Sun out but light sprinkle</t>
        </r>
      </text>
    </comment>
    <comment ref="A28" authorId="0">
      <text>
        <r>
          <rPr>
            <b/>
            <sz val="9"/>
            <color indexed="81"/>
            <rFont val="Verdana"/>
          </rPr>
          <t>Dana Reed:</t>
        </r>
        <r>
          <rPr>
            <sz val="9"/>
            <color indexed="81"/>
            <rFont val="Verdana"/>
          </rPr>
          <t xml:space="preserve">
Waves: 1
Wind: 0
4 people in the water and more on the beach.
The entire coastline has suffered with a large south swell in the last week raising turbidity levels.</t>
        </r>
      </text>
    </comment>
    <comment ref="A29" authorId="0">
      <text>
        <r>
          <rPr>
            <b/>
            <sz val="9"/>
            <color indexed="81"/>
            <rFont val="Verdana"/>
          </rPr>
          <t>Dana Reed:</t>
        </r>
        <r>
          <rPr>
            <sz val="9"/>
            <color indexed="81"/>
            <rFont val="Verdana"/>
          </rPr>
          <t xml:space="preserve">
Waves: 1
Wind: 0
People: 3,9,0
Three divers getting into water, 2 fishermen on beach. Beach very busy for this location.</t>
        </r>
      </text>
    </comment>
    <comment ref="A30" authorId="0">
      <text>
        <r>
          <rPr>
            <b/>
            <sz val="9"/>
            <color indexed="81"/>
            <rFont val="Verdana"/>
          </rPr>
          <t>Dana Reed:</t>
        </r>
        <r>
          <rPr>
            <sz val="9"/>
            <color indexed="81"/>
            <rFont val="Verdana"/>
          </rPr>
          <t xml:space="preserve">
Waves: 1
Wind: 0
People: 0,6,0
Kona winds, very light. Huge storm on Monday night with heavy rainfall.
</t>
        </r>
      </text>
    </comment>
    <comment ref="A31" authorId="0">
      <text>
        <r>
          <rPr>
            <b/>
            <sz val="9"/>
            <color indexed="81"/>
            <rFont val="Verdana"/>
          </rPr>
          <t>Dana Reed:</t>
        </r>
        <r>
          <rPr>
            <sz val="9"/>
            <color indexed="81"/>
            <rFont val="Verdana"/>
          </rPr>
          <t xml:space="preserve">
Waves: 2
Wind: 1
People: 3, 10, 0
</t>
        </r>
      </text>
    </comment>
    <comment ref="A32" authorId="0">
      <text>
        <r>
          <rPr>
            <b/>
            <sz val="9"/>
            <color indexed="81"/>
            <rFont val="Verdana"/>
          </rPr>
          <t>Dana Reed:</t>
        </r>
        <r>
          <rPr>
            <sz val="9"/>
            <color indexed="81"/>
            <rFont val="Verdana"/>
          </rPr>
          <t xml:space="preserve">
Waves: 2
Wind: 3
People: 0,0,0
No beach to speak of and the water was brown. Ty climbed down on his own so that Brenda did not have to.  You now have to climb up and down rocks to reach the site.</t>
        </r>
      </text>
    </comment>
    <comment ref="A33" authorId="0">
      <text>
        <r>
          <rPr>
            <b/>
            <sz val="9"/>
            <color indexed="81"/>
            <rFont val="Verdana"/>
          </rPr>
          <t>Dana Reed:</t>
        </r>
        <r>
          <rPr>
            <sz val="9"/>
            <color indexed="81"/>
            <rFont val="Verdana"/>
          </rPr>
          <t xml:space="preserve">
Waves: 1
Wind: 0
People: 0,0,0
Brown water close to shore but looked better out a ways.  Erosion is really bad as per usual.
</t>
        </r>
      </text>
    </comment>
    <comment ref="A34" authorId="0">
      <text>
        <r>
          <rPr>
            <b/>
            <sz val="9"/>
            <color indexed="81"/>
            <rFont val="Verdana"/>
          </rPr>
          <t>Dana Reed:</t>
        </r>
        <r>
          <rPr>
            <sz val="9"/>
            <color indexed="81"/>
            <rFont val="Verdana"/>
          </rPr>
          <t xml:space="preserve">
Waves: 1
Wind: 0
People: 0,4,0
The 4 people on beach were workers on the emergency shoreline work. This work may impact our ability to monitor this site. Very difficult to get down to beach/water becaue of the erosion problems.</t>
        </r>
      </text>
    </comment>
    <comment ref="A35" authorId="0">
      <text>
        <r>
          <rPr>
            <b/>
            <sz val="9"/>
            <color indexed="81"/>
            <rFont val="Verdana"/>
          </rPr>
          <t>Dana Reed:</t>
        </r>
        <r>
          <rPr>
            <sz val="9"/>
            <color indexed="81"/>
            <rFont val="Verdana"/>
          </rPr>
          <t xml:space="preserve">
Waves:2
Wind: 1
People: 1,0,0
Access getting increasingly difficult. Site will be evaluated before next sampling period. Construction going on right on shoreline for emergency protection of property.</t>
        </r>
      </text>
    </comment>
  </commentList>
</comments>
</file>

<file path=xl/comments4.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35</t>
        </r>
      </text>
    </comment>
    <comment ref="A6" authorId="0">
      <text>
        <r>
          <rPr>
            <b/>
            <sz val="9"/>
            <color indexed="81"/>
            <rFont val="Verdana"/>
          </rPr>
          <t>Dana Reed:</t>
        </r>
        <r>
          <rPr>
            <sz val="9"/>
            <color indexed="81"/>
            <rFont val="Verdana"/>
          </rPr>
          <t xml:space="preserve">
2 snorkelers, calm, great visibility, </t>
        </r>
      </text>
    </comment>
    <comment ref="A7" authorId="0">
      <text>
        <r>
          <rPr>
            <b/>
            <sz val="9"/>
            <color indexed="81"/>
            <rFont val="Verdana"/>
          </rPr>
          <t>Dana Reed:</t>
        </r>
        <r>
          <rPr>
            <sz val="9"/>
            <color indexed="81"/>
            <rFont val="Verdana"/>
          </rPr>
          <t xml:space="preserve">
Calm, beach walkers, swimmers, SUPers, hot sunny day, no trades</t>
        </r>
      </text>
    </comment>
    <comment ref="A8" authorId="0">
      <text>
        <r>
          <rPr>
            <b/>
            <sz val="9"/>
            <color indexed="81"/>
            <rFont val="Verdana"/>
          </rPr>
          <t>Dana Reed:</t>
        </r>
        <r>
          <rPr>
            <sz val="9"/>
            <color indexed="81"/>
            <rFont val="Verdana"/>
          </rPr>
          <t xml:space="preserve">
4 SUP, 4 swimmers, calm water, light breeze</t>
        </r>
      </text>
    </comment>
    <comment ref="A9" authorId="0">
      <text>
        <r>
          <rPr>
            <b/>
            <sz val="9"/>
            <color indexed="81"/>
            <rFont val="Verdana"/>
          </rPr>
          <t>Dana Reed:</t>
        </r>
        <r>
          <rPr>
            <sz val="9"/>
            <color indexed="81"/>
            <rFont val="Verdana"/>
          </rPr>
          <t xml:space="preserve">
Team took turbidity and nutrient samples out of bucket. 70% cloud cover and sprinkling, no swimmers</t>
        </r>
      </text>
    </comment>
    <comment ref="A10" authorId="0">
      <text>
        <r>
          <rPr>
            <b/>
            <sz val="9"/>
            <color indexed="81"/>
            <rFont val="Verdana"/>
          </rPr>
          <t>Dana Reed:</t>
        </r>
        <r>
          <rPr>
            <sz val="9"/>
            <color indexed="81"/>
            <rFont val="Verdana"/>
          </rPr>
          <t xml:space="preserve">
3 paddleboarders, swimmers, walkers, beautiful calm warm water</t>
        </r>
      </text>
    </comment>
    <comment ref="A11" authorId="0">
      <text>
        <r>
          <rPr>
            <b/>
            <sz val="9"/>
            <color indexed="81"/>
            <rFont val="Verdana"/>
          </rPr>
          <t>Dana Reed:</t>
        </r>
        <r>
          <rPr>
            <sz val="9"/>
            <color indexed="81"/>
            <rFont val="Verdana"/>
          </rPr>
          <t xml:space="preserve">
Snorklers 4, SUP 2, beach walkers, calm, sun coming out</t>
        </r>
      </text>
    </comment>
    <comment ref="A12" authorId="0">
      <text>
        <r>
          <rPr>
            <b/>
            <sz val="9"/>
            <color indexed="81"/>
            <rFont val="Verdana"/>
          </rPr>
          <t>Dana Reed:</t>
        </r>
        <r>
          <rPr>
            <sz val="9"/>
            <color indexed="81"/>
            <rFont val="Verdana"/>
          </rPr>
          <t xml:space="preserve">
Clear, blue, clean no waves, windy, 1 diver, 1 SUP, 1 snorkler, 5 people on beach, 2 moving sailboats 100 to 200 yards offshore</t>
        </r>
      </text>
    </comment>
    <comment ref="A13" authorId="0">
      <text>
        <r>
          <rPr>
            <b/>
            <sz val="9"/>
            <color indexed="81"/>
            <rFont val="Verdana"/>
          </rPr>
          <t>Dana Reed:</t>
        </r>
        <r>
          <rPr>
            <sz val="9"/>
            <color indexed="81"/>
            <rFont val="Verdana"/>
          </rPr>
          <t xml:space="preserve">
One diver group, very windy but water was calm</t>
        </r>
      </text>
    </comment>
    <comment ref="A14" authorId="0">
      <text>
        <r>
          <rPr>
            <b/>
            <sz val="9"/>
            <color indexed="81"/>
            <rFont val="Verdana"/>
          </rPr>
          <t>Dana Reed:</t>
        </r>
        <r>
          <rPr>
            <sz val="9"/>
            <color indexed="81"/>
            <rFont val="Verdana"/>
          </rPr>
          <t xml:space="preserve">
Group of 4 divers, 3 snorkelers, 1 beach walker, drizzling</t>
        </r>
      </text>
    </comment>
    <comment ref="A15" authorId="0">
      <text>
        <r>
          <rPr>
            <b/>
            <sz val="9"/>
            <color indexed="81"/>
            <rFont val="Verdana"/>
          </rPr>
          <t>Dana Reed:</t>
        </r>
        <r>
          <rPr>
            <sz val="9"/>
            <color indexed="81"/>
            <rFont val="Verdana"/>
          </rPr>
          <t xml:space="preserve">
6 people on beach, calm, water clear and blue, 1 sailboat moored</t>
        </r>
      </text>
    </comment>
    <comment ref="A16" authorId="0">
      <text>
        <r>
          <rPr>
            <b/>
            <sz val="9"/>
            <color indexed="81"/>
            <rFont val="Verdana"/>
          </rPr>
          <t>Dana Reed:</t>
        </r>
        <r>
          <rPr>
            <sz val="9"/>
            <color indexed="81"/>
            <rFont val="Verdana"/>
          </rPr>
          <t xml:space="preserve">
Lots of beach activity, paddlers, SUPs, divers, snorkelers, clear sky, 5 - 7 knot wind from northeast, small surf 1 ft, occasionally larger shore break</t>
        </r>
      </text>
    </comment>
    <comment ref="A17" authorId="0">
      <text>
        <r>
          <rPr>
            <b/>
            <sz val="9"/>
            <color indexed="81"/>
            <rFont val="Verdana"/>
          </rPr>
          <t>Dana Reed:</t>
        </r>
        <r>
          <rPr>
            <sz val="9"/>
            <color indexed="81"/>
            <rFont val="Verdana"/>
          </rPr>
          <t xml:space="preserve">
Calm with sets of bigger waves. 2 divers, 1 snorkeler, 1 SUP. Small breeze.</t>
        </r>
      </text>
    </comment>
    <comment ref="A18" authorId="0">
      <text>
        <r>
          <rPr>
            <b/>
            <sz val="9"/>
            <color indexed="81"/>
            <rFont val="Verdana"/>
          </rPr>
          <t>Dana Reed:</t>
        </r>
        <r>
          <rPr>
            <sz val="9"/>
            <color indexed="81"/>
            <rFont val="Verdana"/>
          </rPr>
          <t xml:space="preserve">
Very steep beach, looks murky, large shore break, no swimmers snorklers or beach walkers, gusty winds</t>
        </r>
      </text>
    </comment>
    <comment ref="A19" authorId="0">
      <text>
        <r>
          <rPr>
            <b/>
            <sz val="9"/>
            <color indexed="81"/>
            <rFont val="Verdana"/>
          </rPr>
          <t>Dana Reed:</t>
        </r>
        <r>
          <rPr>
            <sz val="9"/>
            <color indexed="81"/>
            <rFont val="Verdana"/>
          </rPr>
          <t xml:space="preserve">
Small waves, murky, nobody in water, 3 BFT</t>
        </r>
      </text>
    </comment>
    <comment ref="A20" authorId="0">
      <text>
        <r>
          <rPr>
            <b/>
            <sz val="9"/>
            <color indexed="81"/>
            <rFont val="Verdana"/>
          </rPr>
          <t>Dana Reed:</t>
        </r>
        <r>
          <rPr>
            <sz val="9"/>
            <color indexed="81"/>
            <rFont val="Verdana"/>
          </rPr>
          <t xml:space="preserve">
Very calm, occasional wave. Beach walkers, several families.  Calm winds.</t>
        </r>
      </text>
    </comment>
    <comment ref="A21" authorId="0">
      <text>
        <r>
          <rPr>
            <b/>
            <sz val="9"/>
            <color indexed="81"/>
            <rFont val="Verdana"/>
          </rPr>
          <t>Dana Reed:</t>
        </r>
        <r>
          <rPr>
            <sz val="9"/>
            <color indexed="81"/>
            <rFont val="Verdana"/>
          </rPr>
          <t xml:space="preserve">
water calm and gorgeous, 12 swimmers, snorklers, and SUPers; calm winds</t>
        </r>
      </text>
    </comment>
    <comment ref="A22" authorId="0">
      <text>
        <r>
          <rPr>
            <b/>
            <sz val="9"/>
            <color indexed="81"/>
            <rFont val="Verdana"/>
          </rPr>
          <t>Dana Reed:</t>
        </r>
        <r>
          <rPr>
            <sz val="9"/>
            <color indexed="81"/>
            <rFont val="Verdana"/>
          </rPr>
          <t xml:space="preserve">
Waves: 0 ft
People: 10-20 SSK 10-20 OB
Wind: 1</t>
        </r>
      </text>
    </comment>
    <comment ref="A23" authorId="0">
      <text>
        <r>
          <rPr>
            <b/>
            <sz val="9"/>
            <color indexed="81"/>
            <rFont val="Verdana"/>
          </rPr>
          <t>Dana Reed:</t>
        </r>
        <r>
          <rPr>
            <sz val="9"/>
            <color indexed="81"/>
            <rFont val="Verdana"/>
          </rPr>
          <t xml:space="preserve">
Waves: 0
Wind: 1
People: 10 ssk, 10 ob, 0 c</t>
        </r>
      </text>
    </comment>
    <comment ref="A24" authorId="0">
      <text>
        <r>
          <rPr>
            <b/>
            <sz val="9"/>
            <color indexed="81"/>
            <rFont val="Verdana"/>
          </rPr>
          <t>Dana Reed:</t>
        </r>
        <r>
          <rPr>
            <sz val="9"/>
            <color indexed="81"/>
            <rFont val="Verdana"/>
          </rPr>
          <t xml:space="preserve">
Waves: sets of waves
Wind: 2
People: ssk-5, beach 20-40, camp - 0</t>
        </r>
      </text>
    </comment>
    <comment ref="A25" authorId="0">
      <text>
        <r>
          <rPr>
            <b/>
            <sz val="9"/>
            <color indexed="81"/>
            <rFont val="Verdana"/>
          </rPr>
          <t>Dana Reed:</t>
        </r>
        <r>
          <rPr>
            <sz val="9"/>
            <color indexed="81"/>
            <rFont val="Verdana"/>
          </rPr>
          <t xml:space="preserve">
Waves: 0
Wind: 1
People: ssk 20-40, ob 10-20</t>
        </r>
      </text>
    </comment>
    <comment ref="A26" authorId="0">
      <text>
        <r>
          <rPr>
            <b/>
            <sz val="9"/>
            <color indexed="81"/>
            <rFont val="Verdana"/>
          </rPr>
          <t>Dana Reed:</t>
        </r>
        <r>
          <rPr>
            <sz val="9"/>
            <color indexed="81"/>
            <rFont val="Verdana"/>
          </rPr>
          <t xml:space="preserve">
Waves: 0
Wind: 0
People: ssk 10-20, ob 20-40, campers 0</t>
        </r>
      </text>
    </comment>
    <comment ref="A27" authorId="0">
      <text>
        <r>
          <rPr>
            <b/>
            <sz val="9"/>
            <color indexed="81"/>
            <rFont val="Verdana"/>
          </rPr>
          <t>Dana Reed:</t>
        </r>
        <r>
          <rPr>
            <sz val="9"/>
            <color indexed="81"/>
            <rFont val="Verdana"/>
          </rPr>
          <t xml:space="preserve">
Waves: 0
Wind: 1-2
People: ssk 1-5, beach 10-20, camp 0</t>
        </r>
      </text>
    </comment>
    <comment ref="A28" authorId="0">
      <text>
        <r>
          <rPr>
            <b/>
            <sz val="9"/>
            <color indexed="81"/>
            <rFont val="Verdana"/>
          </rPr>
          <t>Dana Reed:</t>
        </r>
        <r>
          <rPr>
            <sz val="9"/>
            <color indexed="81"/>
            <rFont val="Verdana"/>
          </rPr>
          <t xml:space="preserve">
Waves: 0
Wind: 0
People: 15 in water and about the same on beach. </t>
        </r>
      </text>
    </comment>
    <comment ref="A29" authorId="0">
      <text>
        <r>
          <rPr>
            <b/>
            <sz val="9"/>
            <color indexed="81"/>
            <rFont val="Verdana"/>
          </rPr>
          <t>Dana Reed:</t>
        </r>
        <r>
          <rPr>
            <sz val="9"/>
            <color indexed="81"/>
            <rFont val="Verdana"/>
          </rPr>
          <t xml:space="preserve">
Waves: 1
Wind: 1
People: 10+,10+,0
Beach was very busy today.</t>
        </r>
      </text>
    </comment>
    <comment ref="A30" authorId="0">
      <text>
        <r>
          <rPr>
            <b/>
            <sz val="9"/>
            <color indexed="81"/>
            <rFont val="Verdana"/>
          </rPr>
          <t>Dana Reed:</t>
        </r>
        <r>
          <rPr>
            <sz val="9"/>
            <color indexed="81"/>
            <rFont val="Verdana"/>
          </rPr>
          <t xml:space="preserve">
Waves: 0
Wind: 1
People: 9, 21,0
Sunny, no rain about 20% cloud cover
</t>
        </r>
      </text>
    </comment>
    <comment ref="A31" authorId="0">
      <text>
        <r>
          <rPr>
            <b/>
            <sz val="9"/>
            <color indexed="81"/>
            <rFont val="Verdana"/>
          </rPr>
          <t>Dana Reed:</t>
        </r>
        <r>
          <rPr>
            <sz val="9"/>
            <color indexed="81"/>
            <rFont val="Verdana"/>
          </rPr>
          <t xml:space="preserve">
Waves: 1
Wind:2
People: 15, 20+, 0
</t>
        </r>
      </text>
    </comment>
    <comment ref="A32" authorId="0">
      <text>
        <r>
          <rPr>
            <b/>
            <sz val="9"/>
            <color indexed="81"/>
            <rFont val="Verdana"/>
          </rPr>
          <t>Dana Reed:</t>
        </r>
        <r>
          <rPr>
            <sz val="9"/>
            <color indexed="81"/>
            <rFont val="Verdana"/>
          </rPr>
          <t xml:space="preserve">
Waves: 1
Wind: 4
People: 0,6,0
</t>
        </r>
      </text>
    </comment>
    <comment ref="A33" authorId="0">
      <text>
        <r>
          <rPr>
            <b/>
            <sz val="9"/>
            <color indexed="81"/>
            <rFont val="Verdana"/>
          </rPr>
          <t>Dana Reed:</t>
        </r>
        <r>
          <rPr>
            <sz val="9"/>
            <color indexed="81"/>
            <rFont val="Verdana"/>
          </rPr>
          <t xml:space="preserve">
Waves: 1
Wind: 0
People: 3,1,0
</t>
        </r>
      </text>
    </comment>
    <comment ref="A34" authorId="0">
      <text>
        <r>
          <rPr>
            <b/>
            <sz val="9"/>
            <color indexed="81"/>
            <rFont val="Verdana"/>
          </rPr>
          <t>Dana Reed:</t>
        </r>
        <r>
          <rPr>
            <sz val="9"/>
            <color indexed="81"/>
            <rFont val="Verdana"/>
          </rPr>
          <t xml:space="preserve">
Waves: 0
Wind: 0
People: 6, 20+,0
</t>
        </r>
      </text>
    </comment>
    <comment ref="A35" authorId="0">
      <text>
        <r>
          <rPr>
            <b/>
            <sz val="9"/>
            <color indexed="81"/>
            <rFont val="Verdana"/>
          </rPr>
          <t>Dana Reed:</t>
        </r>
        <r>
          <rPr>
            <sz val="9"/>
            <color indexed="81"/>
            <rFont val="Verdana"/>
          </rPr>
          <t xml:space="preserve">
Waves: 2
Wind: 4
People: 3,18,0
Large particles made turbidity results more variable.  Sand?</t>
        </r>
      </text>
    </comment>
  </commentList>
</comments>
</file>

<file path=xl/comments5.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34</t>
        </r>
      </text>
    </comment>
    <comment ref="A6" authorId="0">
      <text>
        <r>
          <rPr>
            <b/>
            <sz val="9"/>
            <color indexed="81"/>
            <rFont val="Verdana"/>
          </rPr>
          <t>Dana Reed:</t>
        </r>
        <r>
          <rPr>
            <sz val="9"/>
            <color indexed="81"/>
            <rFont val="Verdana"/>
          </rPr>
          <t xml:space="preserve">
zero swimmers, 1 snorkeler, calm</t>
        </r>
      </text>
    </comment>
    <comment ref="A7" authorId="0">
      <text>
        <r>
          <rPr>
            <b/>
            <sz val="9"/>
            <color indexed="81"/>
            <rFont val="Verdana"/>
          </rPr>
          <t>Dana Reed:</t>
        </r>
        <r>
          <rPr>
            <sz val="9"/>
            <color indexed="81"/>
            <rFont val="Verdana"/>
          </rPr>
          <t xml:space="preserve">
Calm, bllue water, clean, 2 SUP, low clouds near Molokai, saw turtles in water</t>
        </r>
      </text>
    </comment>
    <comment ref="A8" authorId="0">
      <text>
        <r>
          <rPr>
            <b/>
            <sz val="9"/>
            <color indexed="81"/>
            <rFont val="Verdana"/>
          </rPr>
          <t>Dana Reed:</t>
        </r>
        <r>
          <rPr>
            <sz val="9"/>
            <color indexed="81"/>
            <rFont val="Verdana"/>
          </rPr>
          <t xml:space="preserve">
Fishermen near our sampling spot with moderate surf.</t>
        </r>
      </text>
    </comment>
    <comment ref="A9" authorId="0">
      <text>
        <r>
          <rPr>
            <b/>
            <sz val="9"/>
            <color indexed="81"/>
            <rFont val="Verdana"/>
          </rPr>
          <t>Dana Reed:</t>
        </r>
        <r>
          <rPr>
            <sz val="9"/>
            <color indexed="81"/>
            <rFont val="Verdana"/>
          </rPr>
          <t xml:space="preserve">
70% cloud cover and no swimmers</t>
        </r>
      </text>
    </comment>
    <comment ref="A10" authorId="0">
      <text>
        <r>
          <rPr>
            <b/>
            <sz val="9"/>
            <color indexed="81"/>
            <rFont val="Verdana"/>
          </rPr>
          <t>Dana Reed:</t>
        </r>
        <r>
          <rPr>
            <sz val="9"/>
            <color indexed="81"/>
            <rFont val="Verdana"/>
          </rPr>
          <t xml:space="preserve">
More waves here - sets of waves, 2 norklers, warm and clear water</t>
        </r>
      </text>
    </comment>
    <comment ref="A11" authorId="0">
      <text>
        <r>
          <rPr>
            <b/>
            <sz val="9"/>
            <color indexed="81"/>
            <rFont val="Verdana"/>
          </rPr>
          <t>Dana Reed:</t>
        </r>
        <r>
          <rPr>
            <sz val="9"/>
            <color indexed="81"/>
            <rFont val="Verdana"/>
          </rPr>
          <t xml:space="preserve">
Calm, fishermen on rocks, beach walkers, clear water</t>
        </r>
      </text>
    </comment>
    <comment ref="A12" authorId="0">
      <text>
        <r>
          <rPr>
            <b/>
            <sz val="9"/>
            <color indexed="81"/>
            <rFont val="Verdana"/>
          </rPr>
          <t>Dana Reed:</t>
        </r>
        <r>
          <rPr>
            <sz val="9"/>
            <color indexed="81"/>
            <rFont val="Verdana"/>
          </rPr>
          <t xml:space="preserve">
Clear, blue, clean water with 1 foot shore break. 2 SUP, 5 people sitting on beach, light wind.</t>
        </r>
      </text>
    </comment>
    <comment ref="A13" authorId="0">
      <text>
        <r>
          <rPr>
            <b/>
            <sz val="9"/>
            <color indexed="81"/>
            <rFont val="Verdana"/>
          </rPr>
          <t>Dana Reed:</t>
        </r>
        <r>
          <rPr>
            <sz val="9"/>
            <color indexed="81"/>
            <rFont val="Verdana"/>
          </rPr>
          <t xml:space="preserve">
divers, snorklers, beach walkers, jet ski, SUPers</t>
        </r>
      </text>
    </comment>
    <comment ref="A14" authorId="0">
      <text>
        <r>
          <rPr>
            <b/>
            <sz val="9"/>
            <color indexed="81"/>
            <rFont val="Verdana"/>
          </rPr>
          <t>Dana Reed:</t>
        </r>
        <r>
          <rPr>
            <sz val="9"/>
            <color indexed="81"/>
            <rFont val="Verdana"/>
          </rPr>
          <t xml:space="preserve">
Getting sunnier, no rain. 2 diver groups, 2 yoga, big waves</t>
        </r>
      </text>
    </comment>
    <comment ref="A15" authorId="0">
      <text>
        <r>
          <rPr>
            <b/>
            <sz val="9"/>
            <color indexed="81"/>
            <rFont val="Verdana"/>
          </rPr>
          <t>Dana Reed:</t>
        </r>
        <r>
          <rPr>
            <sz val="9"/>
            <color indexed="81"/>
            <rFont val="Verdana"/>
          </rPr>
          <t xml:space="preserve">
No swimmers, calm surf, shore break mixed with sand, 2 people walking on beach, 1 snorkeler</t>
        </r>
      </text>
    </comment>
    <comment ref="A16" authorId="0">
      <text>
        <r>
          <rPr>
            <b/>
            <sz val="9"/>
            <color indexed="81"/>
            <rFont val="Verdana"/>
          </rPr>
          <t>Dana Reed:</t>
        </r>
        <r>
          <rPr>
            <sz val="9"/>
            <color indexed="81"/>
            <rFont val="Verdana"/>
          </rPr>
          <t xml:space="preserve">
Occasional waves, 6 SUPs, swimmers but not close, clear sky and no wind.</t>
        </r>
      </text>
    </comment>
    <comment ref="A17" authorId="0">
      <text>
        <r>
          <rPr>
            <b/>
            <sz val="9"/>
            <color indexed="81"/>
            <rFont val="Verdana"/>
          </rPr>
          <t>Dana Reed:</t>
        </r>
        <r>
          <rPr>
            <sz val="9"/>
            <color indexed="81"/>
            <rFont val="Verdana"/>
          </rPr>
          <t xml:space="preserve">
Calm water with amazingly small sets. 1 SUP, divers, calm winds.</t>
        </r>
      </text>
    </comment>
    <comment ref="A18" authorId="0">
      <text>
        <r>
          <rPr>
            <b/>
            <sz val="9"/>
            <color indexed="81"/>
            <rFont val="Verdana"/>
          </rPr>
          <t>Dana Reed:</t>
        </r>
        <r>
          <rPr>
            <sz val="9"/>
            <color indexed="81"/>
            <rFont val="Verdana"/>
          </rPr>
          <t xml:space="preserve">
waves, silt, divers, people playing in waves, very windy</t>
        </r>
      </text>
    </comment>
    <comment ref="A19" authorId="0">
      <text>
        <r>
          <rPr>
            <b/>
            <sz val="9"/>
            <color indexed="81"/>
            <rFont val="Verdana"/>
          </rPr>
          <t>Dana Reed:</t>
        </r>
        <r>
          <rPr>
            <sz val="9"/>
            <color indexed="81"/>
            <rFont val="Verdana"/>
          </rPr>
          <t xml:space="preserve">
Ulva on rocks.  Small waves but close to flat. 3 SUPs. 0-1 BFT</t>
        </r>
      </text>
    </comment>
    <comment ref="A20" authorId="0">
      <text>
        <r>
          <rPr>
            <b/>
            <sz val="9"/>
            <color indexed="81"/>
            <rFont val="Verdana"/>
          </rPr>
          <t>Dana Reed:</t>
        </r>
        <r>
          <rPr>
            <sz val="9"/>
            <color indexed="81"/>
            <rFont val="Verdana"/>
          </rPr>
          <t xml:space="preserve">
Brown, calm sets of waves, beach walkers and families.  Calm winds</t>
        </r>
      </text>
    </comment>
    <comment ref="A21" authorId="0">
      <text>
        <r>
          <rPr>
            <b/>
            <sz val="9"/>
            <color indexed="81"/>
            <rFont val="Verdana"/>
          </rPr>
          <t>Dana Reed:</t>
        </r>
        <r>
          <rPr>
            <sz val="9"/>
            <color indexed="81"/>
            <rFont val="Verdana"/>
          </rPr>
          <t xml:space="preserve">
Very calm with small wave sets.  Lots 10 snorkelers, 4 SUPs; very calm winds</t>
        </r>
      </text>
    </comment>
    <comment ref="A22" authorId="0">
      <text>
        <r>
          <rPr>
            <b/>
            <sz val="9"/>
            <color indexed="81"/>
            <rFont val="Verdana"/>
          </rPr>
          <t>Dana Reed:</t>
        </r>
        <r>
          <rPr>
            <sz val="9"/>
            <color indexed="81"/>
            <rFont val="Verdana"/>
          </rPr>
          <t xml:space="preserve">
Waves: 0 ft
People: 0-5 SS 0-5 OB
Wind: 0</t>
        </r>
      </text>
    </comment>
    <comment ref="A23" authorId="0">
      <text>
        <r>
          <rPr>
            <b/>
            <sz val="9"/>
            <color indexed="81"/>
            <rFont val="Verdana"/>
          </rPr>
          <t>Dana Reed:</t>
        </r>
        <r>
          <rPr>
            <sz val="9"/>
            <color indexed="81"/>
            <rFont val="Verdana"/>
          </rPr>
          <t xml:space="preserve">
Waves: 0
Wind: 1
People: 0</t>
        </r>
      </text>
    </comment>
    <comment ref="A24" authorId="0">
      <text>
        <r>
          <rPr>
            <b/>
            <sz val="9"/>
            <color indexed="81"/>
            <rFont val="Verdana"/>
          </rPr>
          <t>Dana Reed:</t>
        </r>
        <r>
          <rPr>
            <sz val="9"/>
            <color indexed="81"/>
            <rFont val="Verdana"/>
          </rPr>
          <t xml:space="preserve">
Waves:  3, large surges
Wind: 3
People: 4 ssk, beach 10-20</t>
        </r>
      </text>
    </comment>
    <comment ref="A25" authorId="0">
      <text>
        <r>
          <rPr>
            <b/>
            <sz val="9"/>
            <color indexed="81"/>
            <rFont val="Verdana"/>
          </rPr>
          <t>Dana Reed:</t>
        </r>
        <r>
          <rPr>
            <sz val="9"/>
            <color indexed="81"/>
            <rFont val="Verdana"/>
          </rPr>
          <t xml:space="preserve">
Waves: 0-1
Wind: 0
People: ssk 10-20, ob 0-5</t>
        </r>
      </text>
    </comment>
    <comment ref="A26" authorId="0">
      <text>
        <r>
          <rPr>
            <b/>
            <sz val="9"/>
            <color indexed="81"/>
            <rFont val="Verdana"/>
          </rPr>
          <t>Dana Reed:</t>
        </r>
        <r>
          <rPr>
            <sz val="9"/>
            <color indexed="81"/>
            <rFont val="Verdana"/>
          </rPr>
          <t xml:space="preserve">
Waves: 1
Wind: 0-1
People: ssk1-5, ob 5-10, campers 0
Lots of sand suspended in the water at canoe beach.</t>
        </r>
      </text>
    </comment>
    <comment ref="A27" authorId="0">
      <text>
        <r>
          <rPr>
            <b/>
            <sz val="9"/>
            <color indexed="81"/>
            <rFont val="Verdana"/>
          </rPr>
          <t>Dana Reed:</t>
        </r>
        <r>
          <rPr>
            <sz val="9"/>
            <color indexed="81"/>
            <rFont val="Verdana"/>
          </rPr>
          <t xml:space="preserve">
Waves: 1
Wind: 0
People: ssk 1-5, beach 20-40, camp 0
Sets of higher waves. Did turbidity sample twice because the first time the sampler appeared to get a small "muddy" spot as opposed to a representative spot.</t>
        </r>
      </text>
    </comment>
    <comment ref="A28" authorId="0">
      <text>
        <r>
          <rPr>
            <b/>
            <sz val="9"/>
            <color indexed="81"/>
            <rFont val="Verdana"/>
          </rPr>
          <t>Dana Reed:</t>
        </r>
        <r>
          <rPr>
            <sz val="9"/>
            <color indexed="81"/>
            <rFont val="Verdana"/>
          </rPr>
          <t xml:space="preserve">
Waves: 0.5
Wind: 2
People: 5-10 in water and a few on the beach. Marie mentioned some waves at Canoe beach even though she recorded just small ones.No stream flow was reported.</t>
        </r>
      </text>
    </comment>
    <comment ref="A29" authorId="0">
      <text>
        <r>
          <rPr>
            <b/>
            <sz val="9"/>
            <color indexed="81"/>
            <rFont val="Verdana"/>
          </rPr>
          <t>Dana Reed:</t>
        </r>
        <r>
          <rPr>
            <sz val="9"/>
            <color indexed="81"/>
            <rFont val="Verdana"/>
          </rPr>
          <t xml:space="preserve">
Waves: 0
Wind: 0
People: 3,6,0
</t>
        </r>
      </text>
    </comment>
    <comment ref="A30" authorId="0">
      <text>
        <r>
          <rPr>
            <b/>
            <sz val="9"/>
            <color indexed="81"/>
            <rFont val="Verdana"/>
          </rPr>
          <t>Dana Reed:</t>
        </r>
        <r>
          <rPr>
            <sz val="9"/>
            <color indexed="81"/>
            <rFont val="Verdana"/>
          </rPr>
          <t xml:space="preserve">
Waves: 1
Wind: 0
People: 0,2,0
One dog on beach. Light drizzle, 90% cloud cover
</t>
        </r>
      </text>
    </comment>
    <comment ref="A31" authorId="0">
      <text>
        <r>
          <rPr>
            <b/>
            <sz val="9"/>
            <color indexed="81"/>
            <rFont val="Verdana"/>
          </rPr>
          <t>Dana Reed:</t>
        </r>
        <r>
          <rPr>
            <sz val="9"/>
            <color indexed="81"/>
            <rFont val="Verdana"/>
          </rPr>
          <t xml:space="preserve">
Waves: 1
Wind: 3
People: 10,0,0
Warning sign about high entero dated 11/2/17</t>
        </r>
      </text>
    </comment>
    <comment ref="A32" authorId="0">
      <text>
        <r>
          <rPr>
            <b/>
            <sz val="9"/>
            <color indexed="81"/>
            <rFont val="Verdana"/>
          </rPr>
          <t>Dana Reed:</t>
        </r>
        <r>
          <rPr>
            <sz val="9"/>
            <color indexed="81"/>
            <rFont val="Verdana"/>
          </rPr>
          <t xml:space="preserve">
Waves: 1
Wind: 4
People: 0,3,0
</t>
        </r>
      </text>
    </comment>
    <comment ref="A33" authorId="0">
      <text>
        <r>
          <rPr>
            <b/>
            <sz val="9"/>
            <color indexed="81"/>
            <rFont val="Verdana"/>
          </rPr>
          <t>Dana Reed:</t>
        </r>
        <r>
          <rPr>
            <sz val="9"/>
            <color indexed="81"/>
            <rFont val="Verdana"/>
          </rPr>
          <t xml:space="preserve">
Waves: 0
Wind: 0
People: 1,6,0
Lots of fishermen today at canoe beach.
</t>
        </r>
      </text>
    </comment>
    <comment ref="A34" authorId="0">
      <text>
        <r>
          <rPr>
            <b/>
            <sz val="9"/>
            <color indexed="81"/>
            <rFont val="Verdana"/>
          </rPr>
          <t>Dana Reed:</t>
        </r>
        <r>
          <rPr>
            <sz val="9"/>
            <color indexed="81"/>
            <rFont val="Verdana"/>
          </rPr>
          <t xml:space="preserve">
Waves: 1
Wind: 0
People: 7,18+, 0
</t>
        </r>
      </text>
    </comment>
    <comment ref="A35" authorId="0">
      <text>
        <r>
          <rPr>
            <b/>
            <sz val="9"/>
            <color indexed="81"/>
            <rFont val="Verdana"/>
          </rPr>
          <t>Dana Reed:</t>
        </r>
        <r>
          <rPr>
            <sz val="9"/>
            <color indexed="81"/>
            <rFont val="Verdana"/>
          </rPr>
          <t xml:space="preserve">
Waves: 1
Wind: 4
People: 0,5,0
Choppy water due to wind.</t>
        </r>
      </text>
    </comment>
  </commentList>
</comments>
</file>

<file path=xl/comments6.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35</t>
        </r>
      </text>
    </comment>
    <comment ref="A6" authorId="0">
      <text>
        <r>
          <rPr>
            <b/>
            <sz val="9"/>
            <color indexed="81"/>
            <rFont val="Verdana"/>
          </rPr>
          <t>Dana Reed:</t>
        </r>
        <r>
          <rPr>
            <sz val="9"/>
            <color indexed="81"/>
            <rFont val="Verdana"/>
          </rPr>
          <t xml:space="preserve">
6 snorkelers, 1 swimmer, calm, sets of waves</t>
        </r>
      </text>
    </comment>
    <comment ref="A7" authorId="0">
      <text>
        <r>
          <rPr>
            <b/>
            <sz val="9"/>
            <color indexed="81"/>
            <rFont val="Verdana"/>
          </rPr>
          <t>Dana Reed:</t>
        </r>
        <r>
          <rPr>
            <sz val="9"/>
            <color indexed="81"/>
            <rFont val="Verdana"/>
          </rPr>
          <t xml:space="preserve">
3 swimmers, calm</t>
        </r>
      </text>
    </comment>
    <comment ref="A8" authorId="0">
      <text>
        <r>
          <rPr>
            <b/>
            <sz val="9"/>
            <color indexed="81"/>
            <rFont val="Verdana"/>
          </rPr>
          <t>Dana Reed:</t>
        </r>
        <r>
          <rPr>
            <sz val="9"/>
            <color indexed="81"/>
            <rFont val="Verdana"/>
          </rPr>
          <t xml:space="preserve">
One person with dog right in front of our sampling spot. Big pug!, Larger surf and swell, Terry had a little trouble getting samples</t>
        </r>
      </text>
    </comment>
    <comment ref="A9" authorId="0">
      <text>
        <r>
          <rPr>
            <b/>
            <sz val="9"/>
            <color indexed="81"/>
            <rFont val="Verdana"/>
          </rPr>
          <t>Dana Reed:</t>
        </r>
        <r>
          <rPr>
            <sz val="9"/>
            <color indexed="81"/>
            <rFont val="Verdana"/>
          </rPr>
          <t xml:space="preserve">
Team took turbidity and nutrient samples out of bucket.  No swimmers.</t>
        </r>
      </text>
    </comment>
    <comment ref="A10" authorId="0">
      <text>
        <r>
          <rPr>
            <b/>
            <sz val="9"/>
            <color indexed="81"/>
            <rFont val="Verdana"/>
          </rPr>
          <t>Dana Reed:</t>
        </r>
        <r>
          <rPr>
            <sz val="9"/>
            <color indexed="81"/>
            <rFont val="Verdana"/>
          </rPr>
          <t xml:space="preserve">
No beach goers here, still pretty calm. Snorklers farther north</t>
        </r>
      </text>
    </comment>
    <comment ref="A11" authorId="0">
      <text>
        <r>
          <rPr>
            <b/>
            <sz val="9"/>
            <color indexed="81"/>
            <rFont val="Verdana"/>
          </rPr>
          <t>Dana Reed:</t>
        </r>
        <r>
          <rPr>
            <sz val="9"/>
            <color indexed="81"/>
            <rFont val="Verdana"/>
          </rPr>
          <t xml:space="preserve">
Calm, no people on beach or in water. Clear water</t>
        </r>
      </text>
    </comment>
    <comment ref="A12" authorId="0">
      <text>
        <r>
          <rPr>
            <b/>
            <sz val="9"/>
            <color indexed="81"/>
            <rFont val="Verdana"/>
          </rPr>
          <t>Dana Reed:</t>
        </r>
        <r>
          <rPr>
            <sz val="9"/>
            <color indexed="81"/>
            <rFont val="Verdana"/>
          </rPr>
          <t xml:space="preserve">
Clear, blue, calm with 0.5 foot shore break. 1 person fishing.  Light winds</t>
        </r>
      </text>
    </comment>
    <comment ref="A13" authorId="0">
      <text>
        <r>
          <rPr>
            <b/>
            <sz val="9"/>
            <color indexed="81"/>
            <rFont val="Verdana"/>
          </rPr>
          <t>Dana Reed:</t>
        </r>
        <r>
          <rPr>
            <sz val="9"/>
            <color indexed="81"/>
            <rFont val="Verdana"/>
          </rPr>
          <t xml:space="preserve">
No wind at this site. Rocks exposed from all the recent high surf</t>
        </r>
      </text>
    </comment>
    <comment ref="A14" authorId="0">
      <text>
        <r>
          <rPr>
            <b/>
            <sz val="9"/>
            <color indexed="81"/>
            <rFont val="Verdana"/>
          </rPr>
          <t>Dana Reed:</t>
        </r>
        <r>
          <rPr>
            <sz val="9"/>
            <color indexed="81"/>
            <rFont val="Verdana"/>
          </rPr>
          <t xml:space="preserve">
Walker on sidewalk. Nobody on beach.  Still a bit of rain/drizzle.</t>
        </r>
      </text>
    </comment>
    <comment ref="A15" authorId="0">
      <text>
        <r>
          <rPr>
            <b/>
            <sz val="9"/>
            <color indexed="81"/>
            <rFont val="Verdana"/>
          </rPr>
          <t>Dana Reed:</t>
        </r>
        <r>
          <rPr>
            <sz val="9"/>
            <color indexed="81"/>
            <rFont val="Verdana"/>
          </rPr>
          <t xml:space="preserve">
Calm, no swimeers, brown water at shore break, blue water resting, monk seal on beach 50 yards south of sample point</t>
        </r>
      </text>
    </comment>
    <comment ref="A16" authorId="0">
      <text>
        <r>
          <rPr>
            <b/>
            <sz val="9"/>
            <color indexed="81"/>
            <rFont val="Verdana"/>
          </rPr>
          <t>Dana Reed:</t>
        </r>
        <r>
          <rPr>
            <sz val="9"/>
            <color indexed="81"/>
            <rFont val="Verdana"/>
          </rPr>
          <t xml:space="preserve">
2 fishermen right where we were collecting. 4 swimmers at the south end. Small waves, clear sky, light breeze.</t>
        </r>
      </text>
    </comment>
    <comment ref="A17" authorId="0">
      <text>
        <r>
          <rPr>
            <b/>
            <sz val="9"/>
            <color indexed="81"/>
            <rFont val="Verdana"/>
          </rPr>
          <t>Dana Reed:</t>
        </r>
        <r>
          <rPr>
            <sz val="9"/>
            <color indexed="81"/>
            <rFont val="Verdana"/>
          </rPr>
          <t xml:space="preserve">
Calm with small waves. 1 swimmer down the beach, calm winds.  Note that the team sampled about 100 feet south on the beach because sand movement had exposed large rocks where we usually sample.
</t>
        </r>
      </text>
    </comment>
    <comment ref="A18" authorId="0">
      <text>
        <r>
          <rPr>
            <b/>
            <sz val="9"/>
            <color indexed="81"/>
            <rFont val="Verdana"/>
          </rPr>
          <t>Dana Reed:</t>
        </r>
        <r>
          <rPr>
            <sz val="9"/>
            <color indexed="81"/>
            <rFont val="Verdana"/>
          </rPr>
          <t xml:space="preserve">
big waves, no swimmers, windy</t>
        </r>
      </text>
    </comment>
    <comment ref="A19" authorId="0">
      <text>
        <r>
          <rPr>
            <b/>
            <sz val="9"/>
            <color indexed="81"/>
            <rFont val="Verdana"/>
          </rPr>
          <t>Dana Reed:</t>
        </r>
        <r>
          <rPr>
            <sz val="9"/>
            <color indexed="81"/>
            <rFont val="Verdana"/>
          </rPr>
          <t xml:space="preserve">
Small waves, shore break, no swimmers, 1-2 BFT</t>
        </r>
      </text>
    </comment>
    <comment ref="A20" authorId="0">
      <text>
        <r>
          <rPr>
            <b/>
            <sz val="9"/>
            <color indexed="81"/>
            <rFont val="Verdana"/>
          </rPr>
          <t>Dana Reed:</t>
        </r>
        <r>
          <rPr>
            <sz val="9"/>
            <color indexed="81"/>
            <rFont val="Verdana"/>
          </rPr>
          <t xml:space="preserve">
Flat, no waves. 2 couples and 1 couple walking. Calm winds.</t>
        </r>
      </text>
    </comment>
    <comment ref="A21" authorId="0">
      <text>
        <r>
          <rPr>
            <b/>
            <sz val="9"/>
            <color indexed="81"/>
            <rFont val="Verdana"/>
          </rPr>
          <t>Dana Reed:</t>
        </r>
        <r>
          <rPr>
            <sz val="9"/>
            <color indexed="81"/>
            <rFont val="Verdana"/>
          </rPr>
          <t xml:space="preserve">
Very calm water with sets of waves, no swimmers, calm winds</t>
        </r>
      </text>
    </comment>
    <comment ref="A22" authorId="0">
      <text>
        <r>
          <rPr>
            <b/>
            <sz val="9"/>
            <color indexed="81"/>
            <rFont val="Verdana"/>
          </rPr>
          <t>Dana Reed:</t>
        </r>
        <r>
          <rPr>
            <sz val="9"/>
            <color indexed="81"/>
            <rFont val="Verdana"/>
          </rPr>
          <t xml:space="preserve">
Waves:  0 ft
People:  0 SS 0 OB
Wind:  0</t>
        </r>
      </text>
    </comment>
    <comment ref="A23" authorId="0">
      <text>
        <r>
          <rPr>
            <b/>
            <sz val="9"/>
            <color indexed="81"/>
            <rFont val="Verdana"/>
          </rPr>
          <t>Dana Reed:</t>
        </r>
        <r>
          <rPr>
            <sz val="9"/>
            <color indexed="81"/>
            <rFont val="Verdana"/>
          </rPr>
          <t xml:space="preserve">
Waves: 0
Wind: 1
People: 0</t>
        </r>
      </text>
    </comment>
    <comment ref="A25" authorId="0">
      <text>
        <r>
          <rPr>
            <b/>
            <sz val="9"/>
            <color indexed="81"/>
            <rFont val="Verdana"/>
          </rPr>
          <t>Dana Reed:</t>
        </r>
        <r>
          <rPr>
            <sz val="9"/>
            <color indexed="81"/>
            <rFont val="Verdana"/>
          </rPr>
          <t xml:space="preserve">
Waves: 0-1
Wind: 0-1
People: ssk 1-5, ob 0-5</t>
        </r>
      </text>
    </comment>
    <comment ref="A26" authorId="0">
      <text>
        <r>
          <rPr>
            <b/>
            <sz val="9"/>
            <color indexed="81"/>
            <rFont val="Verdana"/>
          </rPr>
          <t>Dana Reed:</t>
        </r>
        <r>
          <rPr>
            <sz val="9"/>
            <color indexed="81"/>
            <rFont val="Verdana"/>
          </rPr>
          <t xml:space="preserve">
Waves: 1
Wind: 1-2
People: ssk 0, ob 1-5
Wahikuli very clear!</t>
        </r>
      </text>
    </comment>
    <comment ref="A27" authorId="0">
      <text>
        <r>
          <rPr>
            <b/>
            <sz val="9"/>
            <color indexed="81"/>
            <rFont val="Verdana"/>
          </rPr>
          <t>Dana Reed:</t>
        </r>
        <r>
          <rPr>
            <sz val="9"/>
            <color indexed="81"/>
            <rFont val="Verdana"/>
          </rPr>
          <t xml:space="preserve">
Waves: 1
Wind: 0-1
People: ssk 0, beach 0, camp 0</t>
        </r>
      </text>
    </comment>
    <comment ref="A28" authorId="0">
      <text>
        <r>
          <rPr>
            <b/>
            <sz val="9"/>
            <color indexed="81"/>
            <rFont val="Verdana"/>
          </rPr>
          <t>Dana Reed:</t>
        </r>
        <r>
          <rPr>
            <sz val="9"/>
            <color indexed="81"/>
            <rFont val="Verdana"/>
          </rPr>
          <t xml:space="preserve">
Waves: 0-1
Wind: 0
People: 1 person reported in the water.</t>
        </r>
      </text>
    </comment>
    <comment ref="A29" authorId="0">
      <text>
        <r>
          <rPr>
            <b/>
            <sz val="9"/>
            <color indexed="81"/>
            <rFont val="Verdana"/>
          </rPr>
          <t>Dana Reed:</t>
        </r>
        <r>
          <rPr>
            <sz val="9"/>
            <color indexed="81"/>
            <rFont val="Verdana"/>
          </rPr>
          <t xml:space="preserve">
Waves: 1
Wind: 1
People: 2,0,0
</t>
        </r>
      </text>
    </comment>
    <comment ref="A30" authorId="0">
      <text>
        <r>
          <rPr>
            <b/>
            <sz val="9"/>
            <color indexed="81"/>
            <rFont val="Verdana"/>
          </rPr>
          <t>Dana Reed:</t>
        </r>
        <r>
          <rPr>
            <sz val="9"/>
            <color indexed="81"/>
            <rFont val="Verdana"/>
          </rPr>
          <t xml:space="preserve">
Waves: 1
Wind: 1
People: 0,0,2
overcast
</t>
        </r>
      </text>
    </comment>
    <comment ref="A31" authorId="0">
      <text>
        <r>
          <rPr>
            <b/>
            <sz val="9"/>
            <color indexed="81"/>
            <rFont val="Verdana"/>
          </rPr>
          <t>Dana Reed:</t>
        </r>
        <r>
          <rPr>
            <sz val="9"/>
            <color indexed="81"/>
            <rFont val="Verdana"/>
          </rPr>
          <t xml:space="preserve">
Waves: 1
Wind: 4
People: 6,3,0
</t>
        </r>
      </text>
    </comment>
    <comment ref="A32" authorId="0">
      <text>
        <r>
          <rPr>
            <b/>
            <sz val="9"/>
            <color indexed="81"/>
            <rFont val="Verdana"/>
          </rPr>
          <t>Dana Reed:</t>
        </r>
        <r>
          <rPr>
            <sz val="9"/>
            <color indexed="81"/>
            <rFont val="Verdana"/>
          </rPr>
          <t xml:space="preserve">
Waves: 1
Wind: 4
People: 0,0,0
</t>
        </r>
      </text>
    </comment>
    <comment ref="A33" authorId="0">
      <text>
        <r>
          <rPr>
            <b/>
            <sz val="9"/>
            <color indexed="81"/>
            <rFont val="Verdana"/>
          </rPr>
          <t>Dana Reed:</t>
        </r>
        <r>
          <rPr>
            <sz val="9"/>
            <color indexed="81"/>
            <rFont val="Verdana"/>
          </rPr>
          <t xml:space="preserve">
Waves: 0
Wind: 1
People: 0,0,0
</t>
        </r>
      </text>
    </comment>
    <comment ref="A34" authorId="0">
      <text>
        <r>
          <rPr>
            <b/>
            <sz val="9"/>
            <color indexed="81"/>
            <rFont val="Verdana"/>
          </rPr>
          <t>Dana Reed:</t>
        </r>
        <r>
          <rPr>
            <sz val="9"/>
            <color indexed="81"/>
            <rFont val="Verdana"/>
          </rPr>
          <t xml:space="preserve">
Waves: 2
Wind: 1
People: 4,1,0
</t>
        </r>
      </text>
    </comment>
    <comment ref="A35" authorId="0">
      <text>
        <r>
          <rPr>
            <b/>
            <sz val="9"/>
            <color indexed="81"/>
            <rFont val="Verdana"/>
          </rPr>
          <t>Dana Reed:</t>
        </r>
        <r>
          <rPr>
            <sz val="9"/>
            <color indexed="81"/>
            <rFont val="Verdana"/>
          </rPr>
          <t xml:space="preserve">
Waves: 1
Wind: 4
People: 1,3,0
</t>
        </r>
      </text>
    </comment>
  </commentList>
</comments>
</file>

<file path=xl/sharedStrings.xml><?xml version="1.0" encoding="utf-8"?>
<sst xmlns="http://schemas.openxmlformats.org/spreadsheetml/2006/main" count="890" uniqueCount="84">
  <si>
    <t>1 (3,2,4)</t>
    <phoneticPr fontId="1" type="noConversion"/>
  </si>
  <si>
    <t>Date</t>
    <phoneticPr fontId="1" type="noConversion"/>
  </si>
  <si>
    <t>Time</t>
    <phoneticPr fontId="1" type="noConversion"/>
  </si>
  <si>
    <t>Temp (degrees C)</t>
    <phoneticPr fontId="1" type="noConversion"/>
  </si>
  <si>
    <t>Salinity (ppt)</t>
    <phoneticPr fontId="1" type="noConversion"/>
  </si>
  <si>
    <t>DO (mg/L)</t>
    <phoneticPr fontId="1" type="noConversion"/>
  </si>
  <si>
    <t>DO sat (percent)</t>
    <phoneticPr fontId="1" type="noConversion"/>
  </si>
  <si>
    <t>pH</t>
    <phoneticPr fontId="1" type="noConversion"/>
  </si>
  <si>
    <t>Turbidity (NTU)</t>
    <phoneticPr fontId="1" type="noConversion"/>
  </si>
  <si>
    <t>Location Code</t>
    <phoneticPr fontId="1" type="noConversion"/>
  </si>
  <si>
    <t>Pohaku</t>
    <phoneticPr fontId="1" type="noConversion"/>
  </si>
  <si>
    <t>2 (2,1,3)</t>
    <phoneticPr fontId="1" type="noConversion"/>
  </si>
  <si>
    <t>RPO</t>
    <phoneticPr fontId="1" type="noConversion"/>
  </si>
  <si>
    <t>1 (3,2,4)</t>
    <phoneticPr fontId="1" type="noConversion"/>
  </si>
  <si>
    <t>Kaanapali Shores</t>
    <phoneticPr fontId="1" type="noConversion"/>
  </si>
  <si>
    <t>RKS</t>
    <phoneticPr fontId="1" type="noConversion"/>
  </si>
  <si>
    <t>Airport Beach</t>
    <phoneticPr fontId="1" type="noConversion"/>
  </si>
  <si>
    <t>RAB</t>
    <phoneticPr fontId="1" type="noConversion"/>
  </si>
  <si>
    <t>Canoe Beach</t>
    <phoneticPr fontId="1" type="noConversion"/>
  </si>
  <si>
    <t>RCB</t>
    <phoneticPr fontId="1" type="noConversion"/>
  </si>
  <si>
    <t>1 (3,2,4)</t>
    <phoneticPr fontId="1" type="noConversion"/>
  </si>
  <si>
    <t>Wahikuli Beach</t>
    <phoneticPr fontId="1" type="noConversion"/>
  </si>
  <si>
    <t>RWA</t>
    <phoneticPr fontId="1" type="noConversion"/>
  </si>
  <si>
    <t>RNS</t>
    <phoneticPr fontId="1" type="noConversion"/>
  </si>
  <si>
    <t>Napili south</t>
    <phoneticPr fontId="1" type="noConversion"/>
  </si>
  <si>
    <t>1 (2,2,4)</t>
    <phoneticPr fontId="1" type="noConversion"/>
  </si>
  <si>
    <t>2 (2,2,3)</t>
    <phoneticPr fontId="1" type="noConversion"/>
  </si>
  <si>
    <t>1 (3,1,4)</t>
    <phoneticPr fontId="1" type="noConversion"/>
  </si>
  <si>
    <t>2 (2,2,3)</t>
    <phoneticPr fontId="1" type="noConversion"/>
  </si>
  <si>
    <t>2 (2,2,3)</t>
    <phoneticPr fontId="1" type="noConversion"/>
  </si>
  <si>
    <t>2 (2,2,3)</t>
    <phoneticPr fontId="1" type="noConversion"/>
  </si>
  <si>
    <t>2 (2,2,3)</t>
    <phoneticPr fontId="1" type="noConversion"/>
  </si>
  <si>
    <t>2 (2,2,3)</t>
    <phoneticPr fontId="1" type="noConversion"/>
  </si>
  <si>
    <t>Comments QA/QC Notes</t>
    <phoneticPr fontId="1" type="noConversion"/>
  </si>
  <si>
    <t>Total N (ug/L)</t>
    <phoneticPr fontId="1" type="noConversion"/>
  </si>
  <si>
    <t>Airport Beach</t>
    <phoneticPr fontId="1" type="noConversion"/>
  </si>
  <si>
    <t>Washed, rinsed syringes; acid washed bottles, 0.7 um filters, washed, rinsed syringe filter holders</t>
    <phoneticPr fontId="1" type="noConversion"/>
  </si>
  <si>
    <t>2 (2,1,3)</t>
    <phoneticPr fontId="1" type="noConversion"/>
  </si>
  <si>
    <t>NNN (ug/L)</t>
    <phoneticPr fontId="1" type="noConversion"/>
  </si>
  <si>
    <t>NH4 (ug/L)</t>
    <phoneticPr fontId="1" type="noConversion"/>
  </si>
  <si>
    <t>Total P (ug/L)</t>
    <phoneticPr fontId="1" type="noConversion"/>
  </si>
  <si>
    <t>Phosphate (ug/L)</t>
    <phoneticPr fontId="1" type="noConversion"/>
  </si>
  <si>
    <t>Silicate (ug/L)</t>
    <phoneticPr fontId="1" type="noConversion"/>
  </si>
  <si>
    <t>Geometric Mean</t>
    <phoneticPr fontId="1" type="noConversion"/>
  </si>
  <si>
    <t>Arithmetric Mean</t>
    <phoneticPr fontId="1" type="noConversion"/>
  </si>
  <si>
    <t>Standard deviation</t>
    <phoneticPr fontId="1" type="noConversion"/>
  </si>
  <si>
    <t>Normalized geometric mean</t>
    <phoneticPr fontId="1" type="noConversion"/>
  </si>
  <si>
    <t>Washed, rinsed syringes; acid washed bottles, 0.7 um filters, washed, rinsed syringe filter holders.</t>
    <phoneticPr fontId="1" type="noConversion"/>
  </si>
  <si>
    <t>1 (1,1,3)</t>
    <phoneticPr fontId="1" type="noConversion"/>
  </si>
  <si>
    <t>2 (2,2,2)</t>
    <phoneticPr fontId="1" type="noConversion"/>
  </si>
  <si>
    <t>1 (1,1,1)</t>
    <phoneticPr fontId="1" type="noConversion"/>
  </si>
  <si>
    <t>2 (2,2,2)</t>
    <phoneticPr fontId="1" type="noConversion"/>
  </si>
  <si>
    <t>1(1,1,1)</t>
    <phoneticPr fontId="1" type="noConversion"/>
  </si>
  <si>
    <t>1(1,1,3)</t>
    <phoneticPr fontId="1" type="noConversion"/>
  </si>
  <si>
    <t>1 (3,2,4)</t>
    <phoneticPr fontId="1" type="noConversion"/>
  </si>
  <si>
    <t>2(2,2,2)</t>
  </si>
  <si>
    <t>2(2,2,2)</t>
    <phoneticPr fontId="1" type="noConversion"/>
  </si>
  <si>
    <t>1(1,1,3)</t>
    <phoneticPr fontId="1" type="noConversion"/>
  </si>
  <si>
    <t>2(2,2,2)</t>
    <phoneticPr fontId="1" type="noConversion"/>
  </si>
  <si>
    <t>1(1,1,1)</t>
    <phoneticPr fontId="1" type="noConversion"/>
  </si>
  <si>
    <t>2 (2,1,3)</t>
    <phoneticPr fontId="1" type="noConversion"/>
  </si>
  <si>
    <t>2 (2,1,3)</t>
    <phoneticPr fontId="1" type="noConversion"/>
  </si>
  <si>
    <t>Acid washed bottles, 0.7 umGFF  filters, washed rinsed filter holders, washed rinsed syringes.  Additional nutrient sample with a 0.2 um filter disposable. All else same.</t>
    <phoneticPr fontId="1" type="noConversion"/>
  </si>
  <si>
    <t>Old syringes washed, no DI rinse. 0.2 micron disposable filters, new bottles.</t>
    <phoneticPr fontId="1" type="noConversion"/>
  </si>
  <si>
    <t>Pohaku</t>
    <phoneticPr fontId="1" type="noConversion"/>
  </si>
  <si>
    <t>RPO</t>
    <phoneticPr fontId="1" type="noConversion"/>
  </si>
  <si>
    <t>New syringes, Swinnex filter holders new, GFF filters, new bottles</t>
    <phoneticPr fontId="1" type="noConversion"/>
  </si>
  <si>
    <t>Equipment Turbidity</t>
    <phoneticPr fontId="1" type="noConversion"/>
  </si>
  <si>
    <t>Equipment HQ40D</t>
    <phoneticPr fontId="1" type="noConversion"/>
  </si>
  <si>
    <t>Washed, rinsed syringes; acid washed bottles, 0.2 um disposable filters</t>
    <phoneticPr fontId="1" type="noConversion"/>
  </si>
  <si>
    <t>2 (2,1,3)</t>
    <phoneticPr fontId="1" type="noConversion"/>
  </si>
  <si>
    <t>Washed, rinsed syringes; acid washed bottles, 0.2 um disposable filters</t>
  </si>
  <si>
    <t>1 (3,2,4)</t>
    <phoneticPr fontId="1" type="noConversion"/>
  </si>
  <si>
    <t>Washed, rinsed syringes; acid washed bottles, 0.2 um disposable filters</t>
    <phoneticPr fontId="1" type="noConversion"/>
  </si>
  <si>
    <t>Washed, rinsed syringes; acid washed bottles, 0.2 um disposable filters. Team took nutrient and sediment samples out of the bucket due to high waves which could impact readings.</t>
    <phoneticPr fontId="1" type="noConversion"/>
  </si>
  <si>
    <t>2 (2,2,3)</t>
    <phoneticPr fontId="1" type="noConversion"/>
  </si>
  <si>
    <t>Acid washed bottles, 0.7 um GFF filter, washed rinsed filter holders, washed rinsed syringes.</t>
    <phoneticPr fontId="1" type="noConversion"/>
  </si>
  <si>
    <t xml:space="preserve">Acid washed bottles, 0.7 umGFF  filters, washed rinsed filter holders, washed rinsed syringes.  </t>
  </si>
  <si>
    <t>2 (2,1,3)</t>
    <phoneticPr fontId="1" type="noConversion"/>
  </si>
  <si>
    <t>New HQ40D meter and probes used today. New syringes, Swinnex filter holders washed and DI rinsed, GFF filters. New bottles.</t>
    <phoneticPr fontId="1" type="noConversion"/>
  </si>
  <si>
    <t>New syringes, Swinnex filter holders new, GFF filters.  New bottles</t>
    <phoneticPr fontId="1" type="noConversion"/>
  </si>
  <si>
    <t>New HQ40D meter and probes used today. New syringes, Swinnex filter holders washed and DI rinsed, GFF filters.  New bottles</t>
    <phoneticPr fontId="1" type="noConversion"/>
  </si>
  <si>
    <t>Old syringes washed, no DI rinse. 0.2 micron disposable filters, new bottles. NH4 &lt; 1.5</t>
    <phoneticPr fontId="1" type="noConversion"/>
  </si>
  <si>
    <t>Location</t>
    <phoneticPr fontId="1" type="noConversion"/>
  </si>
</sst>
</file>

<file path=xl/styles.xml><?xml version="1.0" encoding="utf-8"?>
<styleSheet xmlns="http://schemas.openxmlformats.org/spreadsheetml/2006/main">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6">
    <font>
      <sz val="10"/>
      <name val="Verdana"/>
    </font>
    <font>
      <sz val="8"/>
      <name val="Verdana"/>
    </font>
    <font>
      <sz val="12"/>
      <name val="Verdana"/>
    </font>
    <font>
      <b/>
      <sz val="12"/>
      <name val="Verdana"/>
    </font>
    <font>
      <sz val="9"/>
      <color indexed="81"/>
      <name val="Verdana"/>
    </font>
    <font>
      <b/>
      <sz val="9"/>
      <color indexed="81"/>
      <name val="Verdana"/>
    </font>
  </fonts>
  <fills count="6">
    <fill>
      <patternFill patternType="none"/>
    </fill>
    <fill>
      <patternFill patternType="gray125"/>
    </fill>
    <fill>
      <patternFill patternType="solid">
        <fgColor indexed="43"/>
        <bgColor indexed="64"/>
      </patternFill>
    </fill>
    <fill>
      <patternFill patternType="solid">
        <fgColor indexed="14"/>
        <bgColor indexed="64"/>
      </patternFill>
    </fill>
    <fill>
      <patternFill patternType="solid">
        <fgColor indexed="45"/>
        <bgColor indexed="64"/>
      </patternFill>
    </fill>
    <fill>
      <patternFill patternType="solid">
        <fgColor indexed="41"/>
        <bgColor indexed="64"/>
      </patternFill>
    </fill>
  </fills>
  <borders count="1">
    <border>
      <left/>
      <right/>
      <top/>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wrapText="1"/>
    </xf>
    <xf numFmtId="0" fontId="2" fillId="0" borderId="0" xfId="0" applyFont="1" applyAlignment="1">
      <alignment horizontal="center"/>
    </xf>
    <xf numFmtId="14" fontId="2" fillId="0" borderId="0" xfId="0" applyNumberFormat="1" applyFont="1"/>
    <xf numFmtId="20" fontId="2" fillId="0" borderId="0" xfId="0" applyNumberFormat="1" applyFont="1"/>
    <xf numFmtId="164" fontId="2" fillId="0" borderId="0" xfId="0" applyNumberFormat="1" applyFont="1"/>
    <xf numFmtId="2" fontId="3" fillId="0" borderId="0" xfId="0" applyNumberFormat="1" applyFont="1" applyAlignment="1">
      <alignment horizontal="center" wrapText="1"/>
    </xf>
    <xf numFmtId="2" fontId="2" fillId="0" borderId="0" xfId="0" applyNumberFormat="1" applyFont="1"/>
    <xf numFmtId="164" fontId="3" fillId="0" borderId="0" xfId="0" applyNumberFormat="1" applyFont="1" applyAlignment="1">
      <alignment horizontal="center" wrapText="1"/>
    </xf>
    <xf numFmtId="2" fontId="2" fillId="0" borderId="0" xfId="0" applyNumberFormat="1" applyFont="1"/>
    <xf numFmtId="164" fontId="2" fillId="0" borderId="0" xfId="0" applyNumberFormat="1" applyFont="1"/>
    <xf numFmtId="2" fontId="3" fillId="0" borderId="0" xfId="0" applyNumberFormat="1" applyFont="1" applyAlignment="1">
      <alignment horizontal="center" wrapText="1"/>
    </xf>
    <xf numFmtId="2" fontId="2" fillId="0" borderId="0" xfId="0" applyNumberFormat="1" applyFont="1"/>
    <xf numFmtId="164" fontId="3" fillId="0" borderId="0" xfId="0" applyNumberFormat="1" applyFont="1" applyAlignment="1">
      <alignment horizontal="center" wrapText="1"/>
    </xf>
    <xf numFmtId="164" fontId="2" fillId="0" borderId="0" xfId="0" applyNumberFormat="1" applyFont="1"/>
    <xf numFmtId="0" fontId="2" fillId="0" borderId="0" xfId="0" applyFont="1" applyAlignment="1">
      <alignment wrapText="1"/>
    </xf>
    <xf numFmtId="164" fontId="2" fillId="0" borderId="0" xfId="0" applyNumberFormat="1" applyFont="1" applyFill="1"/>
    <xf numFmtId="2" fontId="2" fillId="0" borderId="0" xfId="0" applyNumberFormat="1" applyFont="1"/>
    <xf numFmtId="2" fontId="2" fillId="0" borderId="0" xfId="0" applyNumberFormat="1" applyFont="1"/>
    <xf numFmtId="2" fontId="3" fillId="0" borderId="0" xfId="0" applyNumberFormat="1" applyFont="1" applyAlignment="1">
      <alignment horizontal="center" wrapText="1"/>
    </xf>
    <xf numFmtId="2" fontId="2" fillId="3" borderId="0" xfId="0" applyNumberFormat="1" applyFont="1" applyFill="1"/>
    <xf numFmtId="2" fontId="3" fillId="0" borderId="0" xfId="0" applyNumberFormat="1" applyFont="1" applyAlignment="1">
      <alignment horizontal="center" wrapText="1"/>
    </xf>
    <xf numFmtId="2" fontId="2" fillId="0" borderId="0" xfId="0" applyNumberFormat="1" applyFont="1"/>
    <xf numFmtId="2" fontId="2" fillId="3" borderId="0" xfId="0" applyNumberFormat="1" applyFont="1" applyFill="1"/>
    <xf numFmtId="2" fontId="2" fillId="2" borderId="0" xfId="0" applyNumberFormat="1" applyFont="1" applyFill="1"/>
    <xf numFmtId="2" fontId="3" fillId="0" borderId="0" xfId="0" applyNumberFormat="1" applyFont="1" applyAlignment="1">
      <alignment horizontal="center" wrapText="1"/>
    </xf>
    <xf numFmtId="2" fontId="2" fillId="0" borderId="0" xfId="0" applyNumberFormat="1" applyFont="1"/>
    <xf numFmtId="2" fontId="2" fillId="3" borderId="0" xfId="0" applyNumberFormat="1" applyFont="1" applyFill="1"/>
    <xf numFmtId="2" fontId="3" fillId="0" borderId="0" xfId="0" applyNumberFormat="1" applyFont="1" applyAlignment="1">
      <alignment horizontal="center" wrapText="1"/>
    </xf>
    <xf numFmtId="2" fontId="2" fillId="0" borderId="0" xfId="0" applyNumberFormat="1" applyFont="1"/>
    <xf numFmtId="2" fontId="2" fillId="2" borderId="0" xfId="0" applyNumberFormat="1" applyFont="1" applyFill="1"/>
    <xf numFmtId="2" fontId="2" fillId="3" borderId="0" xfId="0" applyNumberFormat="1" applyFont="1" applyFill="1"/>
    <xf numFmtId="2" fontId="3" fillId="0" borderId="0" xfId="0" applyNumberFormat="1" applyFont="1" applyAlignment="1">
      <alignment horizontal="center" wrapText="1"/>
    </xf>
    <xf numFmtId="2" fontId="2" fillId="0" borderId="0" xfId="0" applyNumberFormat="1" applyFont="1"/>
    <xf numFmtId="2" fontId="3" fillId="0" borderId="0" xfId="0" applyNumberFormat="1" applyFont="1" applyAlignment="1">
      <alignment horizontal="center" wrapText="1"/>
    </xf>
    <xf numFmtId="2" fontId="2" fillId="0" borderId="0" xfId="0" applyNumberFormat="1" applyFont="1"/>
    <xf numFmtId="2" fontId="3" fillId="0" borderId="0" xfId="0" applyNumberFormat="1" applyFont="1" applyAlignment="1">
      <alignment horizontal="center" wrapText="1"/>
    </xf>
    <xf numFmtId="2" fontId="2" fillId="0" borderId="0" xfId="0" applyNumberFormat="1" applyFont="1"/>
    <xf numFmtId="2" fontId="2" fillId="0" borderId="0" xfId="0" applyNumberFormat="1" applyFont="1"/>
    <xf numFmtId="2" fontId="3" fillId="0" borderId="0" xfId="0" applyNumberFormat="1" applyFont="1" applyAlignment="1">
      <alignment horizontal="center" wrapText="1"/>
    </xf>
    <xf numFmtId="2" fontId="2" fillId="3" borderId="0" xfId="0" applyNumberFormat="1" applyFont="1" applyFill="1"/>
    <xf numFmtId="2" fontId="3" fillId="0" borderId="0" xfId="0" applyNumberFormat="1" applyFont="1" applyAlignment="1">
      <alignment horizontal="center" wrapText="1"/>
    </xf>
    <xf numFmtId="2" fontId="2" fillId="0" borderId="0" xfId="0" applyNumberFormat="1" applyFont="1"/>
    <xf numFmtId="2" fontId="2" fillId="0" borderId="0" xfId="0" applyNumberFormat="1" applyFont="1" applyFill="1"/>
    <xf numFmtId="2" fontId="2" fillId="4" borderId="0" xfId="0" applyNumberFormat="1" applyFont="1" applyFill="1"/>
    <xf numFmtId="2" fontId="2" fillId="5" borderId="0" xfId="0" applyNumberFormat="1" applyFont="1" applyFill="1"/>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164" fontId="2" fillId="2" borderId="0" xfId="0" applyNumberFormat="1" applyFont="1" applyFill="1"/>
    <xf numFmtId="164" fontId="3" fillId="0" borderId="0" xfId="0" applyNumberFormat="1" applyFont="1" applyAlignment="1">
      <alignment horizontal="center" wrapText="1"/>
    </xf>
    <xf numFmtId="164" fontId="2" fillId="0" borderId="0" xfId="0" applyNumberFormat="1"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46" Type="http://schemas.openxmlformats.org/officeDocument/2006/relationships/theme" Target="theme/theme1.xml"/><Relationship Id="rId47" Type="http://schemas.openxmlformats.org/officeDocument/2006/relationships/styles" Target="styles.xml"/><Relationship Id="rId48" Type="http://schemas.openxmlformats.org/officeDocument/2006/relationships/sharedStrings" Target="sharedStrings.xml"/><Relationship Id="rId49" Type="http://schemas.openxmlformats.org/officeDocument/2006/relationships/calcChain" Target="calcChain.xml"/><Relationship Id="rId20" Type="http://schemas.openxmlformats.org/officeDocument/2006/relationships/chartsheet" Target="chartsheets/sheet18.xml"/><Relationship Id="rId21" Type="http://schemas.openxmlformats.org/officeDocument/2006/relationships/chartsheet" Target="chartsheets/sheet19.xml"/><Relationship Id="rId22" Type="http://schemas.openxmlformats.org/officeDocument/2006/relationships/chartsheet" Target="chartsheets/sheet20.xml"/><Relationship Id="rId23" Type="http://schemas.openxmlformats.org/officeDocument/2006/relationships/chartsheet" Target="chartsheets/sheet21.xml"/><Relationship Id="rId24" Type="http://schemas.openxmlformats.org/officeDocument/2006/relationships/chartsheet" Target="chartsheets/sheet22.xml"/><Relationship Id="rId25" Type="http://schemas.openxmlformats.org/officeDocument/2006/relationships/chartsheet" Target="chartsheets/sheet23.xml"/><Relationship Id="rId26" Type="http://schemas.openxmlformats.org/officeDocument/2006/relationships/worksheet" Target="worksheets/sheet3.xml"/><Relationship Id="rId27" Type="http://schemas.openxmlformats.org/officeDocument/2006/relationships/chartsheet" Target="chartsheets/sheet24.xml"/><Relationship Id="rId28" Type="http://schemas.openxmlformats.org/officeDocument/2006/relationships/chartsheet" Target="chartsheets/sheet25.xml"/><Relationship Id="rId29" Type="http://schemas.openxmlformats.org/officeDocument/2006/relationships/chartsheet" Target="chartsheets/sheet26.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chartsheet" Target="chartsheets/sheet4.xml"/><Relationship Id="rId5" Type="http://schemas.openxmlformats.org/officeDocument/2006/relationships/chartsheet" Target="chartsheets/sheet5.xml"/><Relationship Id="rId30" Type="http://schemas.openxmlformats.org/officeDocument/2006/relationships/chartsheet" Target="chartsheets/sheet27.xml"/><Relationship Id="rId31" Type="http://schemas.openxmlformats.org/officeDocument/2006/relationships/chartsheet" Target="chartsheets/sheet28.xml"/><Relationship Id="rId32" Type="http://schemas.openxmlformats.org/officeDocument/2006/relationships/worksheet" Target="worksheets/sheet4.xml"/><Relationship Id="rId9" Type="http://schemas.openxmlformats.org/officeDocument/2006/relationships/chartsheet" Target="chartsheets/sheet8.xml"/><Relationship Id="rId6" Type="http://schemas.openxmlformats.org/officeDocument/2006/relationships/chartsheet" Target="chartsheets/sheet6.xml"/><Relationship Id="rId7" Type="http://schemas.openxmlformats.org/officeDocument/2006/relationships/chartsheet" Target="chartsheets/sheet7.xml"/><Relationship Id="rId8" Type="http://schemas.openxmlformats.org/officeDocument/2006/relationships/worksheet" Target="worksheets/sheet1.xml"/><Relationship Id="rId33" Type="http://schemas.openxmlformats.org/officeDocument/2006/relationships/chartsheet" Target="chartsheets/sheet29.xml"/><Relationship Id="rId34" Type="http://schemas.openxmlformats.org/officeDocument/2006/relationships/chartsheet" Target="chartsheets/sheet30.xml"/><Relationship Id="rId35" Type="http://schemas.openxmlformats.org/officeDocument/2006/relationships/chartsheet" Target="chartsheets/sheet31.xml"/><Relationship Id="rId36" Type="http://schemas.openxmlformats.org/officeDocument/2006/relationships/chartsheet" Target="chartsheets/sheet32.xml"/><Relationship Id="rId10" Type="http://schemas.openxmlformats.org/officeDocument/2006/relationships/chartsheet" Target="chartsheets/sheet9.xml"/><Relationship Id="rId11" Type="http://schemas.openxmlformats.org/officeDocument/2006/relationships/chartsheet" Target="chartsheets/sheet10.xml"/><Relationship Id="rId12" Type="http://schemas.openxmlformats.org/officeDocument/2006/relationships/chartsheet" Target="chartsheets/sheet11.xml"/><Relationship Id="rId13" Type="http://schemas.openxmlformats.org/officeDocument/2006/relationships/chartsheet" Target="chartsheets/sheet12.xml"/><Relationship Id="rId14" Type="http://schemas.openxmlformats.org/officeDocument/2006/relationships/chartsheet" Target="chartsheets/sheet13.xml"/><Relationship Id="rId15" Type="http://schemas.openxmlformats.org/officeDocument/2006/relationships/chartsheet" Target="chartsheets/sheet14.xml"/><Relationship Id="rId16" Type="http://schemas.openxmlformats.org/officeDocument/2006/relationships/chartsheet" Target="chartsheets/sheet15.xml"/><Relationship Id="rId17" Type="http://schemas.openxmlformats.org/officeDocument/2006/relationships/chartsheet" Target="chartsheets/sheet16.xml"/><Relationship Id="rId18" Type="http://schemas.openxmlformats.org/officeDocument/2006/relationships/chartsheet" Target="chartsheets/sheet17.xml"/><Relationship Id="rId19" Type="http://schemas.openxmlformats.org/officeDocument/2006/relationships/worksheet" Target="worksheets/sheet2.xml"/><Relationship Id="rId37" Type="http://schemas.openxmlformats.org/officeDocument/2006/relationships/chartsheet" Target="chartsheets/sheet33.xml"/><Relationship Id="rId38" Type="http://schemas.openxmlformats.org/officeDocument/2006/relationships/worksheet" Target="worksheets/sheet5.xml"/><Relationship Id="rId39" Type="http://schemas.openxmlformats.org/officeDocument/2006/relationships/chartsheet" Target="chartsheets/sheet34.xml"/><Relationship Id="rId40" Type="http://schemas.openxmlformats.org/officeDocument/2006/relationships/chartsheet" Target="chartsheets/sheet35.xml"/><Relationship Id="rId41" Type="http://schemas.openxmlformats.org/officeDocument/2006/relationships/chartsheet" Target="chartsheets/sheet36.xml"/><Relationship Id="rId42" Type="http://schemas.openxmlformats.org/officeDocument/2006/relationships/chartsheet" Target="chartsheets/sheet37.xml"/><Relationship Id="rId43" Type="http://schemas.openxmlformats.org/officeDocument/2006/relationships/chartsheet" Target="chartsheets/sheet38.xml"/><Relationship Id="rId44" Type="http://schemas.openxmlformats.org/officeDocument/2006/relationships/chartsheet" Target="chartsheets/sheet39.xml"/><Relationship Id="rId45"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Napili Bay (RNS)</a:t>
            </a:r>
          </a:p>
        </c:rich>
      </c:tx>
    </c:title>
    <c:plotArea>
      <c:layout/>
      <c:scatterChart>
        <c:scatterStyle val="smoothMarker"/>
        <c:ser>
          <c:idx val="0"/>
          <c:order val="0"/>
          <c:tx>
            <c:strRef>
              <c:f>Napili!$J$1</c:f>
              <c:strCache>
                <c:ptCount val="1"/>
                <c:pt idx="0">
                  <c:v>Turbidity (NTU)</c:v>
                </c:pt>
              </c:strCache>
            </c:strRef>
          </c:tx>
          <c:xVal>
            <c:numRef>
              <c:f>Napili!$C$2:$C$18</c:f>
              <c:numCache>
                <c:formatCode>m/d/yy</c:formatCode>
                <c:ptCount val="17"/>
                <c:pt idx="0">
                  <c:v>42780.0</c:v>
                </c:pt>
                <c:pt idx="1">
                  <c:v>42801.0</c:v>
                </c:pt>
                <c:pt idx="2">
                  <c:v>42822.0</c:v>
                </c:pt>
                <c:pt idx="3">
                  <c:v>42843.0</c:v>
                </c:pt>
                <c:pt idx="4">
                  <c:v>42864.0</c:v>
                </c:pt>
                <c:pt idx="5">
                  <c:v>42885.0</c:v>
                </c:pt>
                <c:pt idx="6">
                  <c:v>42906.0</c:v>
                </c:pt>
                <c:pt idx="7">
                  <c:v>42927.0</c:v>
                </c:pt>
                <c:pt idx="8">
                  <c:v>42948.0</c:v>
                </c:pt>
                <c:pt idx="9">
                  <c:v>42969.0</c:v>
                </c:pt>
                <c:pt idx="10">
                  <c:v>42990.0</c:v>
                </c:pt>
                <c:pt idx="11">
                  <c:v>43011.0</c:v>
                </c:pt>
                <c:pt idx="12">
                  <c:v>43032.0</c:v>
                </c:pt>
                <c:pt idx="13">
                  <c:v>43053.0</c:v>
                </c:pt>
                <c:pt idx="14">
                  <c:v>43074.0</c:v>
                </c:pt>
                <c:pt idx="15">
                  <c:v>43088.0</c:v>
                </c:pt>
                <c:pt idx="16">
                  <c:v>43109.0</c:v>
                </c:pt>
              </c:numCache>
            </c:numRef>
          </c:xVal>
          <c:yVal>
            <c:numRef>
              <c:f>Napili!$J$2:$J$18</c:f>
              <c:numCache>
                <c:formatCode>0.00</c:formatCode>
                <c:ptCount val="17"/>
                <c:pt idx="0">
                  <c:v>0.84</c:v>
                </c:pt>
                <c:pt idx="1">
                  <c:v>1.803333333333333</c:v>
                </c:pt>
                <c:pt idx="2">
                  <c:v>0.84</c:v>
                </c:pt>
                <c:pt idx="3">
                  <c:v>1.0</c:v>
                </c:pt>
                <c:pt idx="4">
                  <c:v>0.753333333333333</c:v>
                </c:pt>
                <c:pt idx="5">
                  <c:v>1.073333333333333</c:v>
                </c:pt>
                <c:pt idx="6">
                  <c:v>1.943333333333333</c:v>
                </c:pt>
                <c:pt idx="7">
                  <c:v>0.833333333333333</c:v>
                </c:pt>
                <c:pt idx="8">
                  <c:v>0.74</c:v>
                </c:pt>
                <c:pt idx="9">
                  <c:v>1.523333333333333</c:v>
                </c:pt>
                <c:pt idx="10">
                  <c:v>1.196666666666667</c:v>
                </c:pt>
                <c:pt idx="11">
                  <c:v>2.44</c:v>
                </c:pt>
                <c:pt idx="12">
                  <c:v>16.73333333333333</c:v>
                </c:pt>
                <c:pt idx="13">
                  <c:v>1.143333333333333</c:v>
                </c:pt>
                <c:pt idx="14">
                  <c:v>1.086666666666667</c:v>
                </c:pt>
                <c:pt idx="15">
                  <c:v>1.17</c:v>
                </c:pt>
                <c:pt idx="16">
                  <c:v>0.55</c:v>
                </c:pt>
              </c:numCache>
            </c:numRef>
          </c:yVal>
          <c:smooth val="1"/>
        </c:ser>
        <c:axId val="347080760"/>
        <c:axId val="448755096"/>
      </c:scatterChart>
      <c:valAx>
        <c:axId val="347080760"/>
        <c:scaling>
          <c:orientation val="minMax"/>
        </c:scaling>
        <c:axPos val="b"/>
        <c:numFmt formatCode="m/d/yy" sourceLinked="1"/>
        <c:tickLblPos val="nextTo"/>
        <c:crossAx val="448755096"/>
        <c:crosses val="autoZero"/>
        <c:crossBetween val="midCat"/>
      </c:valAx>
      <c:valAx>
        <c:axId val="448755096"/>
        <c:scaling>
          <c:orientation val="minMax"/>
          <c:max val="18.0"/>
          <c:min val="0.0"/>
        </c:scaling>
        <c:axPos val="l"/>
        <c:majorGridlines/>
        <c:title>
          <c:tx>
            <c:rich>
              <a:bodyPr/>
              <a:lstStyle/>
              <a:p>
                <a:pPr>
                  <a:defRPr/>
                </a:pPr>
                <a:r>
                  <a:rPr lang="en-US"/>
                  <a:t>Turbidity (NTU)</a:t>
                </a:r>
              </a:p>
            </c:rich>
          </c:tx>
        </c:title>
        <c:numFmt formatCode="0.00" sourceLinked="1"/>
        <c:tickLblPos val="nextTo"/>
        <c:crossAx val="347080760"/>
        <c:crosses val="autoZero"/>
        <c:crossBetween val="midCat"/>
      </c:valAx>
    </c:plotArea>
    <c:plotVisOnly val="1"/>
  </c:chart>
</c:chartSpace>
</file>

<file path=xl/charts/chart10.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Pohaku Park (RPO)</a:t>
            </a:r>
          </a:p>
        </c:rich>
      </c:tx>
    </c:title>
    <c:plotArea>
      <c:layout/>
      <c:scatterChart>
        <c:scatterStyle val="smoothMarker"/>
        <c:ser>
          <c:idx val="0"/>
          <c:order val="0"/>
          <c:tx>
            <c:strRef>
              <c:f>Pohaku!$J$1</c:f>
              <c:strCache>
                <c:ptCount val="1"/>
                <c:pt idx="0">
                  <c:v>Turbidity (NTU)</c:v>
                </c:pt>
              </c:strCache>
            </c:strRef>
          </c:tx>
          <c:xVal>
            <c:numRef>
              <c:f>Pohaku!$C$2:$C$34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Pohaku!$J$2:$J$34</c:f>
              <c:numCache>
                <c:formatCode>0.00</c:formatCode>
                <c:ptCount val="33"/>
                <c:pt idx="0">
                  <c:v>13.9</c:v>
                </c:pt>
                <c:pt idx="1">
                  <c:v>11.73</c:v>
                </c:pt>
                <c:pt idx="2">
                  <c:v>5.14</c:v>
                </c:pt>
                <c:pt idx="3">
                  <c:v>9.220000000000001</c:v>
                </c:pt>
                <c:pt idx="4">
                  <c:v>4.586666666666665</c:v>
                </c:pt>
                <c:pt idx="5">
                  <c:v>3.98</c:v>
                </c:pt>
                <c:pt idx="6">
                  <c:v>10.9</c:v>
                </c:pt>
                <c:pt idx="7">
                  <c:v>8.26</c:v>
                </c:pt>
                <c:pt idx="8">
                  <c:v>5.383333333333332</c:v>
                </c:pt>
                <c:pt idx="9">
                  <c:v>8.446666666666667</c:v>
                </c:pt>
                <c:pt idx="10">
                  <c:v>7.830000000000001</c:v>
                </c:pt>
                <c:pt idx="11">
                  <c:v>4.233333333333333</c:v>
                </c:pt>
                <c:pt idx="12">
                  <c:v>5.693333333333334</c:v>
                </c:pt>
                <c:pt idx="13">
                  <c:v>8.476666666666666</c:v>
                </c:pt>
                <c:pt idx="14">
                  <c:v>5.0075</c:v>
                </c:pt>
                <c:pt idx="15">
                  <c:v>12.06666666666667</c:v>
                </c:pt>
                <c:pt idx="16">
                  <c:v>3.813333333333333</c:v>
                </c:pt>
                <c:pt idx="17">
                  <c:v>9.51</c:v>
                </c:pt>
                <c:pt idx="18">
                  <c:v>3.326666666666667</c:v>
                </c:pt>
                <c:pt idx="19">
                  <c:v>3.236666666666667</c:v>
                </c:pt>
                <c:pt idx="20">
                  <c:v>2.06</c:v>
                </c:pt>
                <c:pt idx="21">
                  <c:v>4.196666666666666</c:v>
                </c:pt>
                <c:pt idx="22">
                  <c:v>7.100000000000001</c:v>
                </c:pt>
                <c:pt idx="23">
                  <c:v>1.153333333333333</c:v>
                </c:pt>
                <c:pt idx="24">
                  <c:v>2.34</c:v>
                </c:pt>
                <c:pt idx="25">
                  <c:v>1.066666666666667</c:v>
                </c:pt>
                <c:pt idx="26">
                  <c:v>6.88</c:v>
                </c:pt>
                <c:pt idx="27">
                  <c:v>4.133333333333332</c:v>
                </c:pt>
                <c:pt idx="28">
                  <c:v>15.13333333333333</c:v>
                </c:pt>
                <c:pt idx="29">
                  <c:v>9.053333333333334</c:v>
                </c:pt>
                <c:pt idx="30">
                  <c:v>31.83333333333333</c:v>
                </c:pt>
                <c:pt idx="31">
                  <c:v>23.4</c:v>
                </c:pt>
                <c:pt idx="32">
                  <c:v>2.446666666666667</c:v>
                </c:pt>
              </c:numCache>
            </c:numRef>
          </c:yVal>
          <c:smooth val="1"/>
        </c:ser>
        <c:axId val="290892424"/>
        <c:axId val="473970008"/>
      </c:scatterChart>
      <c:valAx>
        <c:axId val="290892424"/>
        <c:scaling>
          <c:orientation val="minMax"/>
        </c:scaling>
        <c:axPos val="b"/>
        <c:numFmt formatCode="m/d/yy" sourceLinked="1"/>
        <c:tickLblPos val="nextTo"/>
        <c:crossAx val="473970008"/>
        <c:crosses val="autoZero"/>
        <c:crossBetween val="midCat"/>
      </c:valAx>
      <c:valAx>
        <c:axId val="473970008"/>
        <c:scaling>
          <c:orientation val="minMax"/>
          <c:max val="40.0"/>
        </c:scaling>
        <c:axPos val="l"/>
        <c:majorGridlines/>
        <c:title>
          <c:tx>
            <c:rich>
              <a:bodyPr/>
              <a:lstStyle/>
              <a:p>
                <a:pPr>
                  <a:defRPr/>
                </a:pPr>
                <a:r>
                  <a:rPr lang="en-US"/>
                  <a:t>Turbidity (NTU)</a:t>
                </a:r>
              </a:p>
            </c:rich>
          </c:tx>
        </c:title>
        <c:numFmt formatCode="0.00" sourceLinked="1"/>
        <c:tickLblPos val="nextTo"/>
        <c:crossAx val="290892424"/>
        <c:crosses val="autoZero"/>
        <c:crossBetween val="midCat"/>
      </c:valAx>
    </c:plotArea>
    <c:plotVisOnly val="1"/>
  </c:chart>
</c:chartSpace>
</file>

<file path=xl/charts/chart1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Pohaku Park (RPO)</a:t>
            </a:r>
          </a:p>
        </c:rich>
      </c:tx>
    </c:title>
    <c:plotArea>
      <c:layout/>
      <c:scatterChart>
        <c:scatterStyle val="smoothMarker"/>
        <c:ser>
          <c:idx val="0"/>
          <c:order val="0"/>
          <c:tx>
            <c:strRef>
              <c:f>Pohaku!$E$1</c:f>
              <c:strCache>
                <c:ptCount val="1"/>
                <c:pt idx="0">
                  <c:v>Temp (degrees C)</c:v>
                </c:pt>
              </c:strCache>
            </c:strRef>
          </c:tx>
          <c:xVal>
            <c:numRef>
              <c:f>Pohaku!$C$2:$C$34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Pohaku!$E$2:$E$34</c:f>
              <c:numCache>
                <c:formatCode>0.0</c:formatCode>
                <c:ptCount val="33"/>
                <c:pt idx="0">
                  <c:v>25.7</c:v>
                </c:pt>
                <c:pt idx="1">
                  <c:v>25.7</c:v>
                </c:pt>
                <c:pt idx="2">
                  <c:v>26.6</c:v>
                </c:pt>
                <c:pt idx="3">
                  <c:v>26.8</c:v>
                </c:pt>
                <c:pt idx="4">
                  <c:v>26.5</c:v>
                </c:pt>
                <c:pt idx="5">
                  <c:v>27.1</c:v>
                </c:pt>
                <c:pt idx="6">
                  <c:v>26.7</c:v>
                </c:pt>
                <c:pt idx="7">
                  <c:v>26.4</c:v>
                </c:pt>
                <c:pt idx="8">
                  <c:v>26.9</c:v>
                </c:pt>
                <c:pt idx="9">
                  <c:v>26.6</c:v>
                </c:pt>
                <c:pt idx="10">
                  <c:v>24.8</c:v>
                </c:pt>
                <c:pt idx="11">
                  <c:v>24.7</c:v>
                </c:pt>
                <c:pt idx="12">
                  <c:v>24.4</c:v>
                </c:pt>
                <c:pt idx="13">
                  <c:v>24.7</c:v>
                </c:pt>
                <c:pt idx="14">
                  <c:v>24.1</c:v>
                </c:pt>
                <c:pt idx="15">
                  <c:v>23.5</c:v>
                </c:pt>
                <c:pt idx="16">
                  <c:v>24.0</c:v>
                </c:pt>
                <c:pt idx="17">
                  <c:v>24.2</c:v>
                </c:pt>
                <c:pt idx="18">
                  <c:v>24.4</c:v>
                </c:pt>
                <c:pt idx="19">
                  <c:v>24.8</c:v>
                </c:pt>
                <c:pt idx="20">
                  <c:v>25.4</c:v>
                </c:pt>
                <c:pt idx="21">
                  <c:v>26.1</c:v>
                </c:pt>
                <c:pt idx="22">
                  <c:v>25.7</c:v>
                </c:pt>
                <c:pt idx="23">
                  <c:v>26.6</c:v>
                </c:pt>
                <c:pt idx="24">
                  <c:v>26.9</c:v>
                </c:pt>
                <c:pt idx="25">
                  <c:v>26.6</c:v>
                </c:pt>
                <c:pt idx="26">
                  <c:v>27.5</c:v>
                </c:pt>
                <c:pt idx="27">
                  <c:v>26.8</c:v>
                </c:pt>
                <c:pt idx="28">
                  <c:v>26.5</c:v>
                </c:pt>
                <c:pt idx="29">
                  <c:v>25.9</c:v>
                </c:pt>
                <c:pt idx="30">
                  <c:v>23.5</c:v>
                </c:pt>
                <c:pt idx="31">
                  <c:v>24.8</c:v>
                </c:pt>
                <c:pt idx="32">
                  <c:v>24.1</c:v>
                </c:pt>
              </c:numCache>
            </c:numRef>
          </c:yVal>
          <c:smooth val="1"/>
        </c:ser>
        <c:axId val="474081576"/>
        <c:axId val="474074536"/>
      </c:scatterChart>
      <c:valAx>
        <c:axId val="474081576"/>
        <c:scaling>
          <c:orientation val="minMax"/>
        </c:scaling>
        <c:axPos val="b"/>
        <c:numFmt formatCode="m/d/yy" sourceLinked="1"/>
        <c:tickLblPos val="nextTo"/>
        <c:crossAx val="474074536"/>
        <c:crosses val="autoZero"/>
        <c:crossBetween val="midCat"/>
      </c:valAx>
      <c:valAx>
        <c:axId val="474074536"/>
        <c:scaling>
          <c:orientation val="minMax"/>
          <c:max val="29.0"/>
          <c:min val="22.0"/>
        </c:scaling>
        <c:axPos val="l"/>
        <c:majorGridlines/>
        <c:title>
          <c:tx>
            <c:rich>
              <a:bodyPr/>
              <a:lstStyle/>
              <a:p>
                <a:pPr>
                  <a:defRPr/>
                </a:pPr>
                <a:r>
                  <a:rPr lang="en-US"/>
                  <a:t>Temperature (Celcius)</a:t>
                </a:r>
              </a:p>
            </c:rich>
          </c:tx>
        </c:title>
        <c:numFmt formatCode="0.0" sourceLinked="1"/>
        <c:tickLblPos val="nextTo"/>
        <c:crossAx val="474081576"/>
        <c:crosses val="autoZero"/>
        <c:crossBetween val="midCat"/>
      </c:valAx>
    </c:plotArea>
    <c:plotVisOnly val="1"/>
  </c:chart>
</c:chartSpace>
</file>

<file path=xl/charts/chart1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Nitrate Nitrogen versus Silicates Pohaku Park (RPO)</a:t>
            </a:r>
          </a:p>
        </c:rich>
      </c:tx>
    </c:title>
    <c:plotArea>
      <c:layout/>
      <c:scatterChart>
        <c:scatterStyle val="smoothMarker"/>
        <c:ser>
          <c:idx val="0"/>
          <c:order val="0"/>
          <c:tx>
            <c:strRef>
              <c:f>Pohaku!$O$1</c:f>
              <c:strCache>
                <c:ptCount val="1"/>
                <c:pt idx="0">
                  <c:v>NNN (ug/L)</c:v>
                </c:pt>
              </c:strCache>
            </c:strRef>
          </c:tx>
          <c:xVal>
            <c:numRef>
              <c:f>Pohaku!$C$2:$C$31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Pohaku!$O$2:$O$31</c:f>
              <c:numCache>
                <c:formatCode>0.00</c:formatCode>
                <c:ptCount val="30"/>
                <c:pt idx="0">
                  <c:v>233.11</c:v>
                </c:pt>
                <c:pt idx="1">
                  <c:v>259.15</c:v>
                </c:pt>
                <c:pt idx="2">
                  <c:v>250.7302481463429</c:v>
                </c:pt>
                <c:pt idx="3">
                  <c:v>200.6699333841529</c:v>
                </c:pt>
                <c:pt idx="4">
                  <c:v>110.3997056786363</c:v>
                </c:pt>
                <c:pt idx="5">
                  <c:v>126.7605695209612</c:v>
                </c:pt>
                <c:pt idx="6">
                  <c:v>83.69254155517081</c:v>
                </c:pt>
                <c:pt idx="7">
                  <c:v>44.08970090246077</c:v>
                </c:pt>
                <c:pt idx="8">
                  <c:v>52.67366438428039</c:v>
                </c:pt>
                <c:pt idx="9">
                  <c:v>38.62268083315478</c:v>
                </c:pt>
                <c:pt idx="10">
                  <c:v>83.6771823788681</c:v>
                </c:pt>
                <c:pt idx="11">
                  <c:v>41.57356885124878</c:v>
                </c:pt>
                <c:pt idx="12">
                  <c:v>67.99016027729275</c:v>
                </c:pt>
                <c:pt idx="13">
                  <c:v>81.83772481067048</c:v>
                </c:pt>
                <c:pt idx="14">
                  <c:v>56.24455949122171</c:v>
                </c:pt>
                <c:pt idx="15">
                  <c:v>327.1289464493598</c:v>
                </c:pt>
                <c:pt idx="16">
                  <c:v>36.30469917451582</c:v>
                </c:pt>
                <c:pt idx="17">
                  <c:v>231.4117287543656</c:v>
                </c:pt>
                <c:pt idx="18">
                  <c:v>94.08988826321531</c:v>
                </c:pt>
                <c:pt idx="19">
                  <c:v>146.5064311063944</c:v>
                </c:pt>
                <c:pt idx="20">
                  <c:v>171.3608737210177</c:v>
                </c:pt>
                <c:pt idx="21">
                  <c:v>151.1847223851215</c:v>
                </c:pt>
                <c:pt idx="22">
                  <c:v>373.5297402732867</c:v>
                </c:pt>
                <c:pt idx="23">
                  <c:v>252.8430477260108</c:v>
                </c:pt>
                <c:pt idx="24">
                  <c:v>205.3220423215237</c:v>
                </c:pt>
                <c:pt idx="25">
                  <c:v>139.2724517181673</c:v>
                </c:pt>
                <c:pt idx="26">
                  <c:v>45.57363950421614</c:v>
                </c:pt>
                <c:pt idx="27">
                  <c:v>151.0139267267793</c:v>
                </c:pt>
                <c:pt idx="28">
                  <c:v>31.18865840847413</c:v>
                </c:pt>
                <c:pt idx="29">
                  <c:v>285.6388894219566</c:v>
                </c:pt>
              </c:numCache>
            </c:numRef>
          </c:yVal>
          <c:smooth val="1"/>
        </c:ser>
        <c:axId val="473281384"/>
        <c:axId val="473289240"/>
      </c:scatterChart>
      <c:scatterChart>
        <c:scatterStyle val="smoothMarker"/>
        <c:ser>
          <c:idx val="1"/>
          <c:order val="1"/>
          <c:tx>
            <c:strRef>
              <c:f>Pohaku!$N$1</c:f>
              <c:strCache>
                <c:ptCount val="1"/>
                <c:pt idx="0">
                  <c:v>Silicate (ug/L)</c:v>
                </c:pt>
              </c:strCache>
            </c:strRef>
          </c:tx>
          <c:xVal>
            <c:numRef>
              <c:f>Pohaku!$C$2:$C$31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Pohaku!$N$2:$N$31</c:f>
              <c:numCache>
                <c:formatCode>0.00</c:formatCode>
                <c:ptCount val="30"/>
                <c:pt idx="0">
                  <c:v>1697.47</c:v>
                </c:pt>
                <c:pt idx="1">
                  <c:v>1621.15</c:v>
                </c:pt>
                <c:pt idx="2">
                  <c:v>1360.254212596585</c:v>
                </c:pt>
                <c:pt idx="3">
                  <c:v>1116.962479147246</c:v>
                </c:pt>
                <c:pt idx="4">
                  <c:v>592.2860539918071</c:v>
                </c:pt>
                <c:pt idx="5">
                  <c:v>710.638371404461</c:v>
                </c:pt>
                <c:pt idx="6">
                  <c:v>626.9553572857354</c:v>
                </c:pt>
                <c:pt idx="7">
                  <c:v>374.099670734251</c:v>
                </c:pt>
                <c:pt idx="8">
                  <c:v>496.5324090626381</c:v>
                </c:pt>
                <c:pt idx="9">
                  <c:v>399.0508497778914</c:v>
                </c:pt>
                <c:pt idx="10">
                  <c:v>800.682328162592</c:v>
                </c:pt>
                <c:pt idx="11">
                  <c:v>521.0504741899539</c:v>
                </c:pt>
                <c:pt idx="12">
                  <c:v>675.119751918596</c:v>
                </c:pt>
                <c:pt idx="13">
                  <c:v>867.6343410419855</c:v>
                </c:pt>
                <c:pt idx="14">
                  <c:v>448.817245159247</c:v>
                </c:pt>
                <c:pt idx="15">
                  <c:v>1085.083136850737</c:v>
                </c:pt>
                <c:pt idx="16">
                  <c:v>316.9301807259263</c:v>
                </c:pt>
                <c:pt idx="17">
                  <c:v>1038.694037369149</c:v>
                </c:pt>
                <c:pt idx="18">
                  <c:v>669.9484337527601</c:v>
                </c:pt>
                <c:pt idx="19">
                  <c:v>1122.87536431893</c:v>
                </c:pt>
                <c:pt idx="20">
                  <c:v>1412.917413954162</c:v>
                </c:pt>
                <c:pt idx="21">
                  <c:v>1133.733760426552</c:v>
                </c:pt>
                <c:pt idx="22">
                  <c:v>2784.713951365292</c:v>
                </c:pt>
                <c:pt idx="23">
                  <c:v>1651.568344878002</c:v>
                </c:pt>
                <c:pt idx="24">
                  <c:v>1066.377999778961</c:v>
                </c:pt>
                <c:pt idx="25">
                  <c:v>998.9516697892806</c:v>
                </c:pt>
                <c:pt idx="26">
                  <c:v>476.0347554773074</c:v>
                </c:pt>
                <c:pt idx="27">
                  <c:v>1292.440557467689</c:v>
                </c:pt>
                <c:pt idx="28">
                  <c:v>225.3944018643834</c:v>
                </c:pt>
                <c:pt idx="29">
                  <c:v>1810.78103363415</c:v>
                </c:pt>
              </c:numCache>
            </c:numRef>
          </c:yVal>
          <c:smooth val="1"/>
        </c:ser>
        <c:axId val="473301368"/>
        <c:axId val="473295016"/>
      </c:scatterChart>
      <c:valAx>
        <c:axId val="473281384"/>
        <c:scaling>
          <c:orientation val="minMax"/>
        </c:scaling>
        <c:axPos val="b"/>
        <c:numFmt formatCode="m/d/yy" sourceLinked="1"/>
        <c:tickLblPos val="nextTo"/>
        <c:crossAx val="473289240"/>
        <c:crosses val="autoZero"/>
        <c:crossBetween val="midCat"/>
      </c:valAx>
      <c:valAx>
        <c:axId val="473289240"/>
        <c:scaling>
          <c:orientation val="minMax"/>
        </c:scaling>
        <c:axPos val="l"/>
        <c:majorGridlines/>
        <c:title>
          <c:tx>
            <c:rich>
              <a:bodyPr/>
              <a:lstStyle/>
              <a:p>
                <a:pPr>
                  <a:defRPr/>
                </a:pPr>
                <a:r>
                  <a:rPr lang="en-US"/>
                  <a:t>Nitrate Nitrogen (ug/L)</a:t>
                </a:r>
              </a:p>
            </c:rich>
          </c:tx>
        </c:title>
        <c:numFmt formatCode="0.00" sourceLinked="1"/>
        <c:tickLblPos val="nextTo"/>
        <c:crossAx val="473281384"/>
        <c:crosses val="autoZero"/>
        <c:crossBetween val="midCat"/>
      </c:valAx>
      <c:valAx>
        <c:axId val="473295016"/>
        <c:scaling>
          <c:orientation val="minMax"/>
        </c:scaling>
        <c:axPos val="r"/>
        <c:title>
          <c:tx>
            <c:rich>
              <a:bodyPr/>
              <a:lstStyle/>
              <a:p>
                <a:pPr>
                  <a:defRPr/>
                </a:pPr>
                <a:r>
                  <a:rPr lang="en-US"/>
                  <a:t>Silicates (ug/L)</a:t>
                </a:r>
              </a:p>
            </c:rich>
          </c:tx>
        </c:title>
        <c:numFmt formatCode="0.00" sourceLinked="1"/>
        <c:tickLblPos val="nextTo"/>
        <c:crossAx val="473301368"/>
        <c:crosses val="max"/>
        <c:crossBetween val="midCat"/>
      </c:valAx>
      <c:valAx>
        <c:axId val="473301368"/>
        <c:scaling>
          <c:orientation val="minMax"/>
        </c:scaling>
        <c:delete val="1"/>
        <c:axPos val="b"/>
        <c:numFmt formatCode="m/d/yy" sourceLinked="1"/>
        <c:tickLblPos val="nextTo"/>
        <c:crossAx val="473295016"/>
        <c:crosses val="autoZero"/>
        <c:crossBetween val="midCat"/>
      </c:valAx>
    </c:plotArea>
    <c:legend>
      <c:legendPos val="t"/>
    </c:legend>
    <c:plotVisOnly val="1"/>
  </c:chart>
</c:chartSpace>
</file>

<file path=xl/charts/chart1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Silicate and Phosphorous levels Pohaku Park (RPO)</a:t>
            </a:r>
          </a:p>
        </c:rich>
      </c:tx>
    </c:title>
    <c:plotArea>
      <c:layout/>
      <c:scatterChart>
        <c:scatterStyle val="smoothMarker"/>
        <c:ser>
          <c:idx val="0"/>
          <c:order val="0"/>
          <c:tx>
            <c:strRef>
              <c:f>Pohaku!$L$1</c:f>
              <c:strCache>
                <c:ptCount val="1"/>
                <c:pt idx="0">
                  <c:v>Total P (ug/L)</c:v>
                </c:pt>
              </c:strCache>
            </c:strRef>
          </c:tx>
          <c:xVal>
            <c:numRef>
              <c:f>Pohaku!$C$2:$C$31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Pohaku!$L$2:$L$31</c:f>
              <c:numCache>
                <c:formatCode>0.00</c:formatCode>
                <c:ptCount val="30"/>
                <c:pt idx="0">
                  <c:v>26.26</c:v>
                </c:pt>
                <c:pt idx="1">
                  <c:v>24.8</c:v>
                </c:pt>
                <c:pt idx="2">
                  <c:v>24.5216775355834</c:v>
                </c:pt>
                <c:pt idx="3">
                  <c:v>23.89029477077779</c:v>
                </c:pt>
                <c:pt idx="4">
                  <c:v>18.41498597392016</c:v>
                </c:pt>
                <c:pt idx="5">
                  <c:v>18.63810777489658</c:v>
                </c:pt>
                <c:pt idx="6">
                  <c:v>18.43729815401781</c:v>
                </c:pt>
                <c:pt idx="7">
                  <c:v>16.84941467040231</c:v>
                </c:pt>
                <c:pt idx="8">
                  <c:v>21.40109941032119</c:v>
                </c:pt>
                <c:pt idx="9">
                  <c:v>12.87314637035731</c:v>
                </c:pt>
                <c:pt idx="10">
                  <c:v>18.69822917871544</c:v>
                </c:pt>
                <c:pt idx="11">
                  <c:v>11.81692383821971</c:v>
                </c:pt>
                <c:pt idx="12">
                  <c:v>15.76442075430566</c:v>
                </c:pt>
                <c:pt idx="13">
                  <c:v>18.52552762478857</c:v>
                </c:pt>
                <c:pt idx="14">
                  <c:v>19.76796747311796</c:v>
                </c:pt>
                <c:pt idx="15">
                  <c:v>40.74150859590424</c:v>
                </c:pt>
                <c:pt idx="16">
                  <c:v>14.34915149501454</c:v>
                </c:pt>
                <c:pt idx="17">
                  <c:v>19.5009840390986</c:v>
                </c:pt>
                <c:pt idx="18">
                  <c:v>21.04254302382177</c:v>
                </c:pt>
                <c:pt idx="19">
                  <c:v>15.6633255130777</c:v>
                </c:pt>
                <c:pt idx="20">
                  <c:v>17.0684267580767</c:v>
                </c:pt>
                <c:pt idx="21">
                  <c:v>14.04271429456219</c:v>
                </c:pt>
                <c:pt idx="22">
                  <c:v>32.02483079549464</c:v>
                </c:pt>
                <c:pt idx="23">
                  <c:v>18.07538877210498</c:v>
                </c:pt>
                <c:pt idx="24">
                  <c:v>20.20090176470874</c:v>
                </c:pt>
                <c:pt idx="25">
                  <c:v>18.41019525492723</c:v>
                </c:pt>
                <c:pt idx="26">
                  <c:v>17.18854975981318</c:v>
                </c:pt>
                <c:pt idx="27">
                  <c:v>33.79758988019643</c:v>
                </c:pt>
                <c:pt idx="28">
                  <c:v>15.12983943582613</c:v>
                </c:pt>
                <c:pt idx="29">
                  <c:v>22.40858432481367</c:v>
                </c:pt>
              </c:numCache>
            </c:numRef>
          </c:yVal>
          <c:smooth val="1"/>
        </c:ser>
        <c:ser>
          <c:idx val="1"/>
          <c:order val="1"/>
          <c:tx>
            <c:strRef>
              <c:f>Pohaku!$M$1</c:f>
              <c:strCache>
                <c:ptCount val="1"/>
                <c:pt idx="0">
                  <c:v>Phosphate (ug/L)</c:v>
                </c:pt>
              </c:strCache>
            </c:strRef>
          </c:tx>
          <c:xVal>
            <c:numRef>
              <c:f>Pohaku!$C$2:$C$31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Pohaku!$M$2:$M$31</c:f>
              <c:numCache>
                <c:formatCode>0.00</c:formatCode>
                <c:ptCount val="30"/>
                <c:pt idx="0">
                  <c:v>18.72</c:v>
                </c:pt>
                <c:pt idx="1">
                  <c:v>18.29</c:v>
                </c:pt>
                <c:pt idx="2">
                  <c:v>16.42422583551766</c:v>
                </c:pt>
                <c:pt idx="3">
                  <c:v>17.0633391692263</c:v>
                </c:pt>
                <c:pt idx="4">
                  <c:v>9.963567335307654</c:v>
                </c:pt>
                <c:pt idx="5">
                  <c:v>14.44949436161286</c:v>
                </c:pt>
                <c:pt idx="6">
                  <c:v>12.09006006634903</c:v>
                </c:pt>
                <c:pt idx="7">
                  <c:v>11.32690421796331</c:v>
                </c:pt>
                <c:pt idx="8">
                  <c:v>11.97863153840137</c:v>
                </c:pt>
                <c:pt idx="9">
                  <c:v>11.66970435650283</c:v>
                </c:pt>
                <c:pt idx="10">
                  <c:v>15.27675106665158</c:v>
                </c:pt>
                <c:pt idx="11">
                  <c:v>10.3340786301565</c:v>
                </c:pt>
                <c:pt idx="12">
                  <c:v>10.78069011171375</c:v>
                </c:pt>
                <c:pt idx="13">
                  <c:v>13.82091545625055</c:v>
                </c:pt>
                <c:pt idx="14">
                  <c:v>11.33143071366724</c:v>
                </c:pt>
                <c:pt idx="15">
                  <c:v>36.70253271562832</c:v>
                </c:pt>
                <c:pt idx="16">
                  <c:v>9.99822537779661</c:v>
                </c:pt>
                <c:pt idx="17">
                  <c:v>17.46867678898305</c:v>
                </c:pt>
                <c:pt idx="18">
                  <c:v>12.74042604120054</c:v>
                </c:pt>
                <c:pt idx="19">
                  <c:v>13.43405573996535</c:v>
                </c:pt>
                <c:pt idx="20">
                  <c:v>15.8151333101689</c:v>
                </c:pt>
                <c:pt idx="21">
                  <c:v>12.26921357141693</c:v>
                </c:pt>
                <c:pt idx="22">
                  <c:v>27.18471386884527</c:v>
                </c:pt>
                <c:pt idx="23">
                  <c:v>15.14427156033022</c:v>
                </c:pt>
                <c:pt idx="24">
                  <c:v>14.48041750844038</c:v>
                </c:pt>
                <c:pt idx="25">
                  <c:v>12.95731467574269</c:v>
                </c:pt>
                <c:pt idx="26">
                  <c:v>10.40757363378831</c:v>
                </c:pt>
                <c:pt idx="27">
                  <c:v>17.82315371483303</c:v>
                </c:pt>
                <c:pt idx="28">
                  <c:v>13.43196174336385</c:v>
                </c:pt>
                <c:pt idx="29">
                  <c:v>21.18936419727815</c:v>
                </c:pt>
              </c:numCache>
            </c:numRef>
          </c:yVal>
          <c:smooth val="1"/>
        </c:ser>
        <c:axId val="473369096"/>
        <c:axId val="473376808"/>
      </c:scatterChart>
      <c:scatterChart>
        <c:scatterStyle val="smoothMarker"/>
        <c:ser>
          <c:idx val="2"/>
          <c:order val="2"/>
          <c:tx>
            <c:strRef>
              <c:f>Pohaku!$N$1</c:f>
              <c:strCache>
                <c:ptCount val="1"/>
                <c:pt idx="0">
                  <c:v>Silicate (ug/L)</c:v>
                </c:pt>
              </c:strCache>
            </c:strRef>
          </c:tx>
          <c:xVal>
            <c:numRef>
              <c:f>Pohaku!$C$2:$C$31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Pohaku!$N$2:$N$31</c:f>
              <c:numCache>
                <c:formatCode>0.00</c:formatCode>
                <c:ptCount val="30"/>
                <c:pt idx="0">
                  <c:v>1697.47</c:v>
                </c:pt>
                <c:pt idx="1">
                  <c:v>1621.15</c:v>
                </c:pt>
                <c:pt idx="2">
                  <c:v>1360.254212596585</c:v>
                </c:pt>
                <c:pt idx="3">
                  <c:v>1116.962479147246</c:v>
                </c:pt>
                <c:pt idx="4">
                  <c:v>592.2860539918071</c:v>
                </c:pt>
                <c:pt idx="5">
                  <c:v>710.638371404461</c:v>
                </c:pt>
                <c:pt idx="6">
                  <c:v>626.9553572857354</c:v>
                </c:pt>
                <c:pt idx="7">
                  <c:v>374.099670734251</c:v>
                </c:pt>
                <c:pt idx="8">
                  <c:v>496.5324090626381</c:v>
                </c:pt>
                <c:pt idx="9">
                  <c:v>399.0508497778914</c:v>
                </c:pt>
                <c:pt idx="10">
                  <c:v>800.682328162592</c:v>
                </c:pt>
                <c:pt idx="11">
                  <c:v>521.0504741899539</c:v>
                </c:pt>
                <c:pt idx="12">
                  <c:v>675.119751918596</c:v>
                </c:pt>
                <c:pt idx="13">
                  <c:v>867.6343410419855</c:v>
                </c:pt>
                <c:pt idx="14">
                  <c:v>448.817245159247</c:v>
                </c:pt>
                <c:pt idx="15">
                  <c:v>1085.083136850737</c:v>
                </c:pt>
                <c:pt idx="16">
                  <c:v>316.9301807259263</c:v>
                </c:pt>
                <c:pt idx="17">
                  <c:v>1038.694037369149</c:v>
                </c:pt>
                <c:pt idx="18">
                  <c:v>669.9484337527601</c:v>
                </c:pt>
                <c:pt idx="19">
                  <c:v>1122.87536431893</c:v>
                </c:pt>
                <c:pt idx="20">
                  <c:v>1412.917413954162</c:v>
                </c:pt>
                <c:pt idx="21">
                  <c:v>1133.733760426552</c:v>
                </c:pt>
                <c:pt idx="22">
                  <c:v>2784.713951365292</c:v>
                </c:pt>
                <c:pt idx="23">
                  <c:v>1651.568344878002</c:v>
                </c:pt>
                <c:pt idx="24">
                  <c:v>1066.377999778961</c:v>
                </c:pt>
                <c:pt idx="25">
                  <c:v>998.9516697892806</c:v>
                </c:pt>
                <c:pt idx="26">
                  <c:v>476.0347554773074</c:v>
                </c:pt>
                <c:pt idx="27">
                  <c:v>1292.440557467689</c:v>
                </c:pt>
                <c:pt idx="28">
                  <c:v>225.3944018643834</c:v>
                </c:pt>
                <c:pt idx="29">
                  <c:v>1810.78103363415</c:v>
                </c:pt>
              </c:numCache>
            </c:numRef>
          </c:yVal>
          <c:smooth val="1"/>
        </c:ser>
        <c:axId val="473388936"/>
        <c:axId val="473382776"/>
      </c:scatterChart>
      <c:valAx>
        <c:axId val="473369096"/>
        <c:scaling>
          <c:orientation val="minMax"/>
        </c:scaling>
        <c:axPos val="b"/>
        <c:numFmt formatCode="m/d/yy" sourceLinked="1"/>
        <c:tickLblPos val="nextTo"/>
        <c:crossAx val="473376808"/>
        <c:crosses val="autoZero"/>
        <c:crossBetween val="midCat"/>
      </c:valAx>
      <c:valAx>
        <c:axId val="473376808"/>
        <c:scaling>
          <c:orientation val="minMax"/>
        </c:scaling>
        <c:axPos val="l"/>
        <c:majorGridlines/>
        <c:title>
          <c:tx>
            <c:rich>
              <a:bodyPr/>
              <a:lstStyle/>
              <a:p>
                <a:pPr>
                  <a:defRPr/>
                </a:pPr>
                <a:r>
                  <a:rPr lang="en-US"/>
                  <a:t>Total Phosphorous and Phosphates (ug/L)</a:t>
                </a:r>
              </a:p>
            </c:rich>
          </c:tx>
        </c:title>
        <c:numFmt formatCode="0.00" sourceLinked="1"/>
        <c:tickLblPos val="nextTo"/>
        <c:crossAx val="473369096"/>
        <c:crosses val="autoZero"/>
        <c:crossBetween val="midCat"/>
      </c:valAx>
      <c:valAx>
        <c:axId val="473382776"/>
        <c:scaling>
          <c:orientation val="minMax"/>
        </c:scaling>
        <c:axPos val="r"/>
        <c:title>
          <c:tx>
            <c:rich>
              <a:bodyPr/>
              <a:lstStyle/>
              <a:p>
                <a:pPr>
                  <a:defRPr/>
                </a:pPr>
                <a:r>
                  <a:rPr lang="en-US"/>
                  <a:t>Silicate (ug/L)</a:t>
                </a:r>
              </a:p>
            </c:rich>
          </c:tx>
        </c:title>
        <c:numFmt formatCode="0.00" sourceLinked="1"/>
        <c:tickLblPos val="nextTo"/>
        <c:crossAx val="473388936"/>
        <c:crosses val="max"/>
        <c:crossBetween val="midCat"/>
      </c:valAx>
      <c:valAx>
        <c:axId val="473388936"/>
        <c:scaling>
          <c:orientation val="minMax"/>
        </c:scaling>
        <c:delete val="1"/>
        <c:axPos val="b"/>
        <c:numFmt formatCode="m/d/yy" sourceLinked="1"/>
        <c:tickLblPos val="nextTo"/>
        <c:crossAx val="473382776"/>
        <c:crosses val="autoZero"/>
        <c:crossBetween val="midCat"/>
      </c:valAx>
    </c:plotArea>
    <c:legend>
      <c:legendPos val="t"/>
    </c:legend>
    <c:plotVisOnly val="1"/>
  </c:chart>
</c:chartSpace>
</file>

<file path=xl/charts/chart14.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Pohaku!$F$1</c:f>
              <c:strCache>
                <c:ptCount val="1"/>
                <c:pt idx="0">
                  <c:v>Salinity (ppt)</c:v>
                </c:pt>
              </c:strCache>
            </c:strRef>
          </c:tx>
          <c:xVal>
            <c:numRef>
              <c:f>Pohaku!$C$2:$C$34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Pohaku!$F$2:$F$34</c:f>
              <c:numCache>
                <c:formatCode>0.0</c:formatCode>
                <c:ptCount val="33"/>
                <c:pt idx="0">
                  <c:v>33.3</c:v>
                </c:pt>
                <c:pt idx="1">
                  <c:v>26.4</c:v>
                </c:pt>
                <c:pt idx="2">
                  <c:v>33.1</c:v>
                </c:pt>
                <c:pt idx="3">
                  <c:v>34.1</c:v>
                </c:pt>
                <c:pt idx="4">
                  <c:v>34.4</c:v>
                </c:pt>
                <c:pt idx="5">
                  <c:v>34.5</c:v>
                </c:pt>
                <c:pt idx="6">
                  <c:v>34.9</c:v>
                </c:pt>
                <c:pt idx="7">
                  <c:v>35.7</c:v>
                </c:pt>
                <c:pt idx="8">
                  <c:v>34.4</c:v>
                </c:pt>
                <c:pt idx="9">
                  <c:v>36.0</c:v>
                </c:pt>
                <c:pt idx="10">
                  <c:v>34.3</c:v>
                </c:pt>
                <c:pt idx="11">
                  <c:v>34.2</c:v>
                </c:pt>
                <c:pt idx="12">
                  <c:v>34.2</c:v>
                </c:pt>
                <c:pt idx="13">
                  <c:v>34.1</c:v>
                </c:pt>
                <c:pt idx="14">
                  <c:v>34.7</c:v>
                </c:pt>
                <c:pt idx="15">
                  <c:v>34.3</c:v>
                </c:pt>
                <c:pt idx="16">
                  <c:v>34.5</c:v>
                </c:pt>
                <c:pt idx="17">
                  <c:v>32.8</c:v>
                </c:pt>
                <c:pt idx="18">
                  <c:v>33.4</c:v>
                </c:pt>
                <c:pt idx="19">
                  <c:v>31.8</c:v>
                </c:pt>
                <c:pt idx="20">
                  <c:v>32.3</c:v>
                </c:pt>
                <c:pt idx="21">
                  <c:v>33.1</c:v>
                </c:pt>
                <c:pt idx="22">
                  <c:v>30.5</c:v>
                </c:pt>
                <c:pt idx="23">
                  <c:v>32.1</c:v>
                </c:pt>
                <c:pt idx="24">
                  <c:v>32.6</c:v>
                </c:pt>
                <c:pt idx="25">
                  <c:v>33.6</c:v>
                </c:pt>
                <c:pt idx="26">
                  <c:v>34.3</c:v>
                </c:pt>
                <c:pt idx="27">
                  <c:v>32.4</c:v>
                </c:pt>
                <c:pt idx="28">
                  <c:v>33.3</c:v>
                </c:pt>
                <c:pt idx="29">
                  <c:v>32.2</c:v>
                </c:pt>
                <c:pt idx="30">
                  <c:v>34.5</c:v>
                </c:pt>
                <c:pt idx="31">
                  <c:v>34.0</c:v>
                </c:pt>
                <c:pt idx="32">
                  <c:v>33.9</c:v>
                </c:pt>
              </c:numCache>
            </c:numRef>
          </c:yVal>
          <c:smooth val="1"/>
        </c:ser>
        <c:axId val="473269256"/>
        <c:axId val="473272424"/>
      </c:scatterChart>
      <c:valAx>
        <c:axId val="473269256"/>
        <c:scaling>
          <c:orientation val="minMax"/>
        </c:scaling>
        <c:axPos val="b"/>
        <c:numFmt formatCode="m/d/yy" sourceLinked="1"/>
        <c:tickLblPos val="nextTo"/>
        <c:crossAx val="473272424"/>
        <c:crosses val="autoZero"/>
        <c:crossBetween val="midCat"/>
      </c:valAx>
      <c:valAx>
        <c:axId val="473272424"/>
        <c:scaling>
          <c:orientation val="minMax"/>
          <c:min val="30.0"/>
        </c:scaling>
        <c:axPos val="l"/>
        <c:majorGridlines/>
        <c:numFmt formatCode="0.0" sourceLinked="1"/>
        <c:tickLblPos val="nextTo"/>
        <c:crossAx val="473269256"/>
        <c:crosses val="autoZero"/>
        <c:crossBetween val="midCat"/>
      </c:valAx>
    </c:plotArea>
    <c:plotVisOnly val="1"/>
  </c:chart>
</c:chartSpace>
</file>

<file path=xl/charts/chart15.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smoothMarker"/>
        <c:ser>
          <c:idx val="0"/>
          <c:order val="0"/>
          <c:tx>
            <c:strRef>
              <c:f>Pohaku!$F$1</c:f>
              <c:strCache>
                <c:ptCount val="1"/>
                <c:pt idx="0">
                  <c:v>Salinity (ppt)</c:v>
                </c:pt>
              </c:strCache>
            </c:strRef>
          </c:tx>
          <c:xVal>
            <c:numRef>
              <c:f>Pohaku!$C$2:$C$31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Pohaku!$F$2:$F$31</c:f>
              <c:numCache>
                <c:formatCode>0.0</c:formatCode>
                <c:ptCount val="30"/>
                <c:pt idx="0">
                  <c:v>33.3</c:v>
                </c:pt>
                <c:pt idx="1">
                  <c:v>26.4</c:v>
                </c:pt>
                <c:pt idx="2">
                  <c:v>33.1</c:v>
                </c:pt>
                <c:pt idx="3">
                  <c:v>34.1</c:v>
                </c:pt>
                <c:pt idx="4">
                  <c:v>34.4</c:v>
                </c:pt>
                <c:pt idx="5">
                  <c:v>34.5</c:v>
                </c:pt>
                <c:pt idx="6">
                  <c:v>34.9</c:v>
                </c:pt>
                <c:pt idx="7">
                  <c:v>35.7</c:v>
                </c:pt>
                <c:pt idx="8">
                  <c:v>34.4</c:v>
                </c:pt>
                <c:pt idx="9">
                  <c:v>36.0</c:v>
                </c:pt>
                <c:pt idx="10">
                  <c:v>34.3</c:v>
                </c:pt>
                <c:pt idx="11">
                  <c:v>34.2</c:v>
                </c:pt>
                <c:pt idx="12">
                  <c:v>34.2</c:v>
                </c:pt>
                <c:pt idx="13">
                  <c:v>34.1</c:v>
                </c:pt>
                <c:pt idx="14">
                  <c:v>34.7</c:v>
                </c:pt>
                <c:pt idx="15">
                  <c:v>34.3</c:v>
                </c:pt>
                <c:pt idx="16">
                  <c:v>34.5</c:v>
                </c:pt>
                <c:pt idx="17">
                  <c:v>32.8</c:v>
                </c:pt>
                <c:pt idx="18">
                  <c:v>33.4</c:v>
                </c:pt>
                <c:pt idx="19">
                  <c:v>31.8</c:v>
                </c:pt>
                <c:pt idx="20">
                  <c:v>32.3</c:v>
                </c:pt>
                <c:pt idx="21">
                  <c:v>33.1</c:v>
                </c:pt>
                <c:pt idx="22">
                  <c:v>30.5</c:v>
                </c:pt>
                <c:pt idx="23">
                  <c:v>32.1</c:v>
                </c:pt>
                <c:pt idx="24">
                  <c:v>32.6</c:v>
                </c:pt>
                <c:pt idx="25">
                  <c:v>33.6</c:v>
                </c:pt>
                <c:pt idx="26">
                  <c:v>34.3</c:v>
                </c:pt>
                <c:pt idx="27">
                  <c:v>32.4</c:v>
                </c:pt>
                <c:pt idx="28">
                  <c:v>33.3</c:v>
                </c:pt>
                <c:pt idx="29">
                  <c:v>32.2</c:v>
                </c:pt>
              </c:numCache>
            </c:numRef>
          </c:yVal>
          <c:smooth val="1"/>
        </c:ser>
        <c:axId val="473656312"/>
        <c:axId val="473659448"/>
      </c:scatterChart>
      <c:scatterChart>
        <c:scatterStyle val="smoothMarker"/>
        <c:ser>
          <c:idx val="1"/>
          <c:order val="1"/>
          <c:tx>
            <c:strRef>
              <c:f>Pohaku!$O$1</c:f>
              <c:strCache>
                <c:ptCount val="1"/>
                <c:pt idx="0">
                  <c:v>NNN (ug/L)</c:v>
                </c:pt>
              </c:strCache>
            </c:strRef>
          </c:tx>
          <c:xVal>
            <c:numRef>
              <c:f>Pohaku!$C$2:$C$31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Pohaku!$O$2:$O$31</c:f>
              <c:numCache>
                <c:formatCode>0.00</c:formatCode>
                <c:ptCount val="30"/>
                <c:pt idx="0">
                  <c:v>233.11</c:v>
                </c:pt>
                <c:pt idx="1">
                  <c:v>259.15</c:v>
                </c:pt>
                <c:pt idx="2">
                  <c:v>250.7302481463429</c:v>
                </c:pt>
                <c:pt idx="3">
                  <c:v>200.6699333841529</c:v>
                </c:pt>
                <c:pt idx="4">
                  <c:v>110.3997056786363</c:v>
                </c:pt>
                <c:pt idx="5">
                  <c:v>126.7605695209612</c:v>
                </c:pt>
                <c:pt idx="6">
                  <c:v>83.69254155517081</c:v>
                </c:pt>
                <c:pt idx="7">
                  <c:v>44.08970090246077</c:v>
                </c:pt>
                <c:pt idx="8">
                  <c:v>52.67366438428039</c:v>
                </c:pt>
                <c:pt idx="9">
                  <c:v>38.62268083315478</c:v>
                </c:pt>
                <c:pt idx="10">
                  <c:v>83.6771823788681</c:v>
                </c:pt>
                <c:pt idx="11">
                  <c:v>41.57356885124878</c:v>
                </c:pt>
                <c:pt idx="12">
                  <c:v>67.99016027729275</c:v>
                </c:pt>
                <c:pt idx="13">
                  <c:v>81.83772481067048</c:v>
                </c:pt>
                <c:pt idx="14">
                  <c:v>56.24455949122171</c:v>
                </c:pt>
                <c:pt idx="15">
                  <c:v>327.1289464493598</c:v>
                </c:pt>
                <c:pt idx="16">
                  <c:v>36.30469917451582</c:v>
                </c:pt>
                <c:pt idx="17">
                  <c:v>231.4117287543656</c:v>
                </c:pt>
                <c:pt idx="18">
                  <c:v>94.08988826321531</c:v>
                </c:pt>
                <c:pt idx="19">
                  <c:v>146.5064311063944</c:v>
                </c:pt>
                <c:pt idx="20">
                  <c:v>171.3608737210177</c:v>
                </c:pt>
                <c:pt idx="21">
                  <c:v>151.1847223851215</c:v>
                </c:pt>
                <c:pt idx="22">
                  <c:v>373.5297402732867</c:v>
                </c:pt>
                <c:pt idx="23">
                  <c:v>252.8430477260108</c:v>
                </c:pt>
                <c:pt idx="24">
                  <c:v>205.3220423215237</c:v>
                </c:pt>
                <c:pt idx="25">
                  <c:v>139.2724517181673</c:v>
                </c:pt>
                <c:pt idx="26">
                  <c:v>45.57363950421614</c:v>
                </c:pt>
                <c:pt idx="27">
                  <c:v>151.0139267267793</c:v>
                </c:pt>
                <c:pt idx="28">
                  <c:v>31.18865840847413</c:v>
                </c:pt>
                <c:pt idx="29">
                  <c:v>285.6388894219566</c:v>
                </c:pt>
              </c:numCache>
            </c:numRef>
          </c:yVal>
          <c:smooth val="1"/>
        </c:ser>
        <c:axId val="473665928"/>
        <c:axId val="473662568"/>
      </c:scatterChart>
      <c:valAx>
        <c:axId val="473656312"/>
        <c:scaling>
          <c:orientation val="minMax"/>
        </c:scaling>
        <c:axPos val="t"/>
        <c:numFmt formatCode="m/d/yy" sourceLinked="1"/>
        <c:tickLblPos val="nextTo"/>
        <c:crossAx val="473659448"/>
        <c:crosses val="autoZero"/>
        <c:crossBetween val="midCat"/>
      </c:valAx>
      <c:valAx>
        <c:axId val="473659448"/>
        <c:scaling>
          <c:orientation val="maxMin"/>
          <c:min val="25.0"/>
        </c:scaling>
        <c:axPos val="l"/>
        <c:majorGridlines/>
        <c:numFmt formatCode="0.0" sourceLinked="1"/>
        <c:tickLblPos val="nextTo"/>
        <c:crossAx val="473656312"/>
        <c:crosses val="autoZero"/>
        <c:crossBetween val="midCat"/>
      </c:valAx>
      <c:valAx>
        <c:axId val="473662568"/>
        <c:scaling>
          <c:orientation val="minMax"/>
        </c:scaling>
        <c:axPos val="r"/>
        <c:numFmt formatCode="0.00" sourceLinked="1"/>
        <c:tickLblPos val="nextTo"/>
        <c:crossAx val="473665928"/>
        <c:crosses val="max"/>
        <c:crossBetween val="midCat"/>
      </c:valAx>
      <c:valAx>
        <c:axId val="473665928"/>
        <c:scaling>
          <c:orientation val="minMax"/>
        </c:scaling>
        <c:delete val="1"/>
        <c:axPos val="b"/>
        <c:numFmt formatCode="m/d/yy" sourceLinked="1"/>
        <c:tickLblPos val="nextTo"/>
        <c:crossAx val="473662568"/>
        <c:crosses val="autoZero"/>
        <c:crossBetween val="midCat"/>
      </c:valAx>
    </c:plotArea>
    <c:legend>
      <c:legendPos val="r"/>
      <c:layout/>
    </c:legend>
    <c:plotVisOnly val="1"/>
  </c:chart>
</c:chartSpace>
</file>

<file path=xl/charts/chart1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Pohaku NNN vs Salinity</a:t>
            </a:r>
          </a:p>
        </c:rich>
      </c:tx>
    </c:title>
    <c:plotArea>
      <c:layout/>
      <c:scatterChart>
        <c:scatterStyle val="lineMarker"/>
        <c:ser>
          <c:idx val="0"/>
          <c:order val="0"/>
          <c:tx>
            <c:strRef>
              <c:f>Pohaku!$O$1</c:f>
              <c:strCache>
                <c:ptCount val="1"/>
                <c:pt idx="0">
                  <c:v>NNN (ug/L)</c:v>
                </c:pt>
              </c:strCache>
            </c:strRef>
          </c:tx>
          <c:spPr>
            <a:ln w="28575">
              <a:noFill/>
            </a:ln>
          </c:spPr>
          <c:trendline>
            <c:trendlineType val="linear"/>
            <c:dispRSqr val="1"/>
            <c:dispEq val="1"/>
            <c:trendlineLbl>
              <c:layout>
                <c:manualLayout>
                  <c:x val="0.780740740740741"/>
                  <c:y val="-0.851034551240346"/>
                </c:manualLayout>
              </c:layout>
              <c:numFmt formatCode="General" sourceLinked="0"/>
            </c:trendlineLbl>
          </c:trendline>
          <c:xVal>
            <c:numRef>
              <c:f>Pohaku!$F$6:$F$31</c:f>
              <c:numCache>
                <c:formatCode>0.0</c:formatCode>
                <c:ptCount val="26"/>
                <c:pt idx="0">
                  <c:v>34.4</c:v>
                </c:pt>
                <c:pt idx="1">
                  <c:v>34.5</c:v>
                </c:pt>
                <c:pt idx="2">
                  <c:v>34.9</c:v>
                </c:pt>
                <c:pt idx="3">
                  <c:v>35.7</c:v>
                </c:pt>
                <c:pt idx="4">
                  <c:v>34.4</c:v>
                </c:pt>
                <c:pt idx="5">
                  <c:v>36.0</c:v>
                </c:pt>
                <c:pt idx="6">
                  <c:v>34.3</c:v>
                </c:pt>
                <c:pt idx="7">
                  <c:v>34.2</c:v>
                </c:pt>
                <c:pt idx="8">
                  <c:v>34.2</c:v>
                </c:pt>
                <c:pt idx="9">
                  <c:v>34.1</c:v>
                </c:pt>
                <c:pt idx="10">
                  <c:v>34.7</c:v>
                </c:pt>
                <c:pt idx="11">
                  <c:v>34.3</c:v>
                </c:pt>
                <c:pt idx="12">
                  <c:v>34.5</c:v>
                </c:pt>
                <c:pt idx="13">
                  <c:v>32.8</c:v>
                </c:pt>
                <c:pt idx="14">
                  <c:v>33.4</c:v>
                </c:pt>
                <c:pt idx="15">
                  <c:v>31.8</c:v>
                </c:pt>
                <c:pt idx="16">
                  <c:v>32.3</c:v>
                </c:pt>
                <c:pt idx="17">
                  <c:v>33.1</c:v>
                </c:pt>
                <c:pt idx="18">
                  <c:v>30.5</c:v>
                </c:pt>
                <c:pt idx="19">
                  <c:v>32.1</c:v>
                </c:pt>
                <c:pt idx="20">
                  <c:v>32.6</c:v>
                </c:pt>
                <c:pt idx="21">
                  <c:v>33.6</c:v>
                </c:pt>
                <c:pt idx="22">
                  <c:v>34.3</c:v>
                </c:pt>
                <c:pt idx="23">
                  <c:v>32.4</c:v>
                </c:pt>
                <c:pt idx="24">
                  <c:v>33.3</c:v>
                </c:pt>
                <c:pt idx="25">
                  <c:v>32.2</c:v>
                </c:pt>
              </c:numCache>
            </c:numRef>
          </c:xVal>
          <c:yVal>
            <c:numRef>
              <c:f>Pohaku!$O$6:$O$31</c:f>
              <c:numCache>
                <c:formatCode>0.00</c:formatCode>
                <c:ptCount val="26"/>
                <c:pt idx="0">
                  <c:v>110.3997056786363</c:v>
                </c:pt>
                <c:pt idx="1">
                  <c:v>126.7605695209612</c:v>
                </c:pt>
                <c:pt idx="2">
                  <c:v>83.69254155517081</c:v>
                </c:pt>
                <c:pt idx="3">
                  <c:v>44.08970090246077</c:v>
                </c:pt>
                <c:pt idx="4">
                  <c:v>52.67366438428039</c:v>
                </c:pt>
                <c:pt idx="5">
                  <c:v>38.62268083315478</c:v>
                </c:pt>
                <c:pt idx="6">
                  <c:v>83.6771823788681</c:v>
                </c:pt>
                <c:pt idx="7">
                  <c:v>41.57356885124878</c:v>
                </c:pt>
                <c:pt idx="8">
                  <c:v>67.99016027729275</c:v>
                </c:pt>
                <c:pt idx="9">
                  <c:v>81.83772481067048</c:v>
                </c:pt>
                <c:pt idx="10">
                  <c:v>56.24455949122171</c:v>
                </c:pt>
                <c:pt idx="11">
                  <c:v>327.1289464493598</c:v>
                </c:pt>
                <c:pt idx="12">
                  <c:v>36.30469917451582</c:v>
                </c:pt>
                <c:pt idx="13">
                  <c:v>231.4117287543656</c:v>
                </c:pt>
                <c:pt idx="14">
                  <c:v>94.08988826321531</c:v>
                </c:pt>
                <c:pt idx="15">
                  <c:v>146.5064311063944</c:v>
                </c:pt>
                <c:pt idx="16">
                  <c:v>171.3608737210177</c:v>
                </c:pt>
                <c:pt idx="17">
                  <c:v>151.1847223851215</c:v>
                </c:pt>
                <c:pt idx="18">
                  <c:v>373.5297402732867</c:v>
                </c:pt>
                <c:pt idx="19">
                  <c:v>252.8430477260108</c:v>
                </c:pt>
                <c:pt idx="20">
                  <c:v>205.3220423215237</c:v>
                </c:pt>
                <c:pt idx="21">
                  <c:v>139.2724517181673</c:v>
                </c:pt>
                <c:pt idx="22">
                  <c:v>45.57363950421614</c:v>
                </c:pt>
                <c:pt idx="23">
                  <c:v>151.0139267267793</c:v>
                </c:pt>
                <c:pt idx="24">
                  <c:v>31.18865840847413</c:v>
                </c:pt>
                <c:pt idx="25">
                  <c:v>285.6388894219566</c:v>
                </c:pt>
              </c:numCache>
            </c:numRef>
          </c:yVal>
        </c:ser>
        <c:axId val="473686712"/>
        <c:axId val="473715272"/>
      </c:scatterChart>
      <c:valAx>
        <c:axId val="473686712"/>
        <c:scaling>
          <c:orientation val="maxMin"/>
          <c:min val="25.0"/>
        </c:scaling>
        <c:axPos val="b"/>
        <c:title>
          <c:tx>
            <c:rich>
              <a:bodyPr/>
              <a:lstStyle/>
              <a:p>
                <a:pPr>
                  <a:defRPr/>
                </a:pPr>
                <a:r>
                  <a:rPr lang="en-US"/>
                  <a:t>Salinity (ppt)</a:t>
                </a:r>
              </a:p>
            </c:rich>
          </c:tx>
        </c:title>
        <c:numFmt formatCode="0.0" sourceLinked="1"/>
        <c:tickLblPos val="nextTo"/>
        <c:crossAx val="473715272"/>
        <c:crosses val="autoZero"/>
        <c:crossBetween val="midCat"/>
      </c:valAx>
      <c:valAx>
        <c:axId val="473715272"/>
        <c:scaling>
          <c:orientation val="minMax"/>
        </c:scaling>
        <c:axPos val="r"/>
        <c:majorGridlines/>
        <c:title>
          <c:tx>
            <c:rich>
              <a:bodyPr/>
              <a:lstStyle/>
              <a:p>
                <a:pPr>
                  <a:defRPr/>
                </a:pPr>
                <a:r>
                  <a:rPr lang="en-US"/>
                  <a:t>Nitrates + Nitrites (ug/L)</a:t>
                </a:r>
              </a:p>
            </c:rich>
          </c:tx>
        </c:title>
        <c:numFmt formatCode="0.00" sourceLinked="1"/>
        <c:tickLblPos val="nextTo"/>
        <c:crossAx val="473686712"/>
        <c:crosses val="autoZero"/>
        <c:crossBetween val="midCat"/>
      </c:valAx>
    </c:plotArea>
    <c:plotVisOnly val="1"/>
  </c:chart>
</c:chartSpace>
</file>

<file path=xl/charts/chart1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Pohaku Nitrates vs Silicates</a:t>
            </a:r>
          </a:p>
        </c:rich>
      </c:tx>
    </c:title>
    <c:plotArea>
      <c:layout/>
      <c:scatterChart>
        <c:scatterStyle val="lineMarker"/>
        <c:ser>
          <c:idx val="0"/>
          <c:order val="0"/>
          <c:tx>
            <c:strRef>
              <c:f>Pohaku!$O$1</c:f>
              <c:strCache>
                <c:ptCount val="1"/>
                <c:pt idx="0">
                  <c:v>NNN (ug/L)</c:v>
                </c:pt>
              </c:strCache>
            </c:strRef>
          </c:tx>
          <c:spPr>
            <a:ln w="28575">
              <a:noFill/>
            </a:ln>
          </c:spPr>
          <c:trendline>
            <c:trendlineType val="linear"/>
            <c:dispRSqr val="1"/>
            <c:dispEq val="1"/>
            <c:trendlineLbl>
              <c:layout>
                <c:manualLayout>
                  <c:x val="0.0282620005832604"/>
                  <c:y val="-0.097327650526995"/>
                </c:manualLayout>
              </c:layout>
              <c:numFmt formatCode="General" sourceLinked="0"/>
            </c:trendlineLbl>
          </c:trendline>
          <c:xVal>
            <c:numRef>
              <c:f>Pohaku!$N$2:$N$31</c:f>
              <c:numCache>
                <c:formatCode>0.00</c:formatCode>
                <c:ptCount val="30"/>
                <c:pt idx="0">
                  <c:v>1697.47</c:v>
                </c:pt>
                <c:pt idx="1">
                  <c:v>1621.15</c:v>
                </c:pt>
                <c:pt idx="2">
                  <c:v>1360.254212596585</c:v>
                </c:pt>
                <c:pt idx="3">
                  <c:v>1116.962479147246</c:v>
                </c:pt>
                <c:pt idx="4">
                  <c:v>592.2860539918071</c:v>
                </c:pt>
                <c:pt idx="5">
                  <c:v>710.638371404461</c:v>
                </c:pt>
                <c:pt idx="6">
                  <c:v>626.9553572857354</c:v>
                </c:pt>
                <c:pt idx="7">
                  <c:v>374.099670734251</c:v>
                </c:pt>
                <c:pt idx="8">
                  <c:v>496.5324090626381</c:v>
                </c:pt>
                <c:pt idx="9">
                  <c:v>399.0508497778914</c:v>
                </c:pt>
                <c:pt idx="10">
                  <c:v>800.682328162592</c:v>
                </c:pt>
                <c:pt idx="11">
                  <c:v>521.0504741899539</c:v>
                </c:pt>
                <c:pt idx="12">
                  <c:v>675.119751918596</c:v>
                </c:pt>
                <c:pt idx="13">
                  <c:v>867.6343410419855</c:v>
                </c:pt>
                <c:pt idx="14">
                  <c:v>448.817245159247</c:v>
                </c:pt>
                <c:pt idx="15">
                  <c:v>1085.083136850737</c:v>
                </c:pt>
                <c:pt idx="16">
                  <c:v>316.9301807259263</c:v>
                </c:pt>
                <c:pt idx="17">
                  <c:v>1038.694037369149</c:v>
                </c:pt>
                <c:pt idx="18">
                  <c:v>669.9484337527601</c:v>
                </c:pt>
                <c:pt idx="19">
                  <c:v>1122.87536431893</c:v>
                </c:pt>
                <c:pt idx="20">
                  <c:v>1412.917413954162</c:v>
                </c:pt>
                <c:pt idx="21">
                  <c:v>1133.733760426552</c:v>
                </c:pt>
                <c:pt idx="22">
                  <c:v>2784.713951365292</c:v>
                </c:pt>
                <c:pt idx="23">
                  <c:v>1651.568344878002</c:v>
                </c:pt>
                <c:pt idx="24">
                  <c:v>1066.377999778961</c:v>
                </c:pt>
                <c:pt idx="25">
                  <c:v>998.9516697892806</c:v>
                </c:pt>
                <c:pt idx="26">
                  <c:v>476.0347554773074</c:v>
                </c:pt>
                <c:pt idx="27">
                  <c:v>1292.440557467689</c:v>
                </c:pt>
                <c:pt idx="28">
                  <c:v>225.3944018643834</c:v>
                </c:pt>
                <c:pt idx="29">
                  <c:v>1810.78103363415</c:v>
                </c:pt>
              </c:numCache>
            </c:numRef>
          </c:xVal>
          <c:yVal>
            <c:numRef>
              <c:f>Pohaku!$O$2:$O$31</c:f>
              <c:numCache>
                <c:formatCode>0.00</c:formatCode>
                <c:ptCount val="30"/>
                <c:pt idx="0">
                  <c:v>233.11</c:v>
                </c:pt>
                <c:pt idx="1">
                  <c:v>259.15</c:v>
                </c:pt>
                <c:pt idx="2">
                  <c:v>250.7302481463429</c:v>
                </c:pt>
                <c:pt idx="3">
                  <c:v>200.6699333841529</c:v>
                </c:pt>
                <c:pt idx="4">
                  <c:v>110.3997056786363</c:v>
                </c:pt>
                <c:pt idx="5">
                  <c:v>126.7605695209612</c:v>
                </c:pt>
                <c:pt idx="6">
                  <c:v>83.69254155517081</c:v>
                </c:pt>
                <c:pt idx="7">
                  <c:v>44.08970090246077</c:v>
                </c:pt>
                <c:pt idx="8">
                  <c:v>52.67366438428039</c:v>
                </c:pt>
                <c:pt idx="9">
                  <c:v>38.62268083315478</c:v>
                </c:pt>
                <c:pt idx="10">
                  <c:v>83.6771823788681</c:v>
                </c:pt>
                <c:pt idx="11">
                  <c:v>41.57356885124878</c:v>
                </c:pt>
                <c:pt idx="12">
                  <c:v>67.99016027729275</c:v>
                </c:pt>
                <c:pt idx="13">
                  <c:v>81.83772481067048</c:v>
                </c:pt>
                <c:pt idx="14">
                  <c:v>56.24455949122171</c:v>
                </c:pt>
                <c:pt idx="15">
                  <c:v>327.1289464493598</c:v>
                </c:pt>
                <c:pt idx="16">
                  <c:v>36.30469917451582</c:v>
                </c:pt>
                <c:pt idx="17">
                  <c:v>231.4117287543656</c:v>
                </c:pt>
                <c:pt idx="18">
                  <c:v>94.08988826321531</c:v>
                </c:pt>
                <c:pt idx="19">
                  <c:v>146.5064311063944</c:v>
                </c:pt>
                <c:pt idx="20">
                  <c:v>171.3608737210177</c:v>
                </c:pt>
                <c:pt idx="21">
                  <c:v>151.1847223851215</c:v>
                </c:pt>
                <c:pt idx="22">
                  <c:v>373.5297402732867</c:v>
                </c:pt>
                <c:pt idx="23">
                  <c:v>252.8430477260108</c:v>
                </c:pt>
                <c:pt idx="24">
                  <c:v>205.3220423215237</c:v>
                </c:pt>
                <c:pt idx="25">
                  <c:v>139.2724517181673</c:v>
                </c:pt>
                <c:pt idx="26">
                  <c:v>45.57363950421614</c:v>
                </c:pt>
                <c:pt idx="27">
                  <c:v>151.0139267267793</c:v>
                </c:pt>
                <c:pt idx="28">
                  <c:v>31.18865840847413</c:v>
                </c:pt>
                <c:pt idx="29">
                  <c:v>285.6388894219566</c:v>
                </c:pt>
              </c:numCache>
            </c:numRef>
          </c:yVal>
        </c:ser>
        <c:axId val="473753528"/>
        <c:axId val="473764600"/>
      </c:scatterChart>
      <c:valAx>
        <c:axId val="473753528"/>
        <c:scaling>
          <c:orientation val="minMax"/>
        </c:scaling>
        <c:axPos val="b"/>
        <c:title>
          <c:tx>
            <c:rich>
              <a:bodyPr/>
              <a:lstStyle/>
              <a:p>
                <a:pPr>
                  <a:defRPr/>
                </a:pPr>
                <a:r>
                  <a:rPr lang="en-US"/>
                  <a:t>Silicates (ug/L)</a:t>
                </a:r>
              </a:p>
            </c:rich>
          </c:tx>
        </c:title>
        <c:numFmt formatCode="0.00" sourceLinked="1"/>
        <c:tickLblPos val="nextTo"/>
        <c:crossAx val="473764600"/>
        <c:crosses val="autoZero"/>
        <c:crossBetween val="midCat"/>
      </c:valAx>
      <c:valAx>
        <c:axId val="473764600"/>
        <c:scaling>
          <c:orientation val="minMax"/>
        </c:scaling>
        <c:axPos val="l"/>
        <c:majorGridlines/>
        <c:title>
          <c:tx>
            <c:rich>
              <a:bodyPr/>
              <a:lstStyle/>
              <a:p>
                <a:pPr>
                  <a:defRPr/>
                </a:pPr>
                <a:r>
                  <a:rPr lang="en-US"/>
                  <a:t>Nitrates + Nitrites (ug/L)</a:t>
                </a:r>
              </a:p>
            </c:rich>
          </c:tx>
        </c:title>
        <c:numFmt formatCode="0.00" sourceLinked="1"/>
        <c:tickLblPos val="nextTo"/>
        <c:crossAx val="473753528"/>
        <c:crosses val="autoZero"/>
        <c:crossBetween val="midCat"/>
      </c:valAx>
    </c:plotArea>
    <c:plotVisOnly val="1"/>
  </c:chart>
</c:chartSpace>
</file>

<file path=xl/charts/chart18.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Kaanapali Shores (RKS)</a:t>
            </a:r>
          </a:p>
        </c:rich>
      </c:tx>
    </c:title>
    <c:plotArea>
      <c:layout/>
      <c:scatterChart>
        <c:scatterStyle val="smoothMarker"/>
        <c:ser>
          <c:idx val="0"/>
          <c:order val="0"/>
          <c:tx>
            <c:strRef>
              <c:f>'Kaanapali Shores'!$J$1</c:f>
              <c:strCache>
                <c:ptCount val="1"/>
                <c:pt idx="0">
                  <c:v>Turbidity (NTU)</c:v>
                </c:pt>
              </c:strCache>
            </c:strRef>
          </c:tx>
          <c:xVal>
            <c:numRef>
              <c:f>'Kaanapali Shores'!$C$2:$C$34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'Kaanapali Shores'!$J$2:$J$34</c:f>
              <c:numCache>
                <c:formatCode>0.00</c:formatCode>
                <c:ptCount val="33"/>
                <c:pt idx="0">
                  <c:v>16.8</c:v>
                </c:pt>
                <c:pt idx="1">
                  <c:v>9.79</c:v>
                </c:pt>
                <c:pt idx="2">
                  <c:v>3.9</c:v>
                </c:pt>
                <c:pt idx="3">
                  <c:v>6.16</c:v>
                </c:pt>
                <c:pt idx="4">
                  <c:v>5.813333333333332</c:v>
                </c:pt>
                <c:pt idx="5">
                  <c:v>10.63333333333333</c:v>
                </c:pt>
                <c:pt idx="6">
                  <c:v>6.163333333333334</c:v>
                </c:pt>
                <c:pt idx="7">
                  <c:v>12.06666666666667</c:v>
                </c:pt>
                <c:pt idx="8">
                  <c:v>7.76</c:v>
                </c:pt>
                <c:pt idx="9">
                  <c:v>5.776666666666666</c:v>
                </c:pt>
                <c:pt idx="10">
                  <c:v>3.08</c:v>
                </c:pt>
                <c:pt idx="11">
                  <c:v>5.673333333333332</c:v>
                </c:pt>
                <c:pt idx="12">
                  <c:v>6.356666666666666</c:v>
                </c:pt>
                <c:pt idx="13">
                  <c:v>5.796666666666666</c:v>
                </c:pt>
                <c:pt idx="14">
                  <c:v>3.776666666666667</c:v>
                </c:pt>
                <c:pt idx="15">
                  <c:v>6.31</c:v>
                </c:pt>
                <c:pt idx="16">
                  <c:v>6.6</c:v>
                </c:pt>
                <c:pt idx="17">
                  <c:v>8.4</c:v>
                </c:pt>
                <c:pt idx="18">
                  <c:v>5.236666666666667</c:v>
                </c:pt>
                <c:pt idx="19">
                  <c:v>2.593333333333333</c:v>
                </c:pt>
                <c:pt idx="20">
                  <c:v>2.593333333333334</c:v>
                </c:pt>
                <c:pt idx="21">
                  <c:v>2.799999999999999</c:v>
                </c:pt>
                <c:pt idx="22">
                  <c:v>5.166666666666667</c:v>
                </c:pt>
                <c:pt idx="23">
                  <c:v>1.986666666666667</c:v>
                </c:pt>
                <c:pt idx="24">
                  <c:v>3.17</c:v>
                </c:pt>
                <c:pt idx="25">
                  <c:v>2.926666666666667</c:v>
                </c:pt>
                <c:pt idx="26">
                  <c:v>6.486666666666667</c:v>
                </c:pt>
                <c:pt idx="27">
                  <c:v>3.22</c:v>
                </c:pt>
                <c:pt idx="28">
                  <c:v>5.46</c:v>
                </c:pt>
                <c:pt idx="29">
                  <c:v>2.79</c:v>
                </c:pt>
                <c:pt idx="30">
                  <c:v>10.11</c:v>
                </c:pt>
                <c:pt idx="31">
                  <c:v>25.53333333333333</c:v>
                </c:pt>
                <c:pt idx="32">
                  <c:v>12.4</c:v>
                </c:pt>
              </c:numCache>
            </c:numRef>
          </c:yVal>
          <c:smooth val="1"/>
        </c:ser>
        <c:axId val="284541656"/>
        <c:axId val="284534696"/>
      </c:scatterChart>
      <c:valAx>
        <c:axId val="284541656"/>
        <c:scaling>
          <c:orientation val="minMax"/>
        </c:scaling>
        <c:axPos val="b"/>
        <c:numFmt formatCode="m/d/yy" sourceLinked="1"/>
        <c:tickLblPos val="nextTo"/>
        <c:crossAx val="284534696"/>
        <c:crosses val="autoZero"/>
        <c:crossBetween val="midCat"/>
      </c:valAx>
      <c:valAx>
        <c:axId val="284534696"/>
        <c:scaling>
          <c:orientation val="minMax"/>
          <c:max val="30.0"/>
        </c:scaling>
        <c:axPos val="l"/>
        <c:majorGridlines/>
        <c:title>
          <c:tx>
            <c:rich>
              <a:bodyPr/>
              <a:lstStyle/>
              <a:p>
                <a:pPr>
                  <a:defRPr/>
                </a:pPr>
                <a:r>
                  <a:rPr lang="en-US"/>
                  <a:t>Turbidity (NTU)</a:t>
                </a:r>
              </a:p>
            </c:rich>
          </c:tx>
        </c:title>
        <c:numFmt formatCode="0.00" sourceLinked="1"/>
        <c:tickLblPos val="nextTo"/>
        <c:crossAx val="284541656"/>
        <c:crosses val="autoZero"/>
        <c:crossBetween val="midCat"/>
      </c:valAx>
    </c:plotArea>
    <c:plotVisOnly val="1"/>
  </c:chart>
</c:chartSpace>
</file>

<file path=xl/charts/chart19.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Kaanapali Shores (RKS)</a:t>
            </a:r>
          </a:p>
        </c:rich>
      </c:tx>
    </c:title>
    <c:plotArea>
      <c:layout/>
      <c:scatterChart>
        <c:scatterStyle val="smoothMarker"/>
        <c:ser>
          <c:idx val="0"/>
          <c:order val="0"/>
          <c:tx>
            <c:strRef>
              <c:f>'Kaanapali Shores'!$I$1</c:f>
              <c:strCache>
                <c:ptCount val="1"/>
                <c:pt idx="0">
                  <c:v>pH</c:v>
                </c:pt>
              </c:strCache>
            </c:strRef>
          </c:tx>
          <c:xVal>
            <c:numRef>
              <c:f>'Kaanapali Shores'!$C$2:$C$34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'Kaanapali Shores'!$I$2:$I$34</c:f>
              <c:numCache>
                <c:formatCode>0.00</c:formatCode>
                <c:ptCount val="33"/>
                <c:pt idx="0">
                  <c:v>8.07</c:v>
                </c:pt>
                <c:pt idx="1">
                  <c:v>8.130000000000001</c:v>
                </c:pt>
                <c:pt idx="2">
                  <c:v>8.07</c:v>
                </c:pt>
                <c:pt idx="3">
                  <c:v>8.07</c:v>
                </c:pt>
                <c:pt idx="4">
                  <c:v>8.03</c:v>
                </c:pt>
                <c:pt idx="5">
                  <c:v>8.04</c:v>
                </c:pt>
                <c:pt idx="6">
                  <c:v>8.15</c:v>
                </c:pt>
                <c:pt idx="7">
                  <c:v>8.0</c:v>
                </c:pt>
                <c:pt idx="8">
                  <c:v>8.08</c:v>
                </c:pt>
                <c:pt idx="9">
                  <c:v>7.96</c:v>
                </c:pt>
                <c:pt idx="10">
                  <c:v>8.08</c:v>
                </c:pt>
                <c:pt idx="11">
                  <c:v>8.15</c:v>
                </c:pt>
                <c:pt idx="12">
                  <c:v>8.07</c:v>
                </c:pt>
                <c:pt idx="13">
                  <c:v>8.07</c:v>
                </c:pt>
                <c:pt idx="14">
                  <c:v>8.210000000000001</c:v>
                </c:pt>
                <c:pt idx="15">
                  <c:v>8.17</c:v>
                </c:pt>
                <c:pt idx="16">
                  <c:v>8.140000000000001</c:v>
                </c:pt>
                <c:pt idx="17">
                  <c:v>8.15</c:v>
                </c:pt>
                <c:pt idx="18">
                  <c:v>8.11</c:v>
                </c:pt>
                <c:pt idx="19">
                  <c:v>8.220000000000001</c:v>
                </c:pt>
                <c:pt idx="20">
                  <c:v>8.140000000000001</c:v>
                </c:pt>
                <c:pt idx="21">
                  <c:v>8.09</c:v>
                </c:pt>
                <c:pt idx="22">
                  <c:v>8.12</c:v>
                </c:pt>
                <c:pt idx="23">
                  <c:v>8.07</c:v>
                </c:pt>
                <c:pt idx="24">
                  <c:v>8.07</c:v>
                </c:pt>
                <c:pt idx="25">
                  <c:v>8.11</c:v>
                </c:pt>
                <c:pt idx="26">
                  <c:v>8.08</c:v>
                </c:pt>
                <c:pt idx="27">
                  <c:v>8.11</c:v>
                </c:pt>
                <c:pt idx="28">
                  <c:v>8.16</c:v>
                </c:pt>
                <c:pt idx="29">
                  <c:v>8.18</c:v>
                </c:pt>
                <c:pt idx="30">
                  <c:v>8.17</c:v>
                </c:pt>
                <c:pt idx="31">
                  <c:v>8.18</c:v>
                </c:pt>
                <c:pt idx="32">
                  <c:v>8.15</c:v>
                </c:pt>
              </c:numCache>
            </c:numRef>
          </c:yVal>
          <c:smooth val="1"/>
        </c:ser>
        <c:axId val="284584552"/>
        <c:axId val="284577576"/>
      </c:scatterChart>
      <c:valAx>
        <c:axId val="284584552"/>
        <c:scaling>
          <c:orientation val="minMax"/>
        </c:scaling>
        <c:axPos val="b"/>
        <c:numFmt formatCode="m/d/yy" sourceLinked="1"/>
        <c:tickLblPos val="nextTo"/>
        <c:crossAx val="284577576"/>
        <c:crosses val="autoZero"/>
        <c:crossBetween val="midCat"/>
      </c:valAx>
      <c:valAx>
        <c:axId val="284577576"/>
        <c:scaling>
          <c:orientation val="minMax"/>
          <c:max val="8.3"/>
          <c:min val="7.7"/>
        </c:scaling>
        <c:axPos val="l"/>
        <c:majorGridlines/>
        <c:title>
          <c:tx>
            <c:rich>
              <a:bodyPr/>
              <a:lstStyle/>
              <a:p>
                <a:pPr>
                  <a:defRPr/>
                </a:pPr>
                <a:r>
                  <a:rPr lang="en-US"/>
                  <a:t>pH</a:t>
                </a:r>
              </a:p>
            </c:rich>
          </c:tx>
        </c:title>
        <c:numFmt formatCode="0.00" sourceLinked="1"/>
        <c:tickLblPos val="nextTo"/>
        <c:crossAx val="284584552"/>
        <c:crosses val="autoZero"/>
        <c:crossBetween val="midCat"/>
      </c:valAx>
    </c:plotArea>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Napili Bay (RNS)</a:t>
            </a:r>
          </a:p>
        </c:rich>
      </c:tx>
    </c:title>
    <c:plotArea>
      <c:layout/>
      <c:scatterChart>
        <c:scatterStyle val="smoothMarker"/>
        <c:ser>
          <c:idx val="0"/>
          <c:order val="0"/>
          <c:tx>
            <c:strRef>
              <c:f>Napili!$I$1</c:f>
              <c:strCache>
                <c:ptCount val="1"/>
                <c:pt idx="0">
                  <c:v>pH</c:v>
                </c:pt>
              </c:strCache>
            </c:strRef>
          </c:tx>
          <c:xVal>
            <c:numRef>
              <c:f>Napili!$C$2:$C$18</c:f>
              <c:numCache>
                <c:formatCode>m/d/yy</c:formatCode>
                <c:ptCount val="17"/>
                <c:pt idx="0">
                  <c:v>42780.0</c:v>
                </c:pt>
                <c:pt idx="1">
                  <c:v>42801.0</c:v>
                </c:pt>
                <c:pt idx="2">
                  <c:v>42822.0</c:v>
                </c:pt>
                <c:pt idx="3">
                  <c:v>42843.0</c:v>
                </c:pt>
                <c:pt idx="4">
                  <c:v>42864.0</c:v>
                </c:pt>
                <c:pt idx="5">
                  <c:v>42885.0</c:v>
                </c:pt>
                <c:pt idx="6">
                  <c:v>42906.0</c:v>
                </c:pt>
                <c:pt idx="7">
                  <c:v>42927.0</c:v>
                </c:pt>
                <c:pt idx="8">
                  <c:v>42948.0</c:v>
                </c:pt>
                <c:pt idx="9">
                  <c:v>42969.0</c:v>
                </c:pt>
                <c:pt idx="10">
                  <c:v>42990.0</c:v>
                </c:pt>
                <c:pt idx="11">
                  <c:v>43011.0</c:v>
                </c:pt>
                <c:pt idx="12">
                  <c:v>43032.0</c:v>
                </c:pt>
                <c:pt idx="13">
                  <c:v>43053.0</c:v>
                </c:pt>
                <c:pt idx="14">
                  <c:v>43074.0</c:v>
                </c:pt>
                <c:pt idx="15">
                  <c:v>43088.0</c:v>
                </c:pt>
                <c:pt idx="16">
                  <c:v>43109.0</c:v>
                </c:pt>
              </c:numCache>
            </c:numRef>
          </c:xVal>
          <c:yVal>
            <c:numRef>
              <c:f>Napili!$I$2:$I$18</c:f>
              <c:numCache>
                <c:formatCode>0.00</c:formatCode>
                <c:ptCount val="17"/>
                <c:pt idx="0">
                  <c:v>8.15</c:v>
                </c:pt>
                <c:pt idx="1">
                  <c:v>8.16</c:v>
                </c:pt>
                <c:pt idx="2">
                  <c:v>8.11</c:v>
                </c:pt>
                <c:pt idx="3">
                  <c:v>8.15</c:v>
                </c:pt>
                <c:pt idx="4">
                  <c:v>8.12</c:v>
                </c:pt>
                <c:pt idx="5">
                  <c:v>8.09</c:v>
                </c:pt>
                <c:pt idx="6">
                  <c:v>8.1</c:v>
                </c:pt>
                <c:pt idx="7">
                  <c:v>8.08</c:v>
                </c:pt>
                <c:pt idx="8">
                  <c:v>8.09</c:v>
                </c:pt>
                <c:pt idx="9">
                  <c:v>8.04</c:v>
                </c:pt>
                <c:pt idx="10">
                  <c:v>8.08</c:v>
                </c:pt>
                <c:pt idx="11">
                  <c:v>8.140000000000001</c:v>
                </c:pt>
                <c:pt idx="12">
                  <c:v>8.1</c:v>
                </c:pt>
                <c:pt idx="13">
                  <c:v>8.16</c:v>
                </c:pt>
                <c:pt idx="14">
                  <c:v>8.17</c:v>
                </c:pt>
                <c:pt idx="15">
                  <c:v>8.16</c:v>
                </c:pt>
                <c:pt idx="16">
                  <c:v>8.1</c:v>
                </c:pt>
              </c:numCache>
            </c:numRef>
          </c:yVal>
          <c:smooth val="1"/>
        </c:ser>
        <c:axId val="347129112"/>
        <c:axId val="448680104"/>
      </c:scatterChart>
      <c:valAx>
        <c:axId val="347129112"/>
        <c:scaling>
          <c:orientation val="minMax"/>
        </c:scaling>
        <c:axPos val="b"/>
        <c:numFmt formatCode="m/d/yy" sourceLinked="1"/>
        <c:tickLblPos val="nextTo"/>
        <c:crossAx val="448680104"/>
        <c:crosses val="autoZero"/>
        <c:crossBetween val="midCat"/>
      </c:valAx>
      <c:valAx>
        <c:axId val="448680104"/>
        <c:scaling>
          <c:orientation val="minMax"/>
          <c:max val="8.3"/>
          <c:min val="7.7"/>
        </c:scaling>
        <c:axPos val="l"/>
        <c:majorGridlines/>
        <c:title>
          <c:tx>
            <c:rich>
              <a:bodyPr/>
              <a:lstStyle/>
              <a:p>
                <a:pPr>
                  <a:defRPr/>
                </a:pPr>
                <a:r>
                  <a:rPr lang="en-US"/>
                  <a:t>pH</a:t>
                </a:r>
              </a:p>
            </c:rich>
          </c:tx>
        </c:title>
        <c:numFmt formatCode="0.00" sourceLinked="1"/>
        <c:tickLblPos val="nextTo"/>
        <c:crossAx val="347129112"/>
        <c:crosses val="autoZero"/>
        <c:crossBetween val="midCat"/>
      </c:valAx>
    </c:plotArea>
    <c:plotVisOnly val="1"/>
  </c:chart>
</c:chartSpace>
</file>

<file path=xl/charts/chart20.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Kaanapali Shores (RKS)</a:t>
            </a:r>
          </a:p>
        </c:rich>
      </c:tx>
    </c:title>
    <c:plotArea>
      <c:layout/>
      <c:scatterChart>
        <c:scatterStyle val="smoothMarker"/>
        <c:ser>
          <c:idx val="0"/>
          <c:order val="0"/>
          <c:tx>
            <c:strRef>
              <c:f>'Kaanapali Shores'!$E$1</c:f>
              <c:strCache>
                <c:ptCount val="1"/>
                <c:pt idx="0">
                  <c:v>Temp (degrees C)</c:v>
                </c:pt>
              </c:strCache>
            </c:strRef>
          </c:tx>
          <c:xVal>
            <c:numRef>
              <c:f>'Kaanapali Shores'!$C$2:$C$34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'Kaanapali Shores'!$E$2:$E$34</c:f>
              <c:numCache>
                <c:formatCode>0.0</c:formatCode>
                <c:ptCount val="33"/>
                <c:pt idx="0">
                  <c:v>24.9</c:v>
                </c:pt>
                <c:pt idx="1">
                  <c:v>24.2</c:v>
                </c:pt>
                <c:pt idx="2">
                  <c:v>26.0</c:v>
                </c:pt>
                <c:pt idx="3">
                  <c:v>26.8</c:v>
                </c:pt>
                <c:pt idx="4">
                  <c:v>25.8</c:v>
                </c:pt>
                <c:pt idx="5">
                  <c:v>26.6</c:v>
                </c:pt>
                <c:pt idx="6">
                  <c:v>26.1</c:v>
                </c:pt>
                <c:pt idx="7">
                  <c:v>25.9</c:v>
                </c:pt>
                <c:pt idx="8">
                  <c:v>26.9</c:v>
                </c:pt>
                <c:pt idx="9">
                  <c:v>26.1</c:v>
                </c:pt>
                <c:pt idx="10">
                  <c:v>24.7</c:v>
                </c:pt>
                <c:pt idx="11">
                  <c:v>25.5</c:v>
                </c:pt>
                <c:pt idx="12">
                  <c:v>24.0</c:v>
                </c:pt>
                <c:pt idx="13">
                  <c:v>24.3</c:v>
                </c:pt>
                <c:pt idx="14">
                  <c:v>23.0</c:v>
                </c:pt>
                <c:pt idx="15">
                  <c:v>23.1</c:v>
                </c:pt>
                <c:pt idx="16">
                  <c:v>24.1</c:v>
                </c:pt>
                <c:pt idx="17">
                  <c:v>24.3</c:v>
                </c:pt>
                <c:pt idx="18">
                  <c:v>24.6</c:v>
                </c:pt>
                <c:pt idx="19">
                  <c:v>24.1</c:v>
                </c:pt>
                <c:pt idx="20">
                  <c:v>25.5</c:v>
                </c:pt>
                <c:pt idx="21">
                  <c:v>26.0</c:v>
                </c:pt>
                <c:pt idx="22">
                  <c:v>26.3</c:v>
                </c:pt>
                <c:pt idx="23">
                  <c:v>26.6</c:v>
                </c:pt>
                <c:pt idx="24">
                  <c:v>26.9</c:v>
                </c:pt>
                <c:pt idx="25">
                  <c:v>26.5</c:v>
                </c:pt>
                <c:pt idx="26">
                  <c:v>27.4</c:v>
                </c:pt>
                <c:pt idx="27">
                  <c:v>27.1</c:v>
                </c:pt>
                <c:pt idx="28">
                  <c:v>26.7</c:v>
                </c:pt>
                <c:pt idx="29">
                  <c:v>26.1</c:v>
                </c:pt>
                <c:pt idx="30">
                  <c:v>23.5</c:v>
                </c:pt>
                <c:pt idx="31">
                  <c:v>24.9</c:v>
                </c:pt>
                <c:pt idx="32">
                  <c:v>23.7</c:v>
                </c:pt>
              </c:numCache>
            </c:numRef>
          </c:yVal>
          <c:smooth val="1"/>
        </c:ser>
        <c:axId val="284638088"/>
        <c:axId val="284635288"/>
      </c:scatterChart>
      <c:valAx>
        <c:axId val="284638088"/>
        <c:scaling>
          <c:orientation val="minMax"/>
        </c:scaling>
        <c:axPos val="b"/>
        <c:title>
          <c:tx>
            <c:rich>
              <a:bodyPr/>
              <a:lstStyle/>
              <a:p>
                <a:pPr>
                  <a:defRPr/>
                </a:pPr>
                <a:r>
                  <a:rPr lang="en-US"/>
                  <a:t>Date</a:t>
                </a:r>
              </a:p>
            </c:rich>
          </c:tx>
        </c:title>
        <c:numFmt formatCode="m/d/yy" sourceLinked="1"/>
        <c:tickLblPos val="nextTo"/>
        <c:crossAx val="284635288"/>
        <c:crosses val="autoZero"/>
        <c:crossBetween val="midCat"/>
      </c:valAx>
      <c:valAx>
        <c:axId val="284635288"/>
        <c:scaling>
          <c:orientation val="minMax"/>
          <c:max val="29.0"/>
          <c:min val="22.0"/>
        </c:scaling>
        <c:axPos val="l"/>
        <c:majorGridlines/>
        <c:title>
          <c:tx>
            <c:rich>
              <a:bodyPr/>
              <a:lstStyle/>
              <a:p>
                <a:pPr>
                  <a:defRPr/>
                </a:pPr>
                <a:r>
                  <a:rPr lang="en-US"/>
                  <a:t>Temperature (Celcius)</a:t>
                </a:r>
              </a:p>
            </c:rich>
          </c:tx>
        </c:title>
        <c:numFmt formatCode="0.0" sourceLinked="1"/>
        <c:tickLblPos val="nextTo"/>
        <c:crossAx val="284638088"/>
        <c:crosses val="autoZero"/>
        <c:crossBetween val="midCat"/>
      </c:valAx>
    </c:plotArea>
    <c:plotVisOnly val="1"/>
  </c:chart>
</c:chartSpace>
</file>

<file path=xl/charts/chart2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Kaanapali Shores Salinity (RKS)</a:t>
            </a:r>
          </a:p>
        </c:rich>
      </c:tx>
    </c:title>
    <c:plotArea>
      <c:layout/>
      <c:scatterChart>
        <c:scatterStyle val="smoothMarker"/>
        <c:ser>
          <c:idx val="0"/>
          <c:order val="0"/>
          <c:tx>
            <c:strRef>
              <c:f>'Kaanapali Shores'!$F$1</c:f>
              <c:strCache>
                <c:ptCount val="1"/>
                <c:pt idx="0">
                  <c:v>Salinity (ppt)</c:v>
                </c:pt>
              </c:strCache>
            </c:strRef>
          </c:tx>
          <c:xVal>
            <c:numRef>
              <c:f>'Kaanapali Shores'!$C$2:$C$34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'Kaanapali Shores'!$F$2:$F$34</c:f>
              <c:numCache>
                <c:formatCode>0.0</c:formatCode>
                <c:ptCount val="33"/>
                <c:pt idx="0">
                  <c:v>23.8</c:v>
                </c:pt>
                <c:pt idx="1">
                  <c:v>22.2</c:v>
                </c:pt>
                <c:pt idx="2">
                  <c:v>39.1</c:v>
                </c:pt>
                <c:pt idx="3">
                  <c:v>35.3</c:v>
                </c:pt>
                <c:pt idx="4">
                  <c:v>34.9</c:v>
                </c:pt>
                <c:pt idx="5">
                  <c:v>26.7</c:v>
                </c:pt>
                <c:pt idx="6">
                  <c:v>35.5</c:v>
                </c:pt>
                <c:pt idx="7">
                  <c:v>32.4</c:v>
                </c:pt>
                <c:pt idx="8">
                  <c:v>34.4</c:v>
                </c:pt>
                <c:pt idx="9">
                  <c:v>35.6</c:v>
                </c:pt>
                <c:pt idx="10">
                  <c:v>33.5</c:v>
                </c:pt>
                <c:pt idx="11">
                  <c:v>34.3</c:v>
                </c:pt>
                <c:pt idx="12">
                  <c:v>33.9</c:v>
                </c:pt>
                <c:pt idx="13">
                  <c:v>32.7</c:v>
                </c:pt>
                <c:pt idx="14">
                  <c:v>29.5</c:v>
                </c:pt>
                <c:pt idx="15">
                  <c:v>30.8</c:v>
                </c:pt>
                <c:pt idx="16">
                  <c:v>34.7</c:v>
                </c:pt>
                <c:pt idx="17">
                  <c:v>34.6</c:v>
                </c:pt>
                <c:pt idx="18">
                  <c:v>34.4</c:v>
                </c:pt>
                <c:pt idx="19">
                  <c:v>24.4</c:v>
                </c:pt>
                <c:pt idx="20">
                  <c:v>34.0</c:v>
                </c:pt>
                <c:pt idx="21">
                  <c:v>34.5</c:v>
                </c:pt>
                <c:pt idx="22">
                  <c:v>34.4</c:v>
                </c:pt>
                <c:pt idx="23">
                  <c:v>34.1</c:v>
                </c:pt>
                <c:pt idx="24">
                  <c:v>34.1</c:v>
                </c:pt>
                <c:pt idx="25">
                  <c:v>31.1</c:v>
                </c:pt>
                <c:pt idx="26">
                  <c:v>34.5</c:v>
                </c:pt>
                <c:pt idx="27">
                  <c:v>34.2</c:v>
                </c:pt>
                <c:pt idx="28">
                  <c:v>33.2</c:v>
                </c:pt>
                <c:pt idx="29">
                  <c:v>34.8</c:v>
                </c:pt>
                <c:pt idx="30">
                  <c:v>34.0</c:v>
                </c:pt>
                <c:pt idx="31">
                  <c:v>34.9</c:v>
                </c:pt>
                <c:pt idx="32">
                  <c:v>34.5</c:v>
                </c:pt>
              </c:numCache>
            </c:numRef>
          </c:yVal>
          <c:smooth val="1"/>
        </c:ser>
        <c:axId val="284683432"/>
        <c:axId val="284680568"/>
      </c:scatterChart>
      <c:valAx>
        <c:axId val="284683432"/>
        <c:scaling>
          <c:orientation val="minMax"/>
          <c:min val="42580.0"/>
        </c:scaling>
        <c:axPos val="b"/>
        <c:title>
          <c:tx>
            <c:rich>
              <a:bodyPr/>
              <a:lstStyle/>
              <a:p>
                <a:pPr>
                  <a:defRPr/>
                </a:pPr>
                <a:r>
                  <a:rPr lang="en-US"/>
                  <a:t>Date</a:t>
                </a:r>
              </a:p>
            </c:rich>
          </c:tx>
        </c:title>
        <c:numFmt formatCode="m/d/yy" sourceLinked="1"/>
        <c:tickLblPos val="nextTo"/>
        <c:crossAx val="284680568"/>
        <c:crosses val="autoZero"/>
        <c:crossBetween val="midCat"/>
      </c:valAx>
      <c:valAx>
        <c:axId val="284680568"/>
        <c:scaling>
          <c:orientation val="minMax"/>
          <c:min val="23.0"/>
        </c:scaling>
        <c:axPos val="l"/>
        <c:majorGridlines/>
        <c:title>
          <c:tx>
            <c:rich>
              <a:bodyPr/>
              <a:lstStyle/>
              <a:p>
                <a:pPr>
                  <a:defRPr/>
                </a:pPr>
                <a:r>
                  <a:rPr lang="en-US"/>
                  <a:t>Salinity (ppt)</a:t>
                </a:r>
              </a:p>
            </c:rich>
          </c:tx>
        </c:title>
        <c:numFmt formatCode="0.0" sourceLinked="1"/>
        <c:tickLblPos val="nextTo"/>
        <c:crossAx val="284683432"/>
        <c:crosses val="autoZero"/>
        <c:crossBetween val="midCat"/>
      </c:valAx>
    </c:plotArea>
    <c:plotVisOnly val="1"/>
  </c:chart>
</c:chartSpace>
</file>

<file path=xl/charts/chart2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Salinity versus pH - Kaanapali Shores (RKS)</a:t>
            </a:r>
          </a:p>
        </c:rich>
      </c:tx>
    </c:title>
    <c:plotArea>
      <c:layout/>
      <c:scatterChart>
        <c:scatterStyle val="smoothMarker"/>
        <c:ser>
          <c:idx val="1"/>
          <c:order val="0"/>
          <c:tx>
            <c:strRef>
              <c:f>'Kaanapali Shores'!$F$1</c:f>
              <c:strCache>
                <c:ptCount val="1"/>
                <c:pt idx="0">
                  <c:v>Salinity (ppt)</c:v>
                </c:pt>
              </c:strCache>
            </c:strRef>
          </c:tx>
          <c:xVal>
            <c:numRef>
              <c:f>'Kaanapali Shores'!$C$2:$C$34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'Kaanapali Shores'!$F$2:$F$34</c:f>
              <c:numCache>
                <c:formatCode>0.0</c:formatCode>
                <c:ptCount val="33"/>
                <c:pt idx="0">
                  <c:v>23.8</c:v>
                </c:pt>
                <c:pt idx="1">
                  <c:v>22.2</c:v>
                </c:pt>
                <c:pt idx="2">
                  <c:v>39.1</c:v>
                </c:pt>
                <c:pt idx="3">
                  <c:v>35.3</c:v>
                </c:pt>
                <c:pt idx="4">
                  <c:v>34.9</c:v>
                </c:pt>
                <c:pt idx="5">
                  <c:v>26.7</c:v>
                </c:pt>
                <c:pt idx="6">
                  <c:v>35.5</c:v>
                </c:pt>
                <c:pt idx="7">
                  <c:v>32.4</c:v>
                </c:pt>
                <c:pt idx="8">
                  <c:v>34.4</c:v>
                </c:pt>
                <c:pt idx="9">
                  <c:v>35.6</c:v>
                </c:pt>
                <c:pt idx="10">
                  <c:v>33.5</c:v>
                </c:pt>
                <c:pt idx="11">
                  <c:v>34.3</c:v>
                </c:pt>
                <c:pt idx="12">
                  <c:v>33.9</c:v>
                </c:pt>
                <c:pt idx="13">
                  <c:v>32.7</c:v>
                </c:pt>
                <c:pt idx="14">
                  <c:v>29.5</c:v>
                </c:pt>
                <c:pt idx="15">
                  <c:v>30.8</c:v>
                </c:pt>
                <c:pt idx="16">
                  <c:v>34.7</c:v>
                </c:pt>
                <c:pt idx="17">
                  <c:v>34.6</c:v>
                </c:pt>
                <c:pt idx="18">
                  <c:v>34.4</c:v>
                </c:pt>
                <c:pt idx="19">
                  <c:v>24.4</c:v>
                </c:pt>
                <c:pt idx="20">
                  <c:v>34.0</c:v>
                </c:pt>
                <c:pt idx="21">
                  <c:v>34.5</c:v>
                </c:pt>
                <c:pt idx="22">
                  <c:v>34.4</c:v>
                </c:pt>
                <c:pt idx="23">
                  <c:v>34.1</c:v>
                </c:pt>
                <c:pt idx="24">
                  <c:v>34.1</c:v>
                </c:pt>
                <c:pt idx="25">
                  <c:v>31.1</c:v>
                </c:pt>
                <c:pt idx="26">
                  <c:v>34.5</c:v>
                </c:pt>
                <c:pt idx="27">
                  <c:v>34.2</c:v>
                </c:pt>
                <c:pt idx="28">
                  <c:v>33.2</c:v>
                </c:pt>
                <c:pt idx="29">
                  <c:v>34.8</c:v>
                </c:pt>
                <c:pt idx="30">
                  <c:v>34.0</c:v>
                </c:pt>
                <c:pt idx="31">
                  <c:v>34.9</c:v>
                </c:pt>
                <c:pt idx="32">
                  <c:v>34.5</c:v>
                </c:pt>
              </c:numCache>
            </c:numRef>
          </c:yVal>
          <c:smooth val="1"/>
        </c:ser>
        <c:axId val="284725528"/>
        <c:axId val="284716440"/>
      </c:scatterChart>
      <c:scatterChart>
        <c:scatterStyle val="smoothMarker"/>
        <c:ser>
          <c:idx val="2"/>
          <c:order val="1"/>
          <c:tx>
            <c:strRef>
              <c:f>'Kaanapali Shores'!$I$1</c:f>
              <c:strCache>
                <c:ptCount val="1"/>
                <c:pt idx="0">
                  <c:v>pH</c:v>
                </c:pt>
              </c:strCache>
            </c:strRef>
          </c:tx>
          <c:xVal>
            <c:numRef>
              <c:f>'Kaanapali Shores'!$C$2:$C$34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'Kaanapali Shores'!$I$2:$I$34</c:f>
              <c:numCache>
                <c:formatCode>0.00</c:formatCode>
                <c:ptCount val="33"/>
                <c:pt idx="0">
                  <c:v>8.07</c:v>
                </c:pt>
                <c:pt idx="1">
                  <c:v>8.130000000000001</c:v>
                </c:pt>
                <c:pt idx="2">
                  <c:v>8.07</c:v>
                </c:pt>
                <c:pt idx="3">
                  <c:v>8.07</c:v>
                </c:pt>
                <c:pt idx="4">
                  <c:v>8.03</c:v>
                </c:pt>
                <c:pt idx="5">
                  <c:v>8.04</c:v>
                </c:pt>
                <c:pt idx="6">
                  <c:v>8.15</c:v>
                </c:pt>
                <c:pt idx="7">
                  <c:v>8.0</c:v>
                </c:pt>
                <c:pt idx="8">
                  <c:v>8.08</c:v>
                </c:pt>
                <c:pt idx="9">
                  <c:v>7.96</c:v>
                </c:pt>
                <c:pt idx="10">
                  <c:v>8.08</c:v>
                </c:pt>
                <c:pt idx="11">
                  <c:v>8.15</c:v>
                </c:pt>
                <c:pt idx="12">
                  <c:v>8.07</c:v>
                </c:pt>
                <c:pt idx="13">
                  <c:v>8.07</c:v>
                </c:pt>
                <c:pt idx="14">
                  <c:v>8.210000000000001</c:v>
                </c:pt>
                <c:pt idx="15">
                  <c:v>8.17</c:v>
                </c:pt>
                <c:pt idx="16">
                  <c:v>8.140000000000001</c:v>
                </c:pt>
                <c:pt idx="17">
                  <c:v>8.15</c:v>
                </c:pt>
                <c:pt idx="18">
                  <c:v>8.11</c:v>
                </c:pt>
                <c:pt idx="19">
                  <c:v>8.220000000000001</c:v>
                </c:pt>
                <c:pt idx="20">
                  <c:v>8.140000000000001</c:v>
                </c:pt>
                <c:pt idx="21">
                  <c:v>8.09</c:v>
                </c:pt>
                <c:pt idx="22">
                  <c:v>8.12</c:v>
                </c:pt>
                <c:pt idx="23">
                  <c:v>8.07</c:v>
                </c:pt>
                <c:pt idx="24">
                  <c:v>8.07</c:v>
                </c:pt>
                <c:pt idx="25">
                  <c:v>8.11</c:v>
                </c:pt>
                <c:pt idx="26">
                  <c:v>8.08</c:v>
                </c:pt>
                <c:pt idx="27">
                  <c:v>8.11</c:v>
                </c:pt>
                <c:pt idx="28">
                  <c:v>8.16</c:v>
                </c:pt>
                <c:pt idx="29">
                  <c:v>8.18</c:v>
                </c:pt>
                <c:pt idx="30">
                  <c:v>8.17</c:v>
                </c:pt>
                <c:pt idx="31">
                  <c:v>8.18</c:v>
                </c:pt>
                <c:pt idx="32">
                  <c:v>8.15</c:v>
                </c:pt>
              </c:numCache>
            </c:numRef>
          </c:yVal>
          <c:smooth val="1"/>
        </c:ser>
        <c:axId val="284745800"/>
        <c:axId val="284739512"/>
      </c:scatterChart>
      <c:valAx>
        <c:axId val="284725528"/>
        <c:scaling>
          <c:orientation val="minMax"/>
        </c:scaling>
        <c:axPos val="b"/>
        <c:numFmt formatCode="m/d/yy" sourceLinked="1"/>
        <c:tickLblPos val="nextTo"/>
        <c:crossAx val="284716440"/>
        <c:crosses val="autoZero"/>
        <c:crossBetween val="midCat"/>
      </c:valAx>
      <c:valAx>
        <c:axId val="284716440"/>
        <c:scaling>
          <c:orientation val="minMax"/>
        </c:scaling>
        <c:axPos val="l"/>
        <c:majorGridlines/>
        <c:title>
          <c:tx>
            <c:rich>
              <a:bodyPr/>
              <a:lstStyle/>
              <a:p>
                <a:pPr>
                  <a:defRPr/>
                </a:pPr>
                <a:r>
                  <a:rPr lang="en-US"/>
                  <a:t>Salinity (ppt)</a:t>
                </a:r>
              </a:p>
            </c:rich>
          </c:tx>
        </c:title>
        <c:numFmt formatCode="0.0" sourceLinked="1"/>
        <c:tickLblPos val="nextTo"/>
        <c:crossAx val="284725528"/>
        <c:crosses val="autoZero"/>
        <c:crossBetween val="midCat"/>
      </c:valAx>
      <c:valAx>
        <c:axId val="284739512"/>
        <c:scaling>
          <c:orientation val="minMax"/>
          <c:max val="8.3"/>
          <c:min val="7.7"/>
        </c:scaling>
        <c:axPos val="r"/>
        <c:title>
          <c:tx>
            <c:rich>
              <a:bodyPr/>
              <a:lstStyle/>
              <a:p>
                <a:pPr>
                  <a:defRPr/>
                </a:pPr>
                <a:r>
                  <a:rPr lang="en-US"/>
                  <a:t>pH</a:t>
                </a:r>
              </a:p>
            </c:rich>
          </c:tx>
        </c:title>
        <c:numFmt formatCode="0.00" sourceLinked="1"/>
        <c:tickLblPos val="nextTo"/>
        <c:crossAx val="284745800"/>
        <c:crosses val="max"/>
        <c:crossBetween val="midCat"/>
      </c:valAx>
      <c:valAx>
        <c:axId val="284745800"/>
        <c:scaling>
          <c:orientation val="minMax"/>
        </c:scaling>
        <c:delete val="1"/>
        <c:axPos val="b"/>
        <c:numFmt formatCode="m/d/yy" sourceLinked="1"/>
        <c:tickLblPos val="nextTo"/>
        <c:crossAx val="284739512"/>
        <c:crosses val="autoZero"/>
        <c:crossBetween val="midCat"/>
      </c:valAx>
    </c:plotArea>
    <c:legend>
      <c:legendPos val="t"/>
    </c:legend>
    <c:plotVisOnly val="1"/>
  </c:chart>
</c:chartSpace>
</file>

<file path=xl/charts/chart2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Kaanapali Shores Nitrogen vs Silicate (RKS)</a:t>
            </a:r>
          </a:p>
        </c:rich>
      </c:tx>
    </c:title>
    <c:plotArea>
      <c:layout/>
      <c:scatterChart>
        <c:scatterStyle val="smoothMarker"/>
        <c:ser>
          <c:idx val="0"/>
          <c:order val="0"/>
          <c:tx>
            <c:strRef>
              <c:f>'Kaanapali Shores'!$K$1</c:f>
              <c:strCache>
                <c:ptCount val="1"/>
                <c:pt idx="0">
                  <c:v>Total N (ug/L)</c:v>
                </c:pt>
              </c:strCache>
            </c:strRef>
          </c:tx>
          <c:xVal>
            <c:numRef>
              <c:f>'Kaanapali Shores'!$C$2:$C$31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'Kaanapali Shores'!$K$2:$K$31</c:f>
              <c:numCache>
                <c:formatCode>0.00</c:formatCode>
                <c:ptCount val="30"/>
                <c:pt idx="0">
                  <c:v>75.08</c:v>
                </c:pt>
                <c:pt idx="1">
                  <c:v>75.12</c:v>
                </c:pt>
                <c:pt idx="2">
                  <c:v>73.0475417307373</c:v>
                </c:pt>
                <c:pt idx="3">
                  <c:v>96.67116342138007</c:v>
                </c:pt>
                <c:pt idx="4">
                  <c:v>76.01080930883482</c:v>
                </c:pt>
                <c:pt idx="5">
                  <c:v>90.18968361201885</c:v>
                </c:pt>
                <c:pt idx="6">
                  <c:v>66.50680975883523</c:v>
                </c:pt>
                <c:pt idx="7">
                  <c:v>162.4218021445715</c:v>
                </c:pt>
                <c:pt idx="8">
                  <c:v>69.40411382388883</c:v>
                </c:pt>
                <c:pt idx="9">
                  <c:v>73.60391641072432</c:v>
                </c:pt>
                <c:pt idx="10">
                  <c:v>110.7952359391512</c:v>
                </c:pt>
                <c:pt idx="11">
                  <c:v>80.62580897105242</c:v>
                </c:pt>
                <c:pt idx="12">
                  <c:v>87.02830078766081</c:v>
                </c:pt>
                <c:pt idx="13">
                  <c:v>71.93199127094844</c:v>
                </c:pt>
                <c:pt idx="14">
                  <c:v>85.83192356964906</c:v>
                </c:pt>
                <c:pt idx="15">
                  <c:v>87.7016559903988</c:v>
                </c:pt>
                <c:pt idx="16">
                  <c:v>78.01406379638186</c:v>
                </c:pt>
                <c:pt idx="17">
                  <c:v>71.09521681846317</c:v>
                </c:pt>
                <c:pt idx="18">
                  <c:v>87.27541750566161</c:v>
                </c:pt>
                <c:pt idx="19">
                  <c:v>146.4597929136633</c:v>
                </c:pt>
                <c:pt idx="20">
                  <c:v>117.8513954160514</c:v>
                </c:pt>
                <c:pt idx="21">
                  <c:v>72.95010266206464</c:v>
                </c:pt>
                <c:pt idx="22">
                  <c:v>78.42888853479747</c:v>
                </c:pt>
                <c:pt idx="23">
                  <c:v>76.7107699832448</c:v>
                </c:pt>
                <c:pt idx="24">
                  <c:v>82.80885546087391</c:v>
                </c:pt>
                <c:pt idx="25">
                  <c:v>156.0541647861044</c:v>
                </c:pt>
                <c:pt idx="26">
                  <c:v>64.27596799808505</c:v>
                </c:pt>
                <c:pt idx="27">
                  <c:v>65.16180734799623</c:v>
                </c:pt>
                <c:pt idx="28">
                  <c:v>75.26740535561894</c:v>
                </c:pt>
                <c:pt idx="29">
                  <c:v>83.63789787029665</c:v>
                </c:pt>
              </c:numCache>
            </c:numRef>
          </c:yVal>
          <c:smooth val="1"/>
        </c:ser>
        <c:ser>
          <c:idx val="2"/>
          <c:order val="2"/>
          <c:tx>
            <c:strRef>
              <c:f>'Kaanapali Shores'!$O$1</c:f>
              <c:strCache>
                <c:ptCount val="1"/>
                <c:pt idx="0">
                  <c:v>NNN (ug/L)</c:v>
                </c:pt>
              </c:strCache>
            </c:strRef>
          </c:tx>
          <c:xVal>
            <c:numRef>
              <c:f>'Kaanapali Shores'!$C$2:$C$31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'Kaanapali Shores'!$O$2:$O$31</c:f>
              <c:numCache>
                <c:formatCode>0.00</c:formatCode>
                <c:ptCount val="30"/>
                <c:pt idx="0">
                  <c:v>5.65</c:v>
                </c:pt>
                <c:pt idx="1">
                  <c:v>6.13</c:v>
                </c:pt>
                <c:pt idx="2">
                  <c:v>2.955596081763637</c:v>
                </c:pt>
                <c:pt idx="3">
                  <c:v>3.751756544708137</c:v>
                </c:pt>
                <c:pt idx="4">
                  <c:v>10.62984764454488</c:v>
                </c:pt>
                <c:pt idx="5">
                  <c:v>15.21558972139147</c:v>
                </c:pt>
                <c:pt idx="6">
                  <c:v>4.148793194816096</c:v>
                </c:pt>
                <c:pt idx="7">
                  <c:v>12.59557004564772</c:v>
                </c:pt>
                <c:pt idx="8">
                  <c:v>10.53287105829267</c:v>
                </c:pt>
                <c:pt idx="9">
                  <c:v>8.209881714670505</c:v>
                </c:pt>
                <c:pt idx="10">
                  <c:v>4.12838313795109</c:v>
                </c:pt>
                <c:pt idx="11">
                  <c:v>4.90536045190242</c:v>
                </c:pt>
                <c:pt idx="12">
                  <c:v>4.90007114748117</c:v>
                </c:pt>
                <c:pt idx="13">
                  <c:v>12.30522798344352</c:v>
                </c:pt>
                <c:pt idx="14">
                  <c:v>11.96658832702293</c:v>
                </c:pt>
                <c:pt idx="15">
                  <c:v>9.47610831834056</c:v>
                </c:pt>
                <c:pt idx="16">
                  <c:v>5.36744761350407</c:v>
                </c:pt>
                <c:pt idx="17">
                  <c:v>5.397095195258753</c:v>
                </c:pt>
                <c:pt idx="18">
                  <c:v>9.232480320764175</c:v>
                </c:pt>
                <c:pt idx="19">
                  <c:v>16.1354278298679</c:v>
                </c:pt>
                <c:pt idx="20">
                  <c:v>9.836138095071381</c:v>
                </c:pt>
                <c:pt idx="21">
                  <c:v>7.637063239666945</c:v>
                </c:pt>
                <c:pt idx="22">
                  <c:v>4.293025451131741</c:v>
                </c:pt>
                <c:pt idx="23">
                  <c:v>16.23379554288022</c:v>
                </c:pt>
                <c:pt idx="24">
                  <c:v>8.00113495604688</c:v>
                </c:pt>
                <c:pt idx="25">
                  <c:v>19.85825261387853</c:v>
                </c:pt>
                <c:pt idx="26">
                  <c:v>6.303881328859227</c:v>
                </c:pt>
                <c:pt idx="27">
                  <c:v>5.787712509848552</c:v>
                </c:pt>
                <c:pt idx="28">
                  <c:v>20.38819828416353</c:v>
                </c:pt>
                <c:pt idx="29">
                  <c:v>3.589126149712828</c:v>
                </c:pt>
              </c:numCache>
            </c:numRef>
          </c:yVal>
          <c:smooth val="1"/>
        </c:ser>
        <c:axId val="284790648"/>
        <c:axId val="284798376"/>
      </c:scatterChart>
      <c:scatterChart>
        <c:scatterStyle val="smoothMarker"/>
        <c:ser>
          <c:idx val="1"/>
          <c:order val="1"/>
          <c:tx>
            <c:strRef>
              <c:f>'Kaanapali Shores'!$N$1</c:f>
              <c:strCache>
                <c:ptCount val="1"/>
                <c:pt idx="0">
                  <c:v>Silicate (ug/L)</c:v>
                </c:pt>
              </c:strCache>
            </c:strRef>
          </c:tx>
          <c:xVal>
            <c:numRef>
              <c:f>'Kaanapali Shores'!$C$2:$C$31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'Kaanapali Shores'!$N$2:$N$31</c:f>
              <c:numCache>
                <c:formatCode>0.00</c:formatCode>
                <c:ptCount val="30"/>
                <c:pt idx="0">
                  <c:v>1720.37</c:v>
                </c:pt>
                <c:pt idx="1">
                  <c:v>1435.92</c:v>
                </c:pt>
                <c:pt idx="2">
                  <c:v>680.6418968730864</c:v>
                </c:pt>
                <c:pt idx="3">
                  <c:v>60.2671172504051</c:v>
                </c:pt>
                <c:pt idx="4">
                  <c:v>373.1188879770642</c:v>
                </c:pt>
                <c:pt idx="5">
                  <c:v>496.4392830731892</c:v>
                </c:pt>
                <c:pt idx="6">
                  <c:v>144.1622901861257</c:v>
                </c:pt>
                <c:pt idx="7">
                  <c:v>854.6390888891989</c:v>
                </c:pt>
                <c:pt idx="8">
                  <c:v>211.9766357027694</c:v>
                </c:pt>
                <c:pt idx="9">
                  <c:v>368.3663539037742</c:v>
                </c:pt>
                <c:pt idx="10">
                  <c:v>500.4836063820076</c:v>
                </c:pt>
                <c:pt idx="11">
                  <c:v>232.9433430150167</c:v>
                </c:pt>
                <c:pt idx="12">
                  <c:v>308.0596296945665</c:v>
                </c:pt>
                <c:pt idx="13">
                  <c:v>654.7889344884937</c:v>
                </c:pt>
                <c:pt idx="14">
                  <c:v>1253.58276385929</c:v>
                </c:pt>
                <c:pt idx="15">
                  <c:v>662.6828001113882</c:v>
                </c:pt>
                <c:pt idx="16">
                  <c:v>178.098038798351</c:v>
                </c:pt>
                <c:pt idx="17">
                  <c:v>102.5245410508365</c:v>
                </c:pt>
                <c:pt idx="18">
                  <c:v>154.0169574748444</c:v>
                </c:pt>
                <c:pt idx="19">
                  <c:v>1203.23532796755</c:v>
                </c:pt>
                <c:pt idx="20">
                  <c:v>300.1045087594978</c:v>
                </c:pt>
                <c:pt idx="21">
                  <c:v>146.126349204095</c:v>
                </c:pt>
                <c:pt idx="22">
                  <c:v>151.5770254775469</c:v>
                </c:pt>
                <c:pt idx="23">
                  <c:v>263.1938019712958</c:v>
                </c:pt>
                <c:pt idx="24">
                  <c:v>171.6472398694895</c:v>
                </c:pt>
                <c:pt idx="25">
                  <c:v>669.4144502619491</c:v>
                </c:pt>
                <c:pt idx="26">
                  <c:v>235.4609041916621</c:v>
                </c:pt>
                <c:pt idx="27">
                  <c:v>160.4274572451681</c:v>
                </c:pt>
                <c:pt idx="28">
                  <c:v>271.8803961764849</c:v>
                </c:pt>
                <c:pt idx="29">
                  <c:v>173.5063876786808</c:v>
                </c:pt>
              </c:numCache>
            </c:numRef>
          </c:yVal>
          <c:smooth val="1"/>
        </c:ser>
        <c:axId val="284810536"/>
        <c:axId val="284804360"/>
      </c:scatterChart>
      <c:valAx>
        <c:axId val="284790648"/>
        <c:scaling>
          <c:orientation val="minMax"/>
        </c:scaling>
        <c:axPos val="b"/>
        <c:numFmt formatCode="m/d/yy" sourceLinked="1"/>
        <c:tickLblPos val="nextTo"/>
        <c:crossAx val="284798376"/>
        <c:crosses val="autoZero"/>
        <c:crossBetween val="midCat"/>
      </c:valAx>
      <c:valAx>
        <c:axId val="284798376"/>
        <c:scaling>
          <c:orientation val="minMax"/>
        </c:scaling>
        <c:axPos val="l"/>
        <c:majorGridlines/>
        <c:title>
          <c:tx>
            <c:rich>
              <a:bodyPr/>
              <a:lstStyle/>
              <a:p>
                <a:pPr>
                  <a:defRPr/>
                </a:pPr>
                <a:r>
                  <a:rPr lang="en-US"/>
                  <a:t>Nitrogen/Nitrate (ug/L)</a:t>
                </a:r>
              </a:p>
            </c:rich>
          </c:tx>
        </c:title>
        <c:numFmt formatCode="0.00" sourceLinked="1"/>
        <c:tickLblPos val="nextTo"/>
        <c:crossAx val="284790648"/>
        <c:crosses val="autoZero"/>
        <c:crossBetween val="midCat"/>
      </c:valAx>
      <c:valAx>
        <c:axId val="284804360"/>
        <c:scaling>
          <c:orientation val="minMax"/>
        </c:scaling>
        <c:axPos val="r"/>
        <c:title>
          <c:tx>
            <c:rich>
              <a:bodyPr/>
              <a:lstStyle/>
              <a:p>
                <a:pPr>
                  <a:defRPr/>
                </a:pPr>
                <a:r>
                  <a:rPr lang="en-US"/>
                  <a:t>Silicate (ug/L)</a:t>
                </a:r>
              </a:p>
            </c:rich>
          </c:tx>
        </c:title>
        <c:numFmt formatCode="0.00" sourceLinked="1"/>
        <c:tickLblPos val="nextTo"/>
        <c:crossAx val="284810536"/>
        <c:crosses val="max"/>
        <c:crossBetween val="midCat"/>
      </c:valAx>
      <c:valAx>
        <c:axId val="284810536"/>
        <c:scaling>
          <c:orientation val="minMax"/>
        </c:scaling>
        <c:delete val="1"/>
        <c:axPos val="b"/>
        <c:numFmt formatCode="m/d/yy" sourceLinked="1"/>
        <c:tickLblPos val="nextTo"/>
        <c:crossAx val="284804360"/>
        <c:crosses val="autoZero"/>
        <c:crossBetween val="midCat"/>
      </c:valAx>
    </c:plotArea>
    <c:legend>
      <c:legendPos val="t"/>
    </c:legend>
    <c:plotVisOnly val="1"/>
  </c:chart>
</c:chartSpace>
</file>

<file path=xl/charts/chart2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Airport Beach (RAB)</a:t>
            </a:r>
          </a:p>
        </c:rich>
      </c:tx>
    </c:title>
    <c:plotArea>
      <c:layout/>
      <c:scatterChart>
        <c:scatterStyle val="smoothMarker"/>
        <c:ser>
          <c:idx val="0"/>
          <c:order val="0"/>
          <c:tx>
            <c:strRef>
              <c:f>'Airport Beach'!$I$1</c:f>
              <c:strCache>
                <c:ptCount val="1"/>
                <c:pt idx="0">
                  <c:v>pH</c:v>
                </c:pt>
              </c:strCache>
            </c:strRef>
          </c:tx>
          <c:xVal>
            <c:numRef>
              <c:f>'Airport Beach'!$C$2:$C$34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'Airport Beach'!$I$2:$I$34</c:f>
              <c:numCache>
                <c:formatCode>0.00</c:formatCode>
                <c:ptCount val="33"/>
                <c:pt idx="0">
                  <c:v>8.06</c:v>
                </c:pt>
                <c:pt idx="1">
                  <c:v>8.1</c:v>
                </c:pt>
                <c:pt idx="2">
                  <c:v>8.09</c:v>
                </c:pt>
                <c:pt idx="3">
                  <c:v>8.140000000000001</c:v>
                </c:pt>
                <c:pt idx="4">
                  <c:v>8.12</c:v>
                </c:pt>
                <c:pt idx="5">
                  <c:v>8.0</c:v>
                </c:pt>
                <c:pt idx="6">
                  <c:v>8.210000000000001</c:v>
                </c:pt>
                <c:pt idx="7">
                  <c:v>8.03</c:v>
                </c:pt>
                <c:pt idx="8">
                  <c:v>8.12</c:v>
                </c:pt>
                <c:pt idx="9">
                  <c:v>7.99</c:v>
                </c:pt>
                <c:pt idx="10">
                  <c:v>8.1</c:v>
                </c:pt>
                <c:pt idx="11">
                  <c:v>8.140000000000001</c:v>
                </c:pt>
                <c:pt idx="12">
                  <c:v>8.140000000000001</c:v>
                </c:pt>
                <c:pt idx="13">
                  <c:v>8.02</c:v>
                </c:pt>
                <c:pt idx="14">
                  <c:v>8.18</c:v>
                </c:pt>
                <c:pt idx="15">
                  <c:v>8.16</c:v>
                </c:pt>
                <c:pt idx="16">
                  <c:v>8.19</c:v>
                </c:pt>
                <c:pt idx="17">
                  <c:v>8.15</c:v>
                </c:pt>
                <c:pt idx="18">
                  <c:v>8.18</c:v>
                </c:pt>
                <c:pt idx="19">
                  <c:v>8.16</c:v>
                </c:pt>
                <c:pt idx="20">
                  <c:v>8.2</c:v>
                </c:pt>
                <c:pt idx="21">
                  <c:v>8.16</c:v>
                </c:pt>
                <c:pt idx="22">
                  <c:v>8.17</c:v>
                </c:pt>
                <c:pt idx="23">
                  <c:v>8.16</c:v>
                </c:pt>
                <c:pt idx="24">
                  <c:v>8.15</c:v>
                </c:pt>
                <c:pt idx="25">
                  <c:v>8.17</c:v>
                </c:pt>
                <c:pt idx="26">
                  <c:v>8.15</c:v>
                </c:pt>
                <c:pt idx="27">
                  <c:v>8.19</c:v>
                </c:pt>
                <c:pt idx="28">
                  <c:v>8.18</c:v>
                </c:pt>
                <c:pt idx="29">
                  <c:v>8.17</c:v>
                </c:pt>
                <c:pt idx="30">
                  <c:v>8.18</c:v>
                </c:pt>
                <c:pt idx="31">
                  <c:v>8.18</c:v>
                </c:pt>
                <c:pt idx="32">
                  <c:v>8.17</c:v>
                </c:pt>
              </c:numCache>
            </c:numRef>
          </c:yVal>
          <c:smooth val="1"/>
        </c:ser>
        <c:axId val="284851576"/>
        <c:axId val="284844440"/>
      </c:scatterChart>
      <c:valAx>
        <c:axId val="284851576"/>
        <c:scaling>
          <c:orientation val="minMax"/>
        </c:scaling>
        <c:axPos val="b"/>
        <c:numFmt formatCode="m/d/yy" sourceLinked="1"/>
        <c:tickLblPos val="nextTo"/>
        <c:crossAx val="284844440"/>
        <c:crosses val="autoZero"/>
        <c:crossBetween val="midCat"/>
      </c:valAx>
      <c:valAx>
        <c:axId val="284844440"/>
        <c:scaling>
          <c:orientation val="minMax"/>
          <c:max val="8.3"/>
          <c:min val="7.7"/>
        </c:scaling>
        <c:axPos val="l"/>
        <c:majorGridlines/>
        <c:title>
          <c:tx>
            <c:rich>
              <a:bodyPr/>
              <a:lstStyle/>
              <a:p>
                <a:pPr>
                  <a:defRPr/>
                </a:pPr>
                <a:r>
                  <a:rPr lang="en-US"/>
                  <a:t>pH</a:t>
                </a:r>
              </a:p>
            </c:rich>
          </c:tx>
        </c:title>
        <c:numFmt formatCode="0.00" sourceLinked="1"/>
        <c:tickLblPos val="nextTo"/>
        <c:crossAx val="284851576"/>
        <c:crosses val="autoZero"/>
        <c:crossBetween val="midCat"/>
      </c:valAx>
    </c:plotArea>
    <c:plotVisOnly val="1"/>
  </c:chart>
</c:chartSpace>
</file>

<file path=xl/charts/chart2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Airport Beach (RAB)</a:t>
            </a:r>
          </a:p>
        </c:rich>
      </c:tx>
    </c:title>
    <c:plotArea>
      <c:layout/>
      <c:scatterChart>
        <c:scatterStyle val="smoothMarker"/>
        <c:ser>
          <c:idx val="0"/>
          <c:order val="0"/>
          <c:tx>
            <c:strRef>
              <c:f>'Airport Beach'!$J$1</c:f>
              <c:strCache>
                <c:ptCount val="1"/>
                <c:pt idx="0">
                  <c:v>Turbidity (NTU)</c:v>
                </c:pt>
              </c:strCache>
            </c:strRef>
          </c:tx>
          <c:xVal>
            <c:numRef>
              <c:f>'Airport Beach'!$C$2:$C$34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'Airport Beach'!$J$2:$J$34</c:f>
              <c:numCache>
                <c:formatCode>0.00</c:formatCode>
                <c:ptCount val="33"/>
                <c:pt idx="0">
                  <c:v>2.62</c:v>
                </c:pt>
                <c:pt idx="1">
                  <c:v>1.77</c:v>
                </c:pt>
                <c:pt idx="2">
                  <c:v>0.94</c:v>
                </c:pt>
                <c:pt idx="3">
                  <c:v>1.5</c:v>
                </c:pt>
                <c:pt idx="4">
                  <c:v>0.42</c:v>
                </c:pt>
                <c:pt idx="5">
                  <c:v>0.456666666666667</c:v>
                </c:pt>
                <c:pt idx="6">
                  <c:v>1.45</c:v>
                </c:pt>
                <c:pt idx="7">
                  <c:v>1.266666666666667</c:v>
                </c:pt>
                <c:pt idx="8">
                  <c:v>0.52</c:v>
                </c:pt>
                <c:pt idx="9">
                  <c:v>0.7</c:v>
                </c:pt>
                <c:pt idx="10">
                  <c:v>1.403333333333333</c:v>
                </c:pt>
                <c:pt idx="11">
                  <c:v>1.463333333333333</c:v>
                </c:pt>
                <c:pt idx="12">
                  <c:v>1.556666666666667</c:v>
                </c:pt>
                <c:pt idx="13">
                  <c:v>1.213333333333333</c:v>
                </c:pt>
                <c:pt idx="14">
                  <c:v>2.493333333333334</c:v>
                </c:pt>
                <c:pt idx="15">
                  <c:v>4.083333333333333</c:v>
                </c:pt>
                <c:pt idx="16">
                  <c:v>5.246666666666667</c:v>
                </c:pt>
                <c:pt idx="17">
                  <c:v>7.196666666666666</c:v>
                </c:pt>
                <c:pt idx="18">
                  <c:v>1.88</c:v>
                </c:pt>
                <c:pt idx="19">
                  <c:v>0.956666666666667</c:v>
                </c:pt>
                <c:pt idx="20">
                  <c:v>1.476666666666667</c:v>
                </c:pt>
                <c:pt idx="21">
                  <c:v>1.246666666666667</c:v>
                </c:pt>
                <c:pt idx="22">
                  <c:v>2.093333333333333</c:v>
                </c:pt>
                <c:pt idx="23">
                  <c:v>0.34</c:v>
                </c:pt>
                <c:pt idx="24">
                  <c:v>0.35</c:v>
                </c:pt>
                <c:pt idx="25">
                  <c:v>0.41</c:v>
                </c:pt>
                <c:pt idx="26">
                  <c:v>0.53</c:v>
                </c:pt>
                <c:pt idx="27">
                  <c:v>0.653333333333333</c:v>
                </c:pt>
                <c:pt idx="28">
                  <c:v>1.75</c:v>
                </c:pt>
                <c:pt idx="29">
                  <c:v>2.636666666666667</c:v>
                </c:pt>
                <c:pt idx="30">
                  <c:v>6.57</c:v>
                </c:pt>
                <c:pt idx="31">
                  <c:v>5.010000000000001</c:v>
                </c:pt>
                <c:pt idx="32">
                  <c:v>1.42</c:v>
                </c:pt>
              </c:numCache>
            </c:numRef>
          </c:yVal>
          <c:smooth val="1"/>
        </c:ser>
        <c:axId val="284893080"/>
        <c:axId val="284886120"/>
      </c:scatterChart>
      <c:valAx>
        <c:axId val="284893080"/>
        <c:scaling>
          <c:orientation val="minMax"/>
        </c:scaling>
        <c:axPos val="b"/>
        <c:numFmt formatCode="m/d/yy" sourceLinked="1"/>
        <c:tickLblPos val="nextTo"/>
        <c:crossAx val="284886120"/>
        <c:crosses val="autoZero"/>
        <c:crossBetween val="midCat"/>
      </c:valAx>
      <c:valAx>
        <c:axId val="284886120"/>
        <c:scaling>
          <c:orientation val="minMax"/>
          <c:max val="10.0"/>
        </c:scaling>
        <c:axPos val="l"/>
        <c:majorGridlines/>
        <c:title>
          <c:tx>
            <c:rich>
              <a:bodyPr/>
              <a:lstStyle/>
              <a:p>
                <a:pPr>
                  <a:defRPr/>
                </a:pPr>
                <a:r>
                  <a:rPr lang="en-US"/>
                  <a:t>Turbidity (NTU)</a:t>
                </a:r>
              </a:p>
            </c:rich>
          </c:tx>
        </c:title>
        <c:numFmt formatCode="0.00" sourceLinked="1"/>
        <c:tickLblPos val="nextTo"/>
        <c:crossAx val="284893080"/>
        <c:crosses val="autoZero"/>
        <c:crossBetween val="midCat"/>
      </c:valAx>
    </c:plotArea>
    <c:plotVisOnly val="1"/>
  </c:chart>
</c:chartSpace>
</file>

<file path=xl/charts/chart2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Airport Beach (RAB)</a:t>
            </a:r>
          </a:p>
        </c:rich>
      </c:tx>
    </c:title>
    <c:plotArea>
      <c:layout/>
      <c:scatterChart>
        <c:scatterStyle val="smoothMarker"/>
        <c:ser>
          <c:idx val="0"/>
          <c:order val="0"/>
          <c:tx>
            <c:strRef>
              <c:f>'Airport Beach'!$E$1</c:f>
              <c:strCache>
                <c:ptCount val="1"/>
                <c:pt idx="0">
                  <c:v>Temp (degrees C)</c:v>
                </c:pt>
              </c:strCache>
            </c:strRef>
          </c:tx>
          <c:xVal>
            <c:numRef>
              <c:f>'Airport Beach'!$C$2:$C$34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'Airport Beach'!$E$2:$E$34</c:f>
              <c:numCache>
                <c:formatCode>0.0</c:formatCode>
                <c:ptCount val="33"/>
                <c:pt idx="0">
                  <c:v>26.8</c:v>
                </c:pt>
                <c:pt idx="1">
                  <c:v>26.4</c:v>
                </c:pt>
                <c:pt idx="2">
                  <c:v>27.0</c:v>
                </c:pt>
                <c:pt idx="3">
                  <c:v>27.2</c:v>
                </c:pt>
                <c:pt idx="4">
                  <c:v>27.1</c:v>
                </c:pt>
                <c:pt idx="5">
                  <c:v>27.8</c:v>
                </c:pt>
                <c:pt idx="6">
                  <c:v>27.3</c:v>
                </c:pt>
                <c:pt idx="7">
                  <c:v>27.1</c:v>
                </c:pt>
                <c:pt idx="8">
                  <c:v>27.8</c:v>
                </c:pt>
                <c:pt idx="9">
                  <c:v>26.9</c:v>
                </c:pt>
                <c:pt idx="10">
                  <c:v>25.5</c:v>
                </c:pt>
                <c:pt idx="11">
                  <c:v>25.8</c:v>
                </c:pt>
                <c:pt idx="12">
                  <c:v>25.1</c:v>
                </c:pt>
                <c:pt idx="13">
                  <c:v>25.3</c:v>
                </c:pt>
                <c:pt idx="14">
                  <c:v>24.4</c:v>
                </c:pt>
                <c:pt idx="15">
                  <c:v>24.1</c:v>
                </c:pt>
                <c:pt idx="16">
                  <c:v>24.5</c:v>
                </c:pt>
                <c:pt idx="17">
                  <c:v>24.5</c:v>
                </c:pt>
                <c:pt idx="18">
                  <c:v>25.4</c:v>
                </c:pt>
                <c:pt idx="19">
                  <c:v>26.1</c:v>
                </c:pt>
                <c:pt idx="20">
                  <c:v>26.1</c:v>
                </c:pt>
                <c:pt idx="21">
                  <c:v>26.5</c:v>
                </c:pt>
                <c:pt idx="22">
                  <c:v>26.7</c:v>
                </c:pt>
                <c:pt idx="23">
                  <c:v>27.4</c:v>
                </c:pt>
                <c:pt idx="24">
                  <c:v>27.5</c:v>
                </c:pt>
                <c:pt idx="25">
                  <c:v>27.0</c:v>
                </c:pt>
                <c:pt idx="26">
                  <c:v>28.1</c:v>
                </c:pt>
                <c:pt idx="27">
                  <c:v>27.9</c:v>
                </c:pt>
                <c:pt idx="28">
                  <c:v>27.0</c:v>
                </c:pt>
                <c:pt idx="29">
                  <c:v>26.5</c:v>
                </c:pt>
                <c:pt idx="30">
                  <c:v>24.5</c:v>
                </c:pt>
                <c:pt idx="31">
                  <c:v>25.1</c:v>
                </c:pt>
                <c:pt idx="32">
                  <c:v>24.8</c:v>
                </c:pt>
              </c:numCache>
            </c:numRef>
          </c:yVal>
          <c:smooth val="1"/>
        </c:ser>
        <c:axId val="284934808"/>
        <c:axId val="284927880"/>
      </c:scatterChart>
      <c:valAx>
        <c:axId val="284934808"/>
        <c:scaling>
          <c:orientation val="minMax"/>
        </c:scaling>
        <c:axPos val="b"/>
        <c:numFmt formatCode="m/d/yy" sourceLinked="1"/>
        <c:tickLblPos val="nextTo"/>
        <c:crossAx val="284927880"/>
        <c:crosses val="autoZero"/>
        <c:crossBetween val="midCat"/>
      </c:valAx>
      <c:valAx>
        <c:axId val="284927880"/>
        <c:scaling>
          <c:orientation val="minMax"/>
          <c:max val="29.0"/>
          <c:min val="22.0"/>
        </c:scaling>
        <c:axPos val="l"/>
        <c:majorGridlines/>
        <c:title>
          <c:tx>
            <c:rich>
              <a:bodyPr/>
              <a:lstStyle/>
              <a:p>
                <a:pPr>
                  <a:defRPr/>
                </a:pPr>
                <a:r>
                  <a:rPr lang="en-US"/>
                  <a:t>Temperature (Celcius)</a:t>
                </a:r>
              </a:p>
            </c:rich>
          </c:tx>
        </c:title>
        <c:numFmt formatCode="0.0" sourceLinked="1"/>
        <c:tickLblPos val="nextTo"/>
        <c:crossAx val="284934808"/>
        <c:crosses val="autoZero"/>
        <c:crossBetween val="midCat"/>
      </c:valAx>
    </c:plotArea>
    <c:plotVisOnly val="1"/>
  </c:chart>
</c:chartSpace>
</file>

<file path=xl/charts/chart2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Airport Beach Nitrogen vs. Silicate (RAB)</a:t>
            </a:r>
          </a:p>
        </c:rich>
      </c:tx>
    </c:title>
    <c:plotArea>
      <c:layout/>
      <c:scatterChart>
        <c:scatterStyle val="smoothMarker"/>
        <c:ser>
          <c:idx val="0"/>
          <c:order val="0"/>
          <c:tx>
            <c:strRef>
              <c:f>'Airport Beach'!$K$1</c:f>
              <c:strCache>
                <c:ptCount val="1"/>
                <c:pt idx="0">
                  <c:v>Total N (ug/L)</c:v>
                </c:pt>
              </c:strCache>
            </c:strRef>
          </c:tx>
          <c:xVal>
            <c:numRef>
              <c:f>'Airport Beach'!$C$2:$C$31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'Airport Beach'!$K$2:$K$31</c:f>
              <c:numCache>
                <c:formatCode>0.00</c:formatCode>
                <c:ptCount val="30"/>
                <c:pt idx="0">
                  <c:v>91.26</c:v>
                </c:pt>
                <c:pt idx="1">
                  <c:v>90.93</c:v>
                </c:pt>
                <c:pt idx="2">
                  <c:v>79.38210719346668</c:v>
                </c:pt>
                <c:pt idx="3">
                  <c:v>87.42305933049619</c:v>
                </c:pt>
                <c:pt idx="4">
                  <c:v>70.02269643808405</c:v>
                </c:pt>
                <c:pt idx="5">
                  <c:v>87.240641974375</c:v>
                </c:pt>
                <c:pt idx="6">
                  <c:v>81.25201794705443</c:v>
                </c:pt>
                <c:pt idx="7">
                  <c:v>193.380272143258</c:v>
                </c:pt>
                <c:pt idx="8">
                  <c:v>85.58503965148724</c:v>
                </c:pt>
                <c:pt idx="9">
                  <c:v>87.05544238384651</c:v>
                </c:pt>
                <c:pt idx="10">
                  <c:v>84.64153840784787</c:v>
                </c:pt>
                <c:pt idx="11">
                  <c:v>67.2243430972407</c:v>
                </c:pt>
                <c:pt idx="12">
                  <c:v>83.38315933694886</c:v>
                </c:pt>
                <c:pt idx="13">
                  <c:v>62.36037454994877</c:v>
                </c:pt>
                <c:pt idx="14">
                  <c:v>82.42348045646733</c:v>
                </c:pt>
                <c:pt idx="15">
                  <c:v>79.74528357202499</c:v>
                </c:pt>
                <c:pt idx="16">
                  <c:v>95.14529781319884</c:v>
                </c:pt>
                <c:pt idx="17">
                  <c:v>74.75671648332512</c:v>
                </c:pt>
                <c:pt idx="18">
                  <c:v>86.99453908083195</c:v>
                </c:pt>
                <c:pt idx="19">
                  <c:v>128.5297739156557</c:v>
                </c:pt>
                <c:pt idx="20">
                  <c:v>116.7503876180043</c:v>
                </c:pt>
                <c:pt idx="21">
                  <c:v>86.46584990033424</c:v>
                </c:pt>
                <c:pt idx="22">
                  <c:v>82.84953501724473</c:v>
                </c:pt>
                <c:pt idx="23">
                  <c:v>108.1953532507934</c:v>
                </c:pt>
                <c:pt idx="24">
                  <c:v>96.28623028271494</c:v>
                </c:pt>
                <c:pt idx="25">
                  <c:v>127.713612700459</c:v>
                </c:pt>
                <c:pt idx="26">
                  <c:v>66.06511573409543</c:v>
                </c:pt>
                <c:pt idx="27">
                  <c:v>82.28602573974656</c:v>
                </c:pt>
                <c:pt idx="28">
                  <c:v>78.25107860982385</c:v>
                </c:pt>
                <c:pt idx="29">
                  <c:v>83.31607125432022</c:v>
                </c:pt>
              </c:numCache>
            </c:numRef>
          </c:yVal>
          <c:smooth val="1"/>
        </c:ser>
        <c:ser>
          <c:idx val="2"/>
          <c:order val="2"/>
          <c:tx>
            <c:strRef>
              <c:f>'Airport Beach'!$O$1</c:f>
              <c:strCache>
                <c:ptCount val="1"/>
                <c:pt idx="0">
                  <c:v>NNN (ug/L)</c:v>
                </c:pt>
              </c:strCache>
            </c:strRef>
          </c:tx>
          <c:xVal>
            <c:numRef>
              <c:f>'Airport Beach'!$C$2:$C$31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'Airport Beach'!$O$2:$O$31</c:f>
              <c:numCache>
                <c:formatCode>0.00</c:formatCode>
                <c:ptCount val="30"/>
                <c:pt idx="0">
                  <c:v>24.72</c:v>
                </c:pt>
                <c:pt idx="1">
                  <c:v>26.44</c:v>
                </c:pt>
                <c:pt idx="2">
                  <c:v>15.44256660872416</c:v>
                </c:pt>
                <c:pt idx="3">
                  <c:v>16.56469172949468</c:v>
                </c:pt>
                <c:pt idx="4">
                  <c:v>22.59534992877143</c:v>
                </c:pt>
                <c:pt idx="5">
                  <c:v>25.94676895429981</c:v>
                </c:pt>
                <c:pt idx="6">
                  <c:v>26.83480741382024</c:v>
                </c:pt>
                <c:pt idx="7">
                  <c:v>17.99974340206726</c:v>
                </c:pt>
                <c:pt idx="8">
                  <c:v>24.89092184794585</c:v>
                </c:pt>
                <c:pt idx="9">
                  <c:v>24.67061937192005</c:v>
                </c:pt>
                <c:pt idx="10">
                  <c:v>15.5056216675339</c:v>
                </c:pt>
                <c:pt idx="11">
                  <c:v>15.10530346641008</c:v>
                </c:pt>
                <c:pt idx="12">
                  <c:v>21.24905449427953</c:v>
                </c:pt>
                <c:pt idx="13">
                  <c:v>18.566475609048</c:v>
                </c:pt>
                <c:pt idx="14">
                  <c:v>15.24544872090297</c:v>
                </c:pt>
                <c:pt idx="15">
                  <c:v>13.92201026563657</c:v>
                </c:pt>
                <c:pt idx="16">
                  <c:v>23.45494311567361</c:v>
                </c:pt>
                <c:pt idx="17">
                  <c:v>11.25002195999576</c:v>
                </c:pt>
                <c:pt idx="18">
                  <c:v>19.08085261947581</c:v>
                </c:pt>
                <c:pt idx="19">
                  <c:v>35.00231735528674</c:v>
                </c:pt>
                <c:pt idx="20">
                  <c:v>25.12907364924596</c:v>
                </c:pt>
                <c:pt idx="21">
                  <c:v>24.05738246060922</c:v>
                </c:pt>
                <c:pt idx="22">
                  <c:v>19.4854167101283</c:v>
                </c:pt>
                <c:pt idx="23">
                  <c:v>47.01440959567917</c:v>
                </c:pt>
                <c:pt idx="24">
                  <c:v>25.41893646776771</c:v>
                </c:pt>
                <c:pt idx="25">
                  <c:v>38.24267331513053</c:v>
                </c:pt>
                <c:pt idx="26">
                  <c:v>18.38786221072052</c:v>
                </c:pt>
                <c:pt idx="27">
                  <c:v>26.41992663923662</c:v>
                </c:pt>
                <c:pt idx="28">
                  <c:v>33.96970331786746</c:v>
                </c:pt>
                <c:pt idx="29">
                  <c:v>16.45826820007402</c:v>
                </c:pt>
              </c:numCache>
            </c:numRef>
          </c:yVal>
          <c:smooth val="1"/>
        </c:ser>
        <c:axId val="284993864"/>
        <c:axId val="285001592"/>
      </c:scatterChart>
      <c:scatterChart>
        <c:scatterStyle val="smoothMarker"/>
        <c:ser>
          <c:idx val="1"/>
          <c:order val="1"/>
          <c:tx>
            <c:strRef>
              <c:f>'Airport Beach'!$N$1</c:f>
              <c:strCache>
                <c:ptCount val="1"/>
                <c:pt idx="0">
                  <c:v>Silicate (ug/L)</c:v>
                </c:pt>
              </c:strCache>
            </c:strRef>
          </c:tx>
          <c:xVal>
            <c:numRef>
              <c:f>'Airport Beach'!$C$2:$C$31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'Airport Beach'!$N$2:$N$31</c:f>
              <c:numCache>
                <c:formatCode>0.00</c:formatCode>
                <c:ptCount val="30"/>
                <c:pt idx="0">
                  <c:v>604.37</c:v>
                </c:pt>
                <c:pt idx="1">
                  <c:v>510.71</c:v>
                </c:pt>
                <c:pt idx="2">
                  <c:v>331.0280909915583</c:v>
                </c:pt>
                <c:pt idx="3">
                  <c:v>267.6252573932954</c:v>
                </c:pt>
                <c:pt idx="4">
                  <c:v>322.689028742327</c:v>
                </c:pt>
                <c:pt idx="5">
                  <c:v>350.0917906543407</c:v>
                </c:pt>
                <c:pt idx="6">
                  <c:v>368.3817349820924</c:v>
                </c:pt>
                <c:pt idx="7">
                  <c:v>364.0793142695561</c:v>
                </c:pt>
                <c:pt idx="8">
                  <c:v>317.6373833314207</c:v>
                </c:pt>
                <c:pt idx="9">
                  <c:v>343.8311800773038</c:v>
                </c:pt>
                <c:pt idx="10">
                  <c:v>421.2877921320087</c:v>
                </c:pt>
                <c:pt idx="11">
                  <c:v>349.2727688535051</c:v>
                </c:pt>
                <c:pt idx="12">
                  <c:v>386.5680357335237</c:v>
                </c:pt>
                <c:pt idx="13">
                  <c:v>343.8031934511905</c:v>
                </c:pt>
                <c:pt idx="14">
                  <c:v>314.677421597785</c:v>
                </c:pt>
                <c:pt idx="15">
                  <c:v>237.48089863862</c:v>
                </c:pt>
                <c:pt idx="16">
                  <c:v>381.6927323549086</c:v>
                </c:pt>
                <c:pt idx="17">
                  <c:v>263.0473252702843</c:v>
                </c:pt>
                <c:pt idx="18">
                  <c:v>303.0941568113885</c:v>
                </c:pt>
                <c:pt idx="19">
                  <c:v>619.7446195589461</c:v>
                </c:pt>
                <c:pt idx="20">
                  <c:v>562.5673050332845</c:v>
                </c:pt>
                <c:pt idx="21">
                  <c:v>427.426813726808</c:v>
                </c:pt>
                <c:pt idx="22">
                  <c:v>366.1187966537596</c:v>
                </c:pt>
                <c:pt idx="23">
                  <c:v>673.6926345980225</c:v>
                </c:pt>
                <c:pt idx="24">
                  <c:v>326.9247197551647</c:v>
                </c:pt>
                <c:pt idx="25">
                  <c:v>562.2681042810649</c:v>
                </c:pt>
                <c:pt idx="26">
                  <c:v>342.2169674297837</c:v>
                </c:pt>
                <c:pt idx="27">
                  <c:v>561.1530134093178</c:v>
                </c:pt>
                <c:pt idx="28">
                  <c:v>378.5758627515148</c:v>
                </c:pt>
                <c:pt idx="29">
                  <c:v>429.8290457465569</c:v>
                </c:pt>
              </c:numCache>
            </c:numRef>
          </c:yVal>
          <c:smooth val="1"/>
        </c:ser>
        <c:axId val="285013752"/>
        <c:axId val="285007576"/>
      </c:scatterChart>
      <c:valAx>
        <c:axId val="284993864"/>
        <c:scaling>
          <c:orientation val="minMax"/>
        </c:scaling>
        <c:axPos val="b"/>
        <c:numFmt formatCode="m/d/yy" sourceLinked="1"/>
        <c:tickLblPos val="nextTo"/>
        <c:crossAx val="285001592"/>
        <c:crosses val="autoZero"/>
        <c:crossBetween val="midCat"/>
      </c:valAx>
      <c:valAx>
        <c:axId val="285001592"/>
        <c:scaling>
          <c:orientation val="minMax"/>
        </c:scaling>
        <c:axPos val="l"/>
        <c:majorGridlines/>
        <c:title>
          <c:tx>
            <c:rich>
              <a:bodyPr/>
              <a:lstStyle/>
              <a:p>
                <a:pPr>
                  <a:defRPr/>
                </a:pPr>
                <a:r>
                  <a:rPr lang="en-US"/>
                  <a:t>Nitrogen/Nitrate (ug/L)</a:t>
                </a:r>
              </a:p>
            </c:rich>
          </c:tx>
        </c:title>
        <c:numFmt formatCode="0.00" sourceLinked="1"/>
        <c:tickLblPos val="nextTo"/>
        <c:crossAx val="284993864"/>
        <c:crosses val="autoZero"/>
        <c:crossBetween val="midCat"/>
      </c:valAx>
      <c:valAx>
        <c:axId val="285007576"/>
        <c:scaling>
          <c:orientation val="minMax"/>
        </c:scaling>
        <c:axPos val="r"/>
        <c:title>
          <c:tx>
            <c:rich>
              <a:bodyPr/>
              <a:lstStyle/>
              <a:p>
                <a:pPr>
                  <a:defRPr/>
                </a:pPr>
                <a:r>
                  <a:rPr lang="en-US"/>
                  <a:t>Silicate (ug/L)</a:t>
                </a:r>
              </a:p>
            </c:rich>
          </c:tx>
        </c:title>
        <c:numFmt formatCode="0.00" sourceLinked="1"/>
        <c:tickLblPos val="nextTo"/>
        <c:crossAx val="285013752"/>
        <c:crosses val="max"/>
        <c:crossBetween val="midCat"/>
      </c:valAx>
      <c:valAx>
        <c:axId val="285013752"/>
        <c:scaling>
          <c:orientation val="minMax"/>
        </c:scaling>
        <c:delete val="1"/>
        <c:axPos val="b"/>
        <c:numFmt formatCode="m/d/yy" sourceLinked="1"/>
        <c:tickLblPos val="nextTo"/>
        <c:crossAx val="285007576"/>
        <c:crosses val="autoZero"/>
        <c:crossBetween val="midCat"/>
      </c:valAx>
    </c:plotArea>
    <c:legend>
      <c:legendPos val="t"/>
    </c:legend>
    <c:plotVisOnly val="1"/>
  </c:chart>
</c:chartSpace>
</file>

<file path=xl/charts/chart28.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lineMarker"/>
        <c:ser>
          <c:idx val="0"/>
          <c:order val="0"/>
          <c:tx>
            <c:strRef>
              <c:f>'Airport Beach'!$O$1</c:f>
              <c:strCache>
                <c:ptCount val="1"/>
                <c:pt idx="0">
                  <c:v>NNN (ug/L)</c:v>
                </c:pt>
              </c:strCache>
            </c:strRef>
          </c:tx>
          <c:spPr>
            <a:ln w="28575">
              <a:noFill/>
            </a:ln>
          </c:spPr>
          <c:trendline>
            <c:trendlineType val="linear"/>
            <c:dispRSqr val="1"/>
            <c:dispEq val="1"/>
            <c:trendlineLbl>
              <c:layout>
                <c:manualLayout>
                  <c:x val="0.150535675238084"/>
                  <c:y val="-0.272617133799976"/>
                </c:manualLayout>
              </c:layout>
              <c:numFmt formatCode="General" sourceLinked="0"/>
            </c:trendlineLbl>
          </c:trendline>
          <c:xVal>
            <c:numRef>
              <c:f>'Airport Beach'!$N$2:$N$31</c:f>
              <c:numCache>
                <c:formatCode>0.00</c:formatCode>
                <c:ptCount val="30"/>
                <c:pt idx="0">
                  <c:v>604.37</c:v>
                </c:pt>
                <c:pt idx="1">
                  <c:v>510.71</c:v>
                </c:pt>
                <c:pt idx="2">
                  <c:v>331.0280909915583</c:v>
                </c:pt>
                <c:pt idx="3">
                  <c:v>267.6252573932954</c:v>
                </c:pt>
                <c:pt idx="4">
                  <c:v>322.689028742327</c:v>
                </c:pt>
                <c:pt idx="5">
                  <c:v>350.0917906543407</c:v>
                </c:pt>
                <c:pt idx="6">
                  <c:v>368.3817349820924</c:v>
                </c:pt>
                <c:pt idx="7">
                  <c:v>364.0793142695561</c:v>
                </c:pt>
                <c:pt idx="8">
                  <c:v>317.6373833314207</c:v>
                </c:pt>
                <c:pt idx="9">
                  <c:v>343.8311800773038</c:v>
                </c:pt>
                <c:pt idx="10">
                  <c:v>421.2877921320087</c:v>
                </c:pt>
                <c:pt idx="11">
                  <c:v>349.2727688535051</c:v>
                </c:pt>
                <c:pt idx="12">
                  <c:v>386.5680357335237</c:v>
                </c:pt>
                <c:pt idx="13">
                  <c:v>343.8031934511905</c:v>
                </c:pt>
                <c:pt idx="14">
                  <c:v>314.677421597785</c:v>
                </c:pt>
                <c:pt idx="15">
                  <c:v>237.48089863862</c:v>
                </c:pt>
                <c:pt idx="16">
                  <c:v>381.6927323549086</c:v>
                </c:pt>
                <c:pt idx="17">
                  <c:v>263.0473252702843</c:v>
                </c:pt>
                <c:pt idx="18">
                  <c:v>303.0941568113885</c:v>
                </c:pt>
                <c:pt idx="19">
                  <c:v>619.7446195589461</c:v>
                </c:pt>
                <c:pt idx="20">
                  <c:v>562.5673050332845</c:v>
                </c:pt>
                <c:pt idx="21">
                  <c:v>427.426813726808</c:v>
                </c:pt>
                <c:pt idx="22">
                  <c:v>366.1187966537596</c:v>
                </c:pt>
                <c:pt idx="23">
                  <c:v>673.6926345980225</c:v>
                </c:pt>
                <c:pt idx="24">
                  <c:v>326.9247197551647</c:v>
                </c:pt>
                <c:pt idx="25">
                  <c:v>562.2681042810649</c:v>
                </c:pt>
                <c:pt idx="26">
                  <c:v>342.2169674297837</c:v>
                </c:pt>
                <c:pt idx="27">
                  <c:v>561.1530134093178</c:v>
                </c:pt>
                <c:pt idx="28">
                  <c:v>378.5758627515148</c:v>
                </c:pt>
                <c:pt idx="29">
                  <c:v>429.8290457465569</c:v>
                </c:pt>
              </c:numCache>
            </c:numRef>
          </c:xVal>
          <c:yVal>
            <c:numRef>
              <c:f>'Airport Beach'!$O$2:$O$31</c:f>
              <c:numCache>
                <c:formatCode>0.00</c:formatCode>
                <c:ptCount val="30"/>
                <c:pt idx="0">
                  <c:v>24.72</c:v>
                </c:pt>
                <c:pt idx="1">
                  <c:v>26.44</c:v>
                </c:pt>
                <c:pt idx="2">
                  <c:v>15.44256660872416</c:v>
                </c:pt>
                <c:pt idx="3">
                  <c:v>16.56469172949468</c:v>
                </c:pt>
                <c:pt idx="4">
                  <c:v>22.59534992877143</c:v>
                </c:pt>
                <c:pt idx="5">
                  <c:v>25.94676895429981</c:v>
                </c:pt>
                <c:pt idx="6">
                  <c:v>26.83480741382024</c:v>
                </c:pt>
                <c:pt idx="7">
                  <c:v>17.99974340206726</c:v>
                </c:pt>
                <c:pt idx="8">
                  <c:v>24.89092184794585</c:v>
                </c:pt>
                <c:pt idx="9">
                  <c:v>24.67061937192005</c:v>
                </c:pt>
                <c:pt idx="10">
                  <c:v>15.5056216675339</c:v>
                </c:pt>
                <c:pt idx="11">
                  <c:v>15.10530346641008</c:v>
                </c:pt>
                <c:pt idx="12">
                  <c:v>21.24905449427953</c:v>
                </c:pt>
                <c:pt idx="13">
                  <c:v>18.566475609048</c:v>
                </c:pt>
                <c:pt idx="14">
                  <c:v>15.24544872090297</c:v>
                </c:pt>
                <c:pt idx="15">
                  <c:v>13.92201026563657</c:v>
                </c:pt>
                <c:pt idx="16">
                  <c:v>23.45494311567361</c:v>
                </c:pt>
                <c:pt idx="17">
                  <c:v>11.25002195999576</c:v>
                </c:pt>
                <c:pt idx="18">
                  <c:v>19.08085261947581</c:v>
                </c:pt>
                <c:pt idx="19">
                  <c:v>35.00231735528674</c:v>
                </c:pt>
                <c:pt idx="20">
                  <c:v>25.12907364924596</c:v>
                </c:pt>
                <c:pt idx="21">
                  <c:v>24.05738246060922</c:v>
                </c:pt>
                <c:pt idx="22">
                  <c:v>19.4854167101283</c:v>
                </c:pt>
                <c:pt idx="23">
                  <c:v>47.01440959567917</c:v>
                </c:pt>
                <c:pt idx="24">
                  <c:v>25.41893646776771</c:v>
                </c:pt>
                <c:pt idx="25">
                  <c:v>38.24267331513053</c:v>
                </c:pt>
                <c:pt idx="26">
                  <c:v>18.38786221072052</c:v>
                </c:pt>
                <c:pt idx="27">
                  <c:v>26.41992663923662</c:v>
                </c:pt>
                <c:pt idx="28">
                  <c:v>33.96970331786746</c:v>
                </c:pt>
                <c:pt idx="29">
                  <c:v>16.45826820007402</c:v>
                </c:pt>
              </c:numCache>
            </c:numRef>
          </c:yVal>
        </c:ser>
        <c:axId val="285053144"/>
        <c:axId val="285056024"/>
      </c:scatterChart>
      <c:valAx>
        <c:axId val="285053144"/>
        <c:scaling>
          <c:orientation val="minMax"/>
        </c:scaling>
        <c:axPos val="b"/>
        <c:numFmt formatCode="0.00" sourceLinked="1"/>
        <c:tickLblPos val="nextTo"/>
        <c:crossAx val="285056024"/>
        <c:crosses val="autoZero"/>
        <c:crossBetween val="midCat"/>
      </c:valAx>
      <c:valAx>
        <c:axId val="285056024"/>
        <c:scaling>
          <c:orientation val="minMax"/>
        </c:scaling>
        <c:axPos val="l"/>
        <c:majorGridlines/>
        <c:numFmt formatCode="0.00" sourceLinked="1"/>
        <c:tickLblPos val="nextTo"/>
        <c:crossAx val="285053144"/>
        <c:crosses val="autoZero"/>
        <c:crossBetween val="midCat"/>
      </c:valAx>
    </c:plotArea>
    <c:plotVisOnly val="1"/>
  </c:chart>
</c:chartSpace>
</file>

<file path=xl/charts/chart29.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Canoe Beach (RCB)</a:t>
            </a:r>
          </a:p>
        </c:rich>
      </c:tx>
    </c:title>
    <c:plotArea>
      <c:layout/>
      <c:scatterChart>
        <c:scatterStyle val="smoothMarker"/>
        <c:ser>
          <c:idx val="0"/>
          <c:order val="0"/>
          <c:tx>
            <c:strRef>
              <c:f>'Canoe Beach'!$I$1</c:f>
              <c:strCache>
                <c:ptCount val="1"/>
                <c:pt idx="0">
                  <c:v>pH</c:v>
                </c:pt>
              </c:strCache>
            </c:strRef>
          </c:tx>
          <c:xVal>
            <c:numRef>
              <c:f>'Canoe Beach'!$C$2:$C$34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'Canoe Beach'!$I$2:$I$34</c:f>
              <c:numCache>
                <c:formatCode>0.00</c:formatCode>
                <c:ptCount val="33"/>
                <c:pt idx="0">
                  <c:v>8.06</c:v>
                </c:pt>
                <c:pt idx="1">
                  <c:v>8.09</c:v>
                </c:pt>
                <c:pt idx="2">
                  <c:v>8.12</c:v>
                </c:pt>
                <c:pt idx="3">
                  <c:v>8.12</c:v>
                </c:pt>
                <c:pt idx="4">
                  <c:v>8.140000000000001</c:v>
                </c:pt>
                <c:pt idx="5">
                  <c:v>8.06</c:v>
                </c:pt>
                <c:pt idx="6">
                  <c:v>8.23</c:v>
                </c:pt>
                <c:pt idx="7">
                  <c:v>8.02</c:v>
                </c:pt>
                <c:pt idx="8">
                  <c:v>8.15</c:v>
                </c:pt>
                <c:pt idx="9">
                  <c:v>8.01</c:v>
                </c:pt>
                <c:pt idx="10">
                  <c:v>8.12</c:v>
                </c:pt>
                <c:pt idx="11">
                  <c:v>8.140000000000001</c:v>
                </c:pt>
                <c:pt idx="12">
                  <c:v>8.04</c:v>
                </c:pt>
                <c:pt idx="13">
                  <c:v>8.09</c:v>
                </c:pt>
                <c:pt idx="14">
                  <c:v>8.210000000000001</c:v>
                </c:pt>
                <c:pt idx="15">
                  <c:v>8.18</c:v>
                </c:pt>
                <c:pt idx="16">
                  <c:v>8.19</c:v>
                </c:pt>
                <c:pt idx="17">
                  <c:v>8.17</c:v>
                </c:pt>
                <c:pt idx="18">
                  <c:v>8.18</c:v>
                </c:pt>
                <c:pt idx="19">
                  <c:v>8.16</c:v>
                </c:pt>
                <c:pt idx="20">
                  <c:v>8.19</c:v>
                </c:pt>
                <c:pt idx="21">
                  <c:v>8.16</c:v>
                </c:pt>
                <c:pt idx="22">
                  <c:v>8.16</c:v>
                </c:pt>
                <c:pt idx="23">
                  <c:v>8.17</c:v>
                </c:pt>
                <c:pt idx="24">
                  <c:v>8.18</c:v>
                </c:pt>
                <c:pt idx="25">
                  <c:v>8.18</c:v>
                </c:pt>
                <c:pt idx="26">
                  <c:v>8.18</c:v>
                </c:pt>
                <c:pt idx="27">
                  <c:v>8.19</c:v>
                </c:pt>
                <c:pt idx="28">
                  <c:v>8.17</c:v>
                </c:pt>
                <c:pt idx="29">
                  <c:v>8.18</c:v>
                </c:pt>
                <c:pt idx="30">
                  <c:v>8.2</c:v>
                </c:pt>
                <c:pt idx="31">
                  <c:v>8.2</c:v>
                </c:pt>
                <c:pt idx="32">
                  <c:v>8.18</c:v>
                </c:pt>
              </c:numCache>
            </c:numRef>
          </c:yVal>
          <c:smooth val="1"/>
        </c:ser>
        <c:axId val="347445512"/>
        <c:axId val="347438360"/>
      </c:scatterChart>
      <c:valAx>
        <c:axId val="347445512"/>
        <c:scaling>
          <c:orientation val="minMax"/>
        </c:scaling>
        <c:axPos val="b"/>
        <c:numFmt formatCode="m/d/yy" sourceLinked="1"/>
        <c:tickLblPos val="nextTo"/>
        <c:crossAx val="347438360"/>
        <c:crosses val="autoZero"/>
        <c:crossBetween val="midCat"/>
      </c:valAx>
      <c:valAx>
        <c:axId val="347438360"/>
        <c:scaling>
          <c:orientation val="minMax"/>
          <c:max val="8.3"/>
          <c:min val="7.7"/>
        </c:scaling>
        <c:axPos val="l"/>
        <c:majorGridlines/>
        <c:title>
          <c:tx>
            <c:rich>
              <a:bodyPr/>
              <a:lstStyle/>
              <a:p>
                <a:pPr>
                  <a:defRPr/>
                </a:pPr>
                <a:r>
                  <a:rPr lang="en-US"/>
                  <a:t>pH</a:t>
                </a:r>
              </a:p>
            </c:rich>
          </c:tx>
        </c:title>
        <c:numFmt formatCode="0.00" sourceLinked="1"/>
        <c:tickLblPos val="nextTo"/>
        <c:crossAx val="347445512"/>
        <c:crosses val="autoZero"/>
        <c:crossBetween val="midCat"/>
      </c:valAx>
    </c:plotArea>
    <c:plotVisOnly val="1"/>
  </c:chart>
</c:chartSpace>
</file>

<file path=xl/charts/chart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Napili Bay (RNS)</a:t>
            </a:r>
          </a:p>
        </c:rich>
      </c:tx>
    </c:title>
    <c:plotArea>
      <c:layout/>
      <c:scatterChart>
        <c:scatterStyle val="smoothMarker"/>
        <c:ser>
          <c:idx val="0"/>
          <c:order val="0"/>
          <c:tx>
            <c:strRef>
              <c:f>Napili!$E$1</c:f>
              <c:strCache>
                <c:ptCount val="1"/>
                <c:pt idx="0">
                  <c:v>Temp (degrees C)</c:v>
                </c:pt>
              </c:strCache>
            </c:strRef>
          </c:tx>
          <c:xVal>
            <c:numRef>
              <c:f>Napili!$C$2:$C$18</c:f>
              <c:numCache>
                <c:formatCode>m/d/yy</c:formatCode>
                <c:ptCount val="17"/>
                <c:pt idx="0">
                  <c:v>42780.0</c:v>
                </c:pt>
                <c:pt idx="1">
                  <c:v>42801.0</c:v>
                </c:pt>
                <c:pt idx="2">
                  <c:v>42822.0</c:v>
                </c:pt>
                <c:pt idx="3">
                  <c:v>42843.0</c:v>
                </c:pt>
                <c:pt idx="4">
                  <c:v>42864.0</c:v>
                </c:pt>
                <c:pt idx="5">
                  <c:v>42885.0</c:v>
                </c:pt>
                <c:pt idx="6">
                  <c:v>42906.0</c:v>
                </c:pt>
                <c:pt idx="7">
                  <c:v>42927.0</c:v>
                </c:pt>
                <c:pt idx="8">
                  <c:v>42948.0</c:v>
                </c:pt>
                <c:pt idx="9">
                  <c:v>42969.0</c:v>
                </c:pt>
                <c:pt idx="10">
                  <c:v>42990.0</c:v>
                </c:pt>
                <c:pt idx="11">
                  <c:v>43011.0</c:v>
                </c:pt>
                <c:pt idx="12">
                  <c:v>43032.0</c:v>
                </c:pt>
                <c:pt idx="13">
                  <c:v>43053.0</c:v>
                </c:pt>
                <c:pt idx="14">
                  <c:v>43074.0</c:v>
                </c:pt>
                <c:pt idx="15">
                  <c:v>43088.0</c:v>
                </c:pt>
                <c:pt idx="16">
                  <c:v>43109.0</c:v>
                </c:pt>
              </c:numCache>
            </c:numRef>
          </c:xVal>
          <c:yVal>
            <c:numRef>
              <c:f>Napili!$E$2:$E$18</c:f>
              <c:numCache>
                <c:formatCode>0.0</c:formatCode>
                <c:ptCount val="17"/>
                <c:pt idx="0">
                  <c:v>24.2</c:v>
                </c:pt>
                <c:pt idx="1">
                  <c:v>24.2</c:v>
                </c:pt>
                <c:pt idx="2">
                  <c:v>24.4</c:v>
                </c:pt>
                <c:pt idx="3">
                  <c:v>24.8</c:v>
                </c:pt>
                <c:pt idx="4">
                  <c:v>25.3</c:v>
                </c:pt>
                <c:pt idx="5">
                  <c:v>25.7</c:v>
                </c:pt>
                <c:pt idx="6">
                  <c:v>26.2</c:v>
                </c:pt>
                <c:pt idx="7">
                  <c:v>26.6</c:v>
                </c:pt>
                <c:pt idx="8">
                  <c:v>26.9</c:v>
                </c:pt>
                <c:pt idx="9">
                  <c:v>26.4</c:v>
                </c:pt>
                <c:pt idx="10">
                  <c:v>27.1</c:v>
                </c:pt>
                <c:pt idx="11">
                  <c:v>27.0</c:v>
                </c:pt>
                <c:pt idx="12">
                  <c:v>26.3</c:v>
                </c:pt>
                <c:pt idx="13">
                  <c:v>26.0</c:v>
                </c:pt>
                <c:pt idx="14">
                  <c:v>24.2</c:v>
                </c:pt>
                <c:pt idx="15">
                  <c:v>24.8</c:v>
                </c:pt>
                <c:pt idx="16">
                  <c:v>23.6</c:v>
                </c:pt>
              </c:numCache>
            </c:numRef>
          </c:yVal>
          <c:smooth val="1"/>
        </c:ser>
        <c:axId val="347156632"/>
        <c:axId val="347159624"/>
      </c:scatterChart>
      <c:valAx>
        <c:axId val="347156632"/>
        <c:scaling>
          <c:orientation val="minMax"/>
        </c:scaling>
        <c:axPos val="b"/>
        <c:numFmt formatCode="m/d/yy" sourceLinked="1"/>
        <c:tickLblPos val="nextTo"/>
        <c:crossAx val="347159624"/>
        <c:crosses val="autoZero"/>
        <c:crossBetween val="midCat"/>
      </c:valAx>
      <c:valAx>
        <c:axId val="347159624"/>
        <c:scaling>
          <c:orientation val="minMax"/>
          <c:max val="29.0"/>
          <c:min val="22.0"/>
        </c:scaling>
        <c:axPos val="l"/>
        <c:majorGridlines/>
        <c:title>
          <c:tx>
            <c:rich>
              <a:bodyPr/>
              <a:lstStyle/>
              <a:p>
                <a:pPr>
                  <a:defRPr/>
                </a:pPr>
                <a:r>
                  <a:rPr lang="en-US"/>
                  <a:t>Temp degrees C</a:t>
                </a:r>
              </a:p>
            </c:rich>
          </c:tx>
        </c:title>
        <c:numFmt formatCode="0.0" sourceLinked="1"/>
        <c:tickLblPos val="nextTo"/>
        <c:crossAx val="347156632"/>
        <c:crosses val="autoZero"/>
        <c:crossBetween val="midCat"/>
      </c:valAx>
    </c:plotArea>
    <c:plotVisOnly val="1"/>
  </c:chart>
</c:chartSpace>
</file>

<file path=xl/charts/chart30.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Canoe Beach (RCB)</a:t>
            </a:r>
          </a:p>
        </c:rich>
      </c:tx>
    </c:title>
    <c:plotArea>
      <c:layout/>
      <c:scatterChart>
        <c:scatterStyle val="smoothMarker"/>
        <c:ser>
          <c:idx val="0"/>
          <c:order val="0"/>
          <c:tx>
            <c:strRef>
              <c:f>'Canoe Beach'!$J$1</c:f>
              <c:strCache>
                <c:ptCount val="1"/>
                <c:pt idx="0">
                  <c:v>Turbidity (NTU)</c:v>
                </c:pt>
              </c:strCache>
            </c:strRef>
          </c:tx>
          <c:xVal>
            <c:numRef>
              <c:f>'Canoe Beach'!$C$2:$C$34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'Canoe Beach'!$J$2:$J$34</c:f>
              <c:numCache>
                <c:formatCode>0.00</c:formatCode>
                <c:ptCount val="33"/>
                <c:pt idx="0">
                  <c:v>5.86</c:v>
                </c:pt>
                <c:pt idx="1">
                  <c:v>3.43</c:v>
                </c:pt>
                <c:pt idx="2">
                  <c:v>2.43</c:v>
                </c:pt>
                <c:pt idx="3">
                  <c:v>4.39</c:v>
                </c:pt>
                <c:pt idx="4">
                  <c:v>2.3</c:v>
                </c:pt>
                <c:pt idx="5">
                  <c:v>0.706666666666667</c:v>
                </c:pt>
                <c:pt idx="6">
                  <c:v>2.173333333333333</c:v>
                </c:pt>
                <c:pt idx="7">
                  <c:v>3.086666666666666</c:v>
                </c:pt>
                <c:pt idx="8">
                  <c:v>1.993333333333333</c:v>
                </c:pt>
                <c:pt idx="9">
                  <c:v>0.926666666666667</c:v>
                </c:pt>
                <c:pt idx="10">
                  <c:v>1.38</c:v>
                </c:pt>
                <c:pt idx="11">
                  <c:v>1.66</c:v>
                </c:pt>
                <c:pt idx="12">
                  <c:v>1.456666666666666</c:v>
                </c:pt>
                <c:pt idx="13">
                  <c:v>3.316666666666666</c:v>
                </c:pt>
                <c:pt idx="14">
                  <c:v>1.416666666666667</c:v>
                </c:pt>
                <c:pt idx="15">
                  <c:v>0.8</c:v>
                </c:pt>
                <c:pt idx="16">
                  <c:v>1.473333333333333</c:v>
                </c:pt>
                <c:pt idx="17">
                  <c:v>3.836666666666666</c:v>
                </c:pt>
                <c:pt idx="18">
                  <c:v>2.173333333333333</c:v>
                </c:pt>
                <c:pt idx="19">
                  <c:v>1.023333333333333</c:v>
                </c:pt>
                <c:pt idx="20">
                  <c:v>2.496666666666667</c:v>
                </c:pt>
                <c:pt idx="21">
                  <c:v>5.066666666666666</c:v>
                </c:pt>
                <c:pt idx="22">
                  <c:v>6.093333333333333</c:v>
                </c:pt>
                <c:pt idx="23">
                  <c:v>0.916666666666667</c:v>
                </c:pt>
                <c:pt idx="24">
                  <c:v>4.7</c:v>
                </c:pt>
                <c:pt idx="25">
                  <c:v>5.89</c:v>
                </c:pt>
                <c:pt idx="26">
                  <c:v>1.696666666666666</c:v>
                </c:pt>
                <c:pt idx="27">
                  <c:v>6.076666666666667</c:v>
                </c:pt>
                <c:pt idx="28">
                  <c:v>9.886666666666668</c:v>
                </c:pt>
                <c:pt idx="29">
                  <c:v>3.69</c:v>
                </c:pt>
                <c:pt idx="30">
                  <c:v>2.166666666666666</c:v>
                </c:pt>
                <c:pt idx="31">
                  <c:v>2.04</c:v>
                </c:pt>
                <c:pt idx="32">
                  <c:v>7.653333333333333</c:v>
                </c:pt>
              </c:numCache>
            </c:numRef>
          </c:yVal>
          <c:smooth val="1"/>
        </c:ser>
        <c:axId val="347487016"/>
        <c:axId val="347480072"/>
      </c:scatterChart>
      <c:valAx>
        <c:axId val="347487016"/>
        <c:scaling>
          <c:orientation val="minMax"/>
        </c:scaling>
        <c:axPos val="b"/>
        <c:numFmt formatCode="m/d/yy" sourceLinked="1"/>
        <c:tickLblPos val="nextTo"/>
        <c:crossAx val="347480072"/>
        <c:crosses val="autoZero"/>
        <c:crossBetween val="midCat"/>
      </c:valAx>
      <c:valAx>
        <c:axId val="347480072"/>
        <c:scaling>
          <c:orientation val="minMax"/>
          <c:max val="10.0"/>
        </c:scaling>
        <c:axPos val="l"/>
        <c:majorGridlines/>
        <c:title>
          <c:tx>
            <c:rich>
              <a:bodyPr/>
              <a:lstStyle/>
              <a:p>
                <a:pPr>
                  <a:defRPr/>
                </a:pPr>
                <a:r>
                  <a:rPr lang="en-US"/>
                  <a:t>Turbidity (NTU)</a:t>
                </a:r>
              </a:p>
            </c:rich>
          </c:tx>
        </c:title>
        <c:numFmt formatCode="0.00" sourceLinked="1"/>
        <c:tickLblPos val="nextTo"/>
        <c:crossAx val="347487016"/>
        <c:crosses val="autoZero"/>
        <c:crossBetween val="midCat"/>
      </c:valAx>
    </c:plotArea>
    <c:plotVisOnly val="1"/>
  </c:chart>
</c:chartSpace>
</file>

<file path=xl/charts/chart3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Canoe Beach (RCB)</a:t>
            </a:r>
          </a:p>
        </c:rich>
      </c:tx>
    </c:title>
    <c:plotArea>
      <c:layout/>
      <c:scatterChart>
        <c:scatterStyle val="smoothMarker"/>
        <c:ser>
          <c:idx val="0"/>
          <c:order val="0"/>
          <c:tx>
            <c:strRef>
              <c:f>'Canoe Beach'!$E$1</c:f>
              <c:strCache>
                <c:ptCount val="1"/>
                <c:pt idx="0">
                  <c:v>Temp (degrees C)</c:v>
                </c:pt>
              </c:strCache>
            </c:strRef>
          </c:tx>
          <c:xVal>
            <c:numRef>
              <c:f>'Canoe Beach'!$C$2:$C$34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'Canoe Beach'!$E$2:$E$34</c:f>
              <c:numCache>
                <c:formatCode>0.0</c:formatCode>
                <c:ptCount val="33"/>
                <c:pt idx="0">
                  <c:v>27.2</c:v>
                </c:pt>
                <c:pt idx="1">
                  <c:v>26.6</c:v>
                </c:pt>
                <c:pt idx="2">
                  <c:v>27.2</c:v>
                </c:pt>
                <c:pt idx="3">
                  <c:v>27.2</c:v>
                </c:pt>
                <c:pt idx="4">
                  <c:v>27.3</c:v>
                </c:pt>
                <c:pt idx="5">
                  <c:v>27.9</c:v>
                </c:pt>
                <c:pt idx="6">
                  <c:v>27.7</c:v>
                </c:pt>
                <c:pt idx="7">
                  <c:v>27.4</c:v>
                </c:pt>
                <c:pt idx="8">
                  <c:v>27.9</c:v>
                </c:pt>
                <c:pt idx="9">
                  <c:v>27.2</c:v>
                </c:pt>
                <c:pt idx="10">
                  <c:v>26.0</c:v>
                </c:pt>
                <c:pt idx="11">
                  <c:v>26.5</c:v>
                </c:pt>
                <c:pt idx="12">
                  <c:v>25.4</c:v>
                </c:pt>
                <c:pt idx="13">
                  <c:v>25.3</c:v>
                </c:pt>
                <c:pt idx="14">
                  <c:v>24.9</c:v>
                </c:pt>
                <c:pt idx="15">
                  <c:v>24.5</c:v>
                </c:pt>
                <c:pt idx="16">
                  <c:v>24.7</c:v>
                </c:pt>
                <c:pt idx="17">
                  <c:v>24.9</c:v>
                </c:pt>
                <c:pt idx="18">
                  <c:v>25.6</c:v>
                </c:pt>
                <c:pt idx="19">
                  <c:v>26.1</c:v>
                </c:pt>
                <c:pt idx="20">
                  <c:v>26.2</c:v>
                </c:pt>
                <c:pt idx="21">
                  <c:v>26.4</c:v>
                </c:pt>
                <c:pt idx="22">
                  <c:v>27.0</c:v>
                </c:pt>
                <c:pt idx="23">
                  <c:v>27.3</c:v>
                </c:pt>
                <c:pt idx="24">
                  <c:v>27.6</c:v>
                </c:pt>
                <c:pt idx="25">
                  <c:v>27.0</c:v>
                </c:pt>
                <c:pt idx="26">
                  <c:v>28.0</c:v>
                </c:pt>
                <c:pt idx="27">
                  <c:v>28.0</c:v>
                </c:pt>
                <c:pt idx="28">
                  <c:v>26.9</c:v>
                </c:pt>
                <c:pt idx="29">
                  <c:v>27.1</c:v>
                </c:pt>
                <c:pt idx="30">
                  <c:v>25.5</c:v>
                </c:pt>
                <c:pt idx="31">
                  <c:v>25.2</c:v>
                </c:pt>
                <c:pt idx="32">
                  <c:v>25.0</c:v>
                </c:pt>
              </c:numCache>
            </c:numRef>
          </c:yVal>
          <c:smooth val="1"/>
        </c:ser>
        <c:axId val="347529992"/>
        <c:axId val="347522936"/>
      </c:scatterChart>
      <c:valAx>
        <c:axId val="347529992"/>
        <c:scaling>
          <c:orientation val="minMax"/>
        </c:scaling>
        <c:axPos val="b"/>
        <c:numFmt formatCode="m/d/yy" sourceLinked="1"/>
        <c:tickLblPos val="nextTo"/>
        <c:crossAx val="347522936"/>
        <c:crosses val="autoZero"/>
        <c:crossBetween val="midCat"/>
      </c:valAx>
      <c:valAx>
        <c:axId val="347522936"/>
        <c:scaling>
          <c:orientation val="minMax"/>
          <c:max val="29.0"/>
          <c:min val="22.0"/>
        </c:scaling>
        <c:axPos val="l"/>
        <c:majorGridlines/>
        <c:title>
          <c:tx>
            <c:rich>
              <a:bodyPr/>
              <a:lstStyle/>
              <a:p>
                <a:pPr>
                  <a:defRPr/>
                </a:pPr>
                <a:r>
                  <a:rPr lang="en-US"/>
                  <a:t>Temperature (Celcius)</a:t>
                </a:r>
              </a:p>
            </c:rich>
          </c:tx>
        </c:title>
        <c:numFmt formatCode="0.0" sourceLinked="1"/>
        <c:tickLblPos val="nextTo"/>
        <c:crossAx val="347529992"/>
        <c:crosses val="autoZero"/>
        <c:crossBetween val="midCat"/>
      </c:valAx>
    </c:plotArea>
    <c:plotVisOnly val="1"/>
  </c:chart>
</c:chartSpace>
</file>

<file path=xl/charts/chart3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Canoe Beach Nitrogen/Nitrate vs Silicate (RCB)</a:t>
            </a:r>
          </a:p>
        </c:rich>
      </c:tx>
    </c:title>
    <c:plotArea>
      <c:layout/>
      <c:scatterChart>
        <c:scatterStyle val="smoothMarker"/>
        <c:ser>
          <c:idx val="0"/>
          <c:order val="0"/>
          <c:tx>
            <c:strRef>
              <c:f>'Canoe Beach'!$K$1</c:f>
              <c:strCache>
                <c:ptCount val="1"/>
                <c:pt idx="0">
                  <c:v>Total N (ug/L)</c:v>
                </c:pt>
              </c:strCache>
            </c:strRef>
          </c:tx>
          <c:xVal>
            <c:numRef>
              <c:f>'Canoe Beach'!$C$2:$C$31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'Canoe Beach'!$K$2:$K$31</c:f>
              <c:numCache>
                <c:formatCode>0.00</c:formatCode>
                <c:ptCount val="30"/>
                <c:pt idx="0">
                  <c:v>117.22</c:v>
                </c:pt>
                <c:pt idx="1">
                  <c:v>121.25</c:v>
                </c:pt>
                <c:pt idx="2">
                  <c:v>122.6905310676007</c:v>
                </c:pt>
                <c:pt idx="3">
                  <c:v>111.915485608204</c:v>
                </c:pt>
                <c:pt idx="4">
                  <c:v>102.6316883752426</c:v>
                </c:pt>
                <c:pt idx="5">
                  <c:v>94.47096774386145</c:v>
                </c:pt>
                <c:pt idx="6">
                  <c:v>94.07646875286083</c:v>
                </c:pt>
                <c:pt idx="7">
                  <c:v>131.4374633595899</c:v>
                </c:pt>
                <c:pt idx="8">
                  <c:v>118.9299051858987</c:v>
                </c:pt>
                <c:pt idx="9">
                  <c:v>84.94865087298765</c:v>
                </c:pt>
                <c:pt idx="10">
                  <c:v>96.42237257060968</c:v>
                </c:pt>
                <c:pt idx="11">
                  <c:v>79.76003459427857</c:v>
                </c:pt>
                <c:pt idx="12">
                  <c:v>137.8535064610399</c:v>
                </c:pt>
                <c:pt idx="13">
                  <c:v>78.99646969254052</c:v>
                </c:pt>
                <c:pt idx="14">
                  <c:v>121.238756127892</c:v>
                </c:pt>
                <c:pt idx="15">
                  <c:v>113.21754327601</c:v>
                </c:pt>
                <c:pt idx="16">
                  <c:v>136.0672314646377</c:v>
                </c:pt>
                <c:pt idx="17">
                  <c:v>122.3562121265303</c:v>
                </c:pt>
                <c:pt idx="18">
                  <c:v>143.9367880811918</c:v>
                </c:pt>
                <c:pt idx="19">
                  <c:v>168.3600718646126</c:v>
                </c:pt>
                <c:pt idx="20">
                  <c:v>230.5684875656108</c:v>
                </c:pt>
                <c:pt idx="21">
                  <c:v>144.8412562601758</c:v>
                </c:pt>
                <c:pt idx="22">
                  <c:v>150.6968484217615</c:v>
                </c:pt>
                <c:pt idx="23">
                  <c:v>182.6341749690024</c:v>
                </c:pt>
                <c:pt idx="24">
                  <c:v>111.8631255423803</c:v>
                </c:pt>
                <c:pt idx="25">
                  <c:v>274.4718755993679</c:v>
                </c:pt>
                <c:pt idx="26">
                  <c:v>72.5092858601781</c:v>
                </c:pt>
                <c:pt idx="27">
                  <c:v>222.0082235685313</c:v>
                </c:pt>
                <c:pt idx="28">
                  <c:v>113.8546256493076</c:v>
                </c:pt>
                <c:pt idx="29">
                  <c:v>135.885211179393</c:v>
                </c:pt>
              </c:numCache>
            </c:numRef>
          </c:yVal>
          <c:smooth val="1"/>
        </c:ser>
        <c:ser>
          <c:idx val="2"/>
          <c:order val="2"/>
          <c:tx>
            <c:strRef>
              <c:f>'Canoe Beach'!$O$1</c:f>
              <c:strCache>
                <c:ptCount val="1"/>
                <c:pt idx="0">
                  <c:v>NNN (ug/L)</c:v>
                </c:pt>
              </c:strCache>
            </c:strRef>
          </c:tx>
          <c:xVal>
            <c:numRef>
              <c:f>'Canoe Beach'!$C$2:$C$31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'Canoe Beach'!$O$2:$O$31</c:f>
              <c:numCache>
                <c:formatCode>0.00</c:formatCode>
                <c:ptCount val="30"/>
                <c:pt idx="0">
                  <c:v>49.04</c:v>
                </c:pt>
                <c:pt idx="1">
                  <c:v>57.28</c:v>
                </c:pt>
                <c:pt idx="2">
                  <c:v>55.71769866157118</c:v>
                </c:pt>
                <c:pt idx="3">
                  <c:v>40.0290000683785</c:v>
                </c:pt>
                <c:pt idx="4">
                  <c:v>55.50334816033796</c:v>
                </c:pt>
                <c:pt idx="5">
                  <c:v>34.4315171047799</c:v>
                </c:pt>
                <c:pt idx="6">
                  <c:v>34.91412007450548</c:v>
                </c:pt>
                <c:pt idx="7">
                  <c:v>24.76965866519754</c:v>
                </c:pt>
                <c:pt idx="8">
                  <c:v>64.14099687811531</c:v>
                </c:pt>
                <c:pt idx="9">
                  <c:v>15.74693475865447</c:v>
                </c:pt>
                <c:pt idx="10">
                  <c:v>28.69209591074653</c:v>
                </c:pt>
                <c:pt idx="11">
                  <c:v>31.94642136085005</c:v>
                </c:pt>
                <c:pt idx="12">
                  <c:v>77.66010450600714</c:v>
                </c:pt>
                <c:pt idx="13">
                  <c:v>34.5362007183324</c:v>
                </c:pt>
                <c:pt idx="14">
                  <c:v>47.01455635257706</c:v>
                </c:pt>
                <c:pt idx="15">
                  <c:v>46.28111043496667</c:v>
                </c:pt>
                <c:pt idx="16">
                  <c:v>71.00225235474655</c:v>
                </c:pt>
                <c:pt idx="17">
                  <c:v>63.57676844110488</c:v>
                </c:pt>
                <c:pt idx="18">
                  <c:v>81.11722102656328</c:v>
                </c:pt>
                <c:pt idx="19">
                  <c:v>79.7062580893111</c:v>
                </c:pt>
                <c:pt idx="20">
                  <c:v>156.1991185503847</c:v>
                </c:pt>
                <c:pt idx="21">
                  <c:v>63.5282076453887</c:v>
                </c:pt>
                <c:pt idx="22">
                  <c:v>84.23631845207052</c:v>
                </c:pt>
                <c:pt idx="23">
                  <c:v>146.9627317399425</c:v>
                </c:pt>
                <c:pt idx="24">
                  <c:v>32.34151563332446</c:v>
                </c:pt>
                <c:pt idx="25">
                  <c:v>161.2738238379062</c:v>
                </c:pt>
                <c:pt idx="26">
                  <c:v>21.75602184222583</c:v>
                </c:pt>
                <c:pt idx="27">
                  <c:v>116.7670998861945</c:v>
                </c:pt>
                <c:pt idx="28">
                  <c:v>33.40564659021273</c:v>
                </c:pt>
                <c:pt idx="29">
                  <c:v>81.55789974367058</c:v>
                </c:pt>
              </c:numCache>
            </c:numRef>
          </c:yVal>
          <c:smooth val="1"/>
        </c:ser>
        <c:axId val="347574136"/>
        <c:axId val="347593784"/>
      </c:scatterChart>
      <c:scatterChart>
        <c:scatterStyle val="smoothMarker"/>
        <c:ser>
          <c:idx val="1"/>
          <c:order val="1"/>
          <c:tx>
            <c:strRef>
              <c:f>'Canoe Beach'!$N$1</c:f>
              <c:strCache>
                <c:ptCount val="1"/>
                <c:pt idx="0">
                  <c:v>Silicate (ug/L)</c:v>
                </c:pt>
              </c:strCache>
            </c:strRef>
          </c:tx>
          <c:xVal>
            <c:numRef>
              <c:f>'Canoe Beach'!$C$2:$C$31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'Canoe Beach'!$N$2:$N$31</c:f>
              <c:numCache>
                <c:formatCode>0.00</c:formatCode>
                <c:ptCount val="30"/>
                <c:pt idx="0">
                  <c:v>576.28</c:v>
                </c:pt>
                <c:pt idx="1">
                  <c:v>649.57</c:v>
                </c:pt>
                <c:pt idx="2">
                  <c:v>620.8640603000453</c:v>
                </c:pt>
                <c:pt idx="3">
                  <c:v>449.6841898520403</c:v>
                </c:pt>
                <c:pt idx="4">
                  <c:v>509.7578399090161</c:v>
                </c:pt>
                <c:pt idx="5">
                  <c:v>352.8390073430814</c:v>
                </c:pt>
                <c:pt idx="6">
                  <c:v>405.0174992312652</c:v>
                </c:pt>
                <c:pt idx="7">
                  <c:v>318.7269574079721</c:v>
                </c:pt>
                <c:pt idx="8">
                  <c:v>583.2140800416162</c:v>
                </c:pt>
                <c:pt idx="9">
                  <c:v>270.9710309673048</c:v>
                </c:pt>
                <c:pt idx="10">
                  <c:v>381.2240272761268</c:v>
                </c:pt>
                <c:pt idx="11">
                  <c:v>430.5179887137242</c:v>
                </c:pt>
                <c:pt idx="12">
                  <c:v>848.0639726823166</c:v>
                </c:pt>
                <c:pt idx="13">
                  <c:v>437.2998951269968</c:v>
                </c:pt>
                <c:pt idx="14">
                  <c:v>430.0159762511877</c:v>
                </c:pt>
                <c:pt idx="15">
                  <c:v>327.2255014333999</c:v>
                </c:pt>
                <c:pt idx="16">
                  <c:v>457.4295114825916</c:v>
                </c:pt>
                <c:pt idx="17">
                  <c:v>398.6911834061462</c:v>
                </c:pt>
                <c:pt idx="18">
                  <c:v>591.6679909581798</c:v>
                </c:pt>
                <c:pt idx="19">
                  <c:v>850.3677564170682</c:v>
                </c:pt>
                <c:pt idx="20">
                  <c:v>1488.582020824173</c:v>
                </c:pt>
                <c:pt idx="21">
                  <c:v>657.5452091447806</c:v>
                </c:pt>
                <c:pt idx="22">
                  <c:v>847.9338275766697</c:v>
                </c:pt>
                <c:pt idx="23">
                  <c:v>1282.273172391935</c:v>
                </c:pt>
                <c:pt idx="24">
                  <c:v>311.911408560949</c:v>
                </c:pt>
                <c:pt idx="25">
                  <c:v>1297.668477215828</c:v>
                </c:pt>
                <c:pt idx="26">
                  <c:v>362.0860624170992</c:v>
                </c:pt>
                <c:pt idx="27">
                  <c:v>966.9471074299728</c:v>
                </c:pt>
                <c:pt idx="28">
                  <c:v>510.1931652852467</c:v>
                </c:pt>
                <c:pt idx="29">
                  <c:v>732.9307372417868</c:v>
                </c:pt>
              </c:numCache>
            </c:numRef>
          </c:yVal>
          <c:smooth val="1"/>
        </c:ser>
        <c:axId val="347603224"/>
        <c:axId val="347599768"/>
      </c:scatterChart>
      <c:valAx>
        <c:axId val="347574136"/>
        <c:scaling>
          <c:orientation val="minMax"/>
        </c:scaling>
        <c:axPos val="b"/>
        <c:numFmt formatCode="m/d/yy" sourceLinked="1"/>
        <c:tickLblPos val="nextTo"/>
        <c:crossAx val="347593784"/>
        <c:crosses val="autoZero"/>
        <c:crossBetween val="midCat"/>
      </c:valAx>
      <c:valAx>
        <c:axId val="347593784"/>
        <c:scaling>
          <c:orientation val="minMax"/>
        </c:scaling>
        <c:axPos val="l"/>
        <c:majorGridlines/>
        <c:title>
          <c:tx>
            <c:rich>
              <a:bodyPr/>
              <a:lstStyle/>
              <a:p>
                <a:pPr>
                  <a:defRPr/>
                </a:pPr>
                <a:r>
                  <a:rPr lang="en-US"/>
                  <a:t>Nitrogen/Nitrate (ug/L)</a:t>
                </a:r>
              </a:p>
            </c:rich>
          </c:tx>
        </c:title>
        <c:numFmt formatCode="0.00" sourceLinked="1"/>
        <c:tickLblPos val="nextTo"/>
        <c:crossAx val="347574136"/>
        <c:crosses val="autoZero"/>
        <c:crossBetween val="midCat"/>
      </c:valAx>
      <c:valAx>
        <c:axId val="347599768"/>
        <c:scaling>
          <c:orientation val="minMax"/>
        </c:scaling>
        <c:axPos val="r"/>
        <c:numFmt formatCode="0.00" sourceLinked="1"/>
        <c:tickLblPos val="nextTo"/>
        <c:crossAx val="347603224"/>
        <c:crosses val="max"/>
        <c:crossBetween val="midCat"/>
      </c:valAx>
      <c:valAx>
        <c:axId val="347603224"/>
        <c:scaling>
          <c:orientation val="minMax"/>
        </c:scaling>
        <c:delete val="1"/>
        <c:axPos val="b"/>
        <c:numFmt formatCode="m/d/yy" sourceLinked="1"/>
        <c:tickLblPos val="nextTo"/>
        <c:crossAx val="347599768"/>
        <c:crosses val="autoZero"/>
        <c:crossBetween val="midCat"/>
      </c:valAx>
    </c:plotArea>
    <c:legend>
      <c:legendPos val="t"/>
    </c:legend>
    <c:plotVisOnly val="1"/>
  </c:chart>
</c:chartSpace>
</file>

<file path=xl/charts/chart3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Canoe Beach Silicate vs Nitrates + Nitrites (RCB)</a:t>
            </a:r>
          </a:p>
        </c:rich>
      </c:tx>
    </c:title>
    <c:plotArea>
      <c:layout/>
      <c:scatterChart>
        <c:scatterStyle val="lineMarker"/>
        <c:ser>
          <c:idx val="0"/>
          <c:order val="0"/>
          <c:tx>
            <c:strRef>
              <c:f>'Canoe Beach'!$O$1</c:f>
              <c:strCache>
                <c:ptCount val="1"/>
                <c:pt idx="0">
                  <c:v>NNN (ug/L)</c:v>
                </c:pt>
              </c:strCache>
            </c:strRef>
          </c:tx>
          <c:spPr>
            <a:ln w="28575">
              <a:noFill/>
            </a:ln>
          </c:spPr>
          <c:trendline>
            <c:trendlineType val="linear"/>
            <c:dispRSqr val="1"/>
            <c:dispEq val="1"/>
            <c:trendlineLbl>
              <c:layout>
                <c:manualLayout>
                  <c:x val="0.0525020331811908"/>
                  <c:y val="-0.105531041493"/>
                </c:manualLayout>
              </c:layout>
              <c:numFmt formatCode="General" sourceLinked="0"/>
            </c:trendlineLbl>
          </c:trendline>
          <c:xVal>
            <c:numRef>
              <c:f>'Canoe Beach'!$N$2:$N$31</c:f>
              <c:numCache>
                <c:formatCode>0.00</c:formatCode>
                <c:ptCount val="30"/>
                <c:pt idx="0">
                  <c:v>576.28</c:v>
                </c:pt>
                <c:pt idx="1">
                  <c:v>649.57</c:v>
                </c:pt>
                <c:pt idx="2">
                  <c:v>620.8640603000453</c:v>
                </c:pt>
                <c:pt idx="3">
                  <c:v>449.6841898520403</c:v>
                </c:pt>
                <c:pt idx="4">
                  <c:v>509.7578399090161</c:v>
                </c:pt>
                <c:pt idx="5">
                  <c:v>352.8390073430814</c:v>
                </c:pt>
                <c:pt idx="6">
                  <c:v>405.0174992312652</c:v>
                </c:pt>
                <c:pt idx="7">
                  <c:v>318.7269574079721</c:v>
                </c:pt>
                <c:pt idx="8">
                  <c:v>583.2140800416162</c:v>
                </c:pt>
                <c:pt idx="9">
                  <c:v>270.9710309673048</c:v>
                </c:pt>
                <c:pt idx="10">
                  <c:v>381.2240272761268</c:v>
                </c:pt>
                <c:pt idx="11">
                  <c:v>430.5179887137242</c:v>
                </c:pt>
                <c:pt idx="12">
                  <c:v>848.0639726823166</c:v>
                </c:pt>
                <c:pt idx="13">
                  <c:v>437.2998951269968</c:v>
                </c:pt>
                <c:pt idx="14">
                  <c:v>430.0159762511877</c:v>
                </c:pt>
                <c:pt idx="15">
                  <c:v>327.2255014333999</c:v>
                </c:pt>
                <c:pt idx="16">
                  <c:v>457.4295114825916</c:v>
                </c:pt>
                <c:pt idx="17">
                  <c:v>398.6911834061462</c:v>
                </c:pt>
                <c:pt idx="18">
                  <c:v>591.6679909581798</c:v>
                </c:pt>
                <c:pt idx="19">
                  <c:v>850.3677564170682</c:v>
                </c:pt>
                <c:pt idx="20">
                  <c:v>1488.582020824173</c:v>
                </c:pt>
                <c:pt idx="21">
                  <c:v>657.5452091447806</c:v>
                </c:pt>
                <c:pt idx="22">
                  <c:v>847.9338275766697</c:v>
                </c:pt>
                <c:pt idx="23">
                  <c:v>1282.273172391935</c:v>
                </c:pt>
                <c:pt idx="24">
                  <c:v>311.911408560949</c:v>
                </c:pt>
                <c:pt idx="25">
                  <c:v>1297.668477215828</c:v>
                </c:pt>
                <c:pt idx="26">
                  <c:v>362.0860624170992</c:v>
                </c:pt>
                <c:pt idx="27">
                  <c:v>966.9471074299728</c:v>
                </c:pt>
                <c:pt idx="28">
                  <c:v>510.1931652852467</c:v>
                </c:pt>
                <c:pt idx="29">
                  <c:v>732.9307372417868</c:v>
                </c:pt>
              </c:numCache>
            </c:numRef>
          </c:xVal>
          <c:yVal>
            <c:numRef>
              <c:f>'Canoe Beach'!$O$2:$O$31</c:f>
              <c:numCache>
                <c:formatCode>0.00</c:formatCode>
                <c:ptCount val="30"/>
                <c:pt idx="0">
                  <c:v>49.04</c:v>
                </c:pt>
                <c:pt idx="1">
                  <c:v>57.28</c:v>
                </c:pt>
                <c:pt idx="2">
                  <c:v>55.71769866157118</c:v>
                </c:pt>
                <c:pt idx="3">
                  <c:v>40.0290000683785</c:v>
                </c:pt>
                <c:pt idx="4">
                  <c:v>55.50334816033796</c:v>
                </c:pt>
                <c:pt idx="5">
                  <c:v>34.4315171047799</c:v>
                </c:pt>
                <c:pt idx="6">
                  <c:v>34.91412007450548</c:v>
                </c:pt>
                <c:pt idx="7">
                  <c:v>24.76965866519754</c:v>
                </c:pt>
                <c:pt idx="8">
                  <c:v>64.14099687811531</c:v>
                </c:pt>
                <c:pt idx="9">
                  <c:v>15.74693475865447</c:v>
                </c:pt>
                <c:pt idx="10">
                  <c:v>28.69209591074653</c:v>
                </c:pt>
                <c:pt idx="11">
                  <c:v>31.94642136085005</c:v>
                </c:pt>
                <c:pt idx="12">
                  <c:v>77.66010450600714</c:v>
                </c:pt>
                <c:pt idx="13">
                  <c:v>34.5362007183324</c:v>
                </c:pt>
                <c:pt idx="14">
                  <c:v>47.01455635257706</c:v>
                </c:pt>
                <c:pt idx="15">
                  <c:v>46.28111043496667</c:v>
                </c:pt>
                <c:pt idx="16">
                  <c:v>71.00225235474655</c:v>
                </c:pt>
                <c:pt idx="17">
                  <c:v>63.57676844110488</c:v>
                </c:pt>
                <c:pt idx="18">
                  <c:v>81.11722102656328</c:v>
                </c:pt>
                <c:pt idx="19">
                  <c:v>79.7062580893111</c:v>
                </c:pt>
                <c:pt idx="20">
                  <c:v>156.1991185503847</c:v>
                </c:pt>
                <c:pt idx="21">
                  <c:v>63.5282076453887</c:v>
                </c:pt>
                <c:pt idx="22">
                  <c:v>84.23631845207052</c:v>
                </c:pt>
                <c:pt idx="23">
                  <c:v>146.9627317399425</c:v>
                </c:pt>
                <c:pt idx="24">
                  <c:v>32.34151563332446</c:v>
                </c:pt>
                <c:pt idx="25">
                  <c:v>161.2738238379062</c:v>
                </c:pt>
                <c:pt idx="26">
                  <c:v>21.75602184222583</c:v>
                </c:pt>
                <c:pt idx="27">
                  <c:v>116.7670998861945</c:v>
                </c:pt>
                <c:pt idx="28">
                  <c:v>33.40564659021273</c:v>
                </c:pt>
                <c:pt idx="29">
                  <c:v>81.55789974367058</c:v>
                </c:pt>
              </c:numCache>
            </c:numRef>
          </c:yVal>
        </c:ser>
        <c:axId val="347643080"/>
        <c:axId val="347653240"/>
      </c:scatterChart>
      <c:valAx>
        <c:axId val="347643080"/>
        <c:scaling>
          <c:orientation val="minMax"/>
        </c:scaling>
        <c:axPos val="b"/>
        <c:title>
          <c:tx>
            <c:rich>
              <a:bodyPr/>
              <a:lstStyle/>
              <a:p>
                <a:pPr>
                  <a:defRPr/>
                </a:pPr>
                <a:r>
                  <a:rPr lang="en-US"/>
                  <a:t>Silicate (ug/L)</a:t>
                </a:r>
              </a:p>
            </c:rich>
          </c:tx>
        </c:title>
        <c:numFmt formatCode="0.00" sourceLinked="1"/>
        <c:tickLblPos val="nextTo"/>
        <c:crossAx val="347653240"/>
        <c:crosses val="autoZero"/>
        <c:crossBetween val="midCat"/>
      </c:valAx>
      <c:valAx>
        <c:axId val="347653240"/>
        <c:scaling>
          <c:orientation val="minMax"/>
        </c:scaling>
        <c:axPos val="l"/>
        <c:majorGridlines/>
        <c:title>
          <c:tx>
            <c:rich>
              <a:bodyPr/>
              <a:lstStyle/>
              <a:p>
                <a:pPr>
                  <a:defRPr/>
                </a:pPr>
                <a:r>
                  <a:rPr lang="en-US"/>
                  <a:t>Nitrates/Nitrites (ug/L)</a:t>
                </a:r>
              </a:p>
            </c:rich>
          </c:tx>
        </c:title>
        <c:numFmt formatCode="0.00" sourceLinked="1"/>
        <c:tickLblPos val="nextTo"/>
        <c:crossAx val="347643080"/>
        <c:crosses val="autoZero"/>
        <c:crossBetween val="midCat"/>
      </c:valAx>
    </c:plotArea>
    <c:plotVisOnly val="1"/>
  </c:chart>
</c:chartSpace>
</file>

<file path=xl/charts/chart3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Wahikuli (RWA)</a:t>
            </a:r>
          </a:p>
        </c:rich>
      </c:tx>
    </c:title>
    <c:plotArea>
      <c:layout/>
      <c:scatterChart>
        <c:scatterStyle val="smoothMarker"/>
        <c:ser>
          <c:idx val="0"/>
          <c:order val="0"/>
          <c:tx>
            <c:strRef>
              <c:f>'Wahikuli Beach'!$I$1</c:f>
              <c:strCache>
                <c:ptCount val="1"/>
                <c:pt idx="0">
                  <c:v>pH</c:v>
                </c:pt>
              </c:strCache>
            </c:strRef>
          </c:tx>
          <c:xVal>
            <c:numRef>
              <c:f>'Wahikuli Beach'!$C$2:$C$34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'Wahikuli Beach'!$I$2:$I$34</c:f>
              <c:numCache>
                <c:formatCode>0.00</c:formatCode>
                <c:ptCount val="33"/>
                <c:pt idx="0">
                  <c:v>8.15</c:v>
                </c:pt>
                <c:pt idx="1">
                  <c:v>8.130000000000001</c:v>
                </c:pt>
                <c:pt idx="2">
                  <c:v>8.16</c:v>
                </c:pt>
                <c:pt idx="3">
                  <c:v>8.15</c:v>
                </c:pt>
                <c:pt idx="4">
                  <c:v>8.16</c:v>
                </c:pt>
                <c:pt idx="5">
                  <c:v>8.06</c:v>
                </c:pt>
                <c:pt idx="6">
                  <c:v>8.23</c:v>
                </c:pt>
                <c:pt idx="7">
                  <c:v>8.05</c:v>
                </c:pt>
                <c:pt idx="8">
                  <c:v>8.17</c:v>
                </c:pt>
                <c:pt idx="9">
                  <c:v>8.09</c:v>
                </c:pt>
                <c:pt idx="10">
                  <c:v>8.15</c:v>
                </c:pt>
                <c:pt idx="11">
                  <c:v>8.12</c:v>
                </c:pt>
                <c:pt idx="12">
                  <c:v>8.130000000000001</c:v>
                </c:pt>
                <c:pt idx="13">
                  <c:v>8.11</c:v>
                </c:pt>
                <c:pt idx="14">
                  <c:v>8.2</c:v>
                </c:pt>
                <c:pt idx="15">
                  <c:v>8.2</c:v>
                </c:pt>
                <c:pt idx="16">
                  <c:v>8.2</c:v>
                </c:pt>
                <c:pt idx="17">
                  <c:v>8.19</c:v>
                </c:pt>
                <c:pt idx="18">
                  <c:v>8.19</c:v>
                </c:pt>
                <c:pt idx="19">
                  <c:v>8.18</c:v>
                </c:pt>
                <c:pt idx="20">
                  <c:v>8.210000000000001</c:v>
                </c:pt>
                <c:pt idx="21">
                  <c:v>8.16</c:v>
                </c:pt>
                <c:pt idx="22">
                  <c:v>8.17</c:v>
                </c:pt>
                <c:pt idx="23">
                  <c:v>8.18</c:v>
                </c:pt>
                <c:pt idx="24">
                  <c:v>8.18</c:v>
                </c:pt>
                <c:pt idx="25">
                  <c:v>8.17</c:v>
                </c:pt>
                <c:pt idx="26">
                  <c:v>8.17</c:v>
                </c:pt>
                <c:pt idx="27">
                  <c:v>8.2</c:v>
                </c:pt>
                <c:pt idx="28">
                  <c:v>8.19</c:v>
                </c:pt>
                <c:pt idx="29">
                  <c:v>8.2</c:v>
                </c:pt>
                <c:pt idx="30">
                  <c:v>8.23</c:v>
                </c:pt>
                <c:pt idx="31">
                  <c:v>8.210000000000001</c:v>
                </c:pt>
                <c:pt idx="32">
                  <c:v>8.2</c:v>
                </c:pt>
              </c:numCache>
            </c:numRef>
          </c:yVal>
          <c:smooth val="1"/>
        </c:ser>
        <c:axId val="474042184"/>
        <c:axId val="474043448"/>
      </c:scatterChart>
      <c:valAx>
        <c:axId val="474042184"/>
        <c:scaling>
          <c:orientation val="minMax"/>
        </c:scaling>
        <c:axPos val="b"/>
        <c:numFmt formatCode="m/d/yy" sourceLinked="1"/>
        <c:tickLblPos val="nextTo"/>
        <c:crossAx val="474043448"/>
        <c:crosses val="autoZero"/>
        <c:crossBetween val="midCat"/>
      </c:valAx>
      <c:valAx>
        <c:axId val="474043448"/>
        <c:scaling>
          <c:orientation val="minMax"/>
          <c:max val="8.3"/>
          <c:min val="7.7"/>
        </c:scaling>
        <c:axPos val="l"/>
        <c:majorGridlines/>
        <c:title>
          <c:tx>
            <c:rich>
              <a:bodyPr/>
              <a:lstStyle/>
              <a:p>
                <a:pPr>
                  <a:defRPr/>
                </a:pPr>
                <a:r>
                  <a:rPr lang="en-US"/>
                  <a:t>pH</a:t>
                </a:r>
              </a:p>
            </c:rich>
          </c:tx>
        </c:title>
        <c:numFmt formatCode="0.00" sourceLinked="1"/>
        <c:tickLblPos val="nextTo"/>
        <c:crossAx val="474042184"/>
        <c:crosses val="autoZero"/>
        <c:crossBetween val="midCat"/>
      </c:valAx>
    </c:plotArea>
    <c:plotVisOnly val="1"/>
  </c:chart>
</c:chartSpace>
</file>

<file path=xl/charts/chart3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Wahikuli (RWA)</a:t>
            </a:r>
          </a:p>
        </c:rich>
      </c:tx>
    </c:title>
    <c:plotArea>
      <c:layout/>
      <c:scatterChart>
        <c:scatterStyle val="smoothMarker"/>
        <c:ser>
          <c:idx val="0"/>
          <c:order val="0"/>
          <c:tx>
            <c:strRef>
              <c:f>'Wahikuli Beach'!$J$1</c:f>
              <c:strCache>
                <c:ptCount val="1"/>
                <c:pt idx="0">
                  <c:v>Turbidity (NTU)</c:v>
                </c:pt>
              </c:strCache>
            </c:strRef>
          </c:tx>
          <c:xVal>
            <c:numRef>
              <c:f>'Wahikuli Beach'!$C$2:$C$34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'Wahikuli Beach'!$J$2:$J$34</c:f>
              <c:numCache>
                <c:formatCode>0.00</c:formatCode>
                <c:ptCount val="33"/>
                <c:pt idx="0">
                  <c:v>3.47</c:v>
                </c:pt>
                <c:pt idx="1">
                  <c:v>3.13</c:v>
                </c:pt>
                <c:pt idx="2">
                  <c:v>3.41</c:v>
                </c:pt>
                <c:pt idx="3">
                  <c:v>3.22</c:v>
                </c:pt>
                <c:pt idx="4">
                  <c:v>0.733333333333333</c:v>
                </c:pt>
                <c:pt idx="5">
                  <c:v>0.633333333333333</c:v>
                </c:pt>
                <c:pt idx="6">
                  <c:v>3.236666666666667</c:v>
                </c:pt>
                <c:pt idx="7">
                  <c:v>3.186666666666667</c:v>
                </c:pt>
                <c:pt idx="8">
                  <c:v>1.843333333333333</c:v>
                </c:pt>
                <c:pt idx="9">
                  <c:v>0.9</c:v>
                </c:pt>
                <c:pt idx="10">
                  <c:v>0.91</c:v>
                </c:pt>
                <c:pt idx="11">
                  <c:v>1.416666666666667</c:v>
                </c:pt>
                <c:pt idx="12">
                  <c:v>1.49</c:v>
                </c:pt>
                <c:pt idx="13">
                  <c:v>0.973333333333333</c:v>
                </c:pt>
                <c:pt idx="14">
                  <c:v>0.93</c:v>
                </c:pt>
                <c:pt idx="15">
                  <c:v>1.146666666666667</c:v>
                </c:pt>
                <c:pt idx="16">
                  <c:v>1.036666666666667</c:v>
                </c:pt>
                <c:pt idx="17">
                  <c:v>2.113333333333333</c:v>
                </c:pt>
                <c:pt idx="18">
                  <c:v>0.633333333333333</c:v>
                </c:pt>
                <c:pt idx="19">
                  <c:v>0.923333333333333</c:v>
                </c:pt>
                <c:pt idx="20">
                  <c:v>0.776666666666667</c:v>
                </c:pt>
                <c:pt idx="21">
                  <c:v>3.103333333333333</c:v>
                </c:pt>
                <c:pt idx="22">
                  <c:v>4.976666666666666</c:v>
                </c:pt>
                <c:pt idx="23">
                  <c:v>0.67</c:v>
                </c:pt>
                <c:pt idx="24">
                  <c:v>0.56</c:v>
                </c:pt>
                <c:pt idx="25">
                  <c:v>1.566666666666667</c:v>
                </c:pt>
                <c:pt idx="26">
                  <c:v>1.246666666666667</c:v>
                </c:pt>
                <c:pt idx="27">
                  <c:v>0.496666666666667</c:v>
                </c:pt>
                <c:pt idx="28">
                  <c:v>6.586666666666666</c:v>
                </c:pt>
                <c:pt idx="29">
                  <c:v>1.206666666666667</c:v>
                </c:pt>
                <c:pt idx="30">
                  <c:v>1.566666666666667</c:v>
                </c:pt>
                <c:pt idx="31">
                  <c:v>1.213333333333333</c:v>
                </c:pt>
                <c:pt idx="32">
                  <c:v>2.02</c:v>
                </c:pt>
              </c:numCache>
            </c:numRef>
          </c:yVal>
          <c:smooth val="1"/>
        </c:ser>
        <c:axId val="474461064"/>
        <c:axId val="474454104"/>
      </c:scatterChart>
      <c:valAx>
        <c:axId val="474461064"/>
        <c:scaling>
          <c:orientation val="minMax"/>
        </c:scaling>
        <c:axPos val="b"/>
        <c:numFmt formatCode="m/d/yy" sourceLinked="1"/>
        <c:tickLblPos val="nextTo"/>
        <c:crossAx val="474454104"/>
        <c:crosses val="autoZero"/>
        <c:crossBetween val="midCat"/>
      </c:valAx>
      <c:valAx>
        <c:axId val="474454104"/>
        <c:scaling>
          <c:orientation val="minMax"/>
          <c:max val="10.0"/>
        </c:scaling>
        <c:axPos val="l"/>
        <c:majorGridlines/>
        <c:title>
          <c:tx>
            <c:rich>
              <a:bodyPr/>
              <a:lstStyle/>
              <a:p>
                <a:pPr>
                  <a:defRPr/>
                </a:pPr>
                <a:r>
                  <a:rPr lang="en-US"/>
                  <a:t>Turbidity (NTU)</a:t>
                </a:r>
              </a:p>
            </c:rich>
          </c:tx>
        </c:title>
        <c:numFmt formatCode="0.00" sourceLinked="1"/>
        <c:tickLblPos val="nextTo"/>
        <c:crossAx val="474461064"/>
        <c:crosses val="autoZero"/>
        <c:crossBetween val="midCat"/>
      </c:valAx>
    </c:plotArea>
    <c:plotVisOnly val="1"/>
  </c:chart>
</c:chartSpace>
</file>

<file path=xl/charts/chart3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Wahikuli (RWA)</a:t>
            </a:r>
          </a:p>
        </c:rich>
      </c:tx>
    </c:title>
    <c:plotArea>
      <c:layout/>
      <c:scatterChart>
        <c:scatterStyle val="smoothMarker"/>
        <c:ser>
          <c:idx val="0"/>
          <c:order val="0"/>
          <c:tx>
            <c:strRef>
              <c:f>'Wahikuli Beach'!$E$1</c:f>
              <c:strCache>
                <c:ptCount val="1"/>
                <c:pt idx="0">
                  <c:v>Temp (degrees C)</c:v>
                </c:pt>
              </c:strCache>
            </c:strRef>
          </c:tx>
          <c:xVal>
            <c:numRef>
              <c:f>'Wahikuli Beach'!$C$2:$C$34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'Wahikuli Beach'!$E$2:$E$34</c:f>
              <c:numCache>
                <c:formatCode>0.0</c:formatCode>
                <c:ptCount val="33"/>
                <c:pt idx="0">
                  <c:v>27.3</c:v>
                </c:pt>
                <c:pt idx="1">
                  <c:v>26.9</c:v>
                </c:pt>
                <c:pt idx="2">
                  <c:v>27.4</c:v>
                </c:pt>
                <c:pt idx="3">
                  <c:v>27.4</c:v>
                </c:pt>
                <c:pt idx="4">
                  <c:v>27.2</c:v>
                </c:pt>
                <c:pt idx="5">
                  <c:v>28.0</c:v>
                </c:pt>
                <c:pt idx="6">
                  <c:v>27.8</c:v>
                </c:pt>
                <c:pt idx="7">
                  <c:v>27.4</c:v>
                </c:pt>
                <c:pt idx="8">
                  <c:v>27.8</c:v>
                </c:pt>
                <c:pt idx="9">
                  <c:v>27.3</c:v>
                </c:pt>
                <c:pt idx="10">
                  <c:v>26.4</c:v>
                </c:pt>
                <c:pt idx="11">
                  <c:v>26.4</c:v>
                </c:pt>
                <c:pt idx="12">
                  <c:v>25.4</c:v>
                </c:pt>
                <c:pt idx="13">
                  <c:v>25.3</c:v>
                </c:pt>
                <c:pt idx="14">
                  <c:v>24.8</c:v>
                </c:pt>
                <c:pt idx="15">
                  <c:v>24.5</c:v>
                </c:pt>
                <c:pt idx="16">
                  <c:v>24.7</c:v>
                </c:pt>
                <c:pt idx="17">
                  <c:v>24.9</c:v>
                </c:pt>
                <c:pt idx="18">
                  <c:v>25.4</c:v>
                </c:pt>
                <c:pt idx="19">
                  <c:v>25.9</c:v>
                </c:pt>
                <c:pt idx="20">
                  <c:v>26.0</c:v>
                </c:pt>
                <c:pt idx="21">
                  <c:v>26.4</c:v>
                </c:pt>
                <c:pt idx="22">
                  <c:v>26.9</c:v>
                </c:pt>
                <c:pt idx="23">
                  <c:v>27.3</c:v>
                </c:pt>
                <c:pt idx="24">
                  <c:v>27.6</c:v>
                </c:pt>
                <c:pt idx="25">
                  <c:v>27.1</c:v>
                </c:pt>
                <c:pt idx="26">
                  <c:v>28.0</c:v>
                </c:pt>
                <c:pt idx="27">
                  <c:v>27.6</c:v>
                </c:pt>
                <c:pt idx="28">
                  <c:v>26.9</c:v>
                </c:pt>
                <c:pt idx="29">
                  <c:v>27.2</c:v>
                </c:pt>
                <c:pt idx="30">
                  <c:v>25.1</c:v>
                </c:pt>
                <c:pt idx="31">
                  <c:v>24.9</c:v>
                </c:pt>
                <c:pt idx="32">
                  <c:v>24.9</c:v>
                </c:pt>
              </c:numCache>
            </c:numRef>
          </c:yVal>
          <c:smooth val="1"/>
        </c:ser>
        <c:axId val="474502792"/>
        <c:axId val="474495864"/>
      </c:scatterChart>
      <c:valAx>
        <c:axId val="474502792"/>
        <c:scaling>
          <c:orientation val="minMax"/>
        </c:scaling>
        <c:axPos val="b"/>
        <c:numFmt formatCode="m/d/yy" sourceLinked="1"/>
        <c:tickLblPos val="nextTo"/>
        <c:crossAx val="474495864"/>
        <c:crosses val="autoZero"/>
        <c:crossBetween val="midCat"/>
      </c:valAx>
      <c:valAx>
        <c:axId val="474495864"/>
        <c:scaling>
          <c:orientation val="minMax"/>
          <c:max val="29.0"/>
          <c:min val="22.0"/>
        </c:scaling>
        <c:axPos val="l"/>
        <c:majorGridlines/>
        <c:title>
          <c:tx>
            <c:rich>
              <a:bodyPr/>
              <a:lstStyle/>
              <a:p>
                <a:pPr>
                  <a:defRPr/>
                </a:pPr>
                <a:r>
                  <a:rPr lang="en-US"/>
                  <a:t>Temperature (Celcius)</a:t>
                </a:r>
              </a:p>
            </c:rich>
          </c:tx>
        </c:title>
        <c:numFmt formatCode="0.0" sourceLinked="1"/>
        <c:tickLblPos val="nextTo"/>
        <c:crossAx val="474502792"/>
        <c:crosses val="autoZero"/>
        <c:crossBetween val="midCat"/>
      </c:valAx>
    </c:plotArea>
    <c:plotVisOnly val="1"/>
  </c:chart>
</c:chartSpace>
</file>

<file path=xl/charts/chart3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Wahikuli Nitrogen vs Silicate (RWA)</a:t>
            </a:r>
          </a:p>
        </c:rich>
      </c:tx>
    </c:title>
    <c:plotArea>
      <c:layout/>
      <c:scatterChart>
        <c:scatterStyle val="smoothMarker"/>
        <c:ser>
          <c:idx val="0"/>
          <c:order val="0"/>
          <c:tx>
            <c:strRef>
              <c:f>'Wahikuli Beach'!$K$1</c:f>
              <c:strCache>
                <c:ptCount val="1"/>
                <c:pt idx="0">
                  <c:v>Total N (ug/L)</c:v>
                </c:pt>
              </c:strCache>
            </c:strRef>
          </c:tx>
          <c:xVal>
            <c:numRef>
              <c:f>'Wahikuli Beach'!$C$2:$C$31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'Wahikuli Beach'!$K$2:$K$31</c:f>
              <c:numCache>
                <c:formatCode>0.00</c:formatCode>
                <c:ptCount val="30"/>
                <c:pt idx="0">
                  <c:v>84.6</c:v>
                </c:pt>
                <c:pt idx="1">
                  <c:v>83.6</c:v>
                </c:pt>
                <c:pt idx="2">
                  <c:v>83.0661571073172</c:v>
                </c:pt>
                <c:pt idx="3">
                  <c:v>87.80667564568921</c:v>
                </c:pt>
                <c:pt idx="4">
                  <c:v>63.2680590131371</c:v>
                </c:pt>
                <c:pt idx="5">
                  <c:v>71.24726484741623</c:v>
                </c:pt>
                <c:pt idx="6">
                  <c:v>68.39523115837909</c:v>
                </c:pt>
                <c:pt idx="7">
                  <c:v>149.7978344325523</c:v>
                </c:pt>
                <c:pt idx="8">
                  <c:v>67.4057500825907</c:v>
                </c:pt>
                <c:pt idx="9">
                  <c:v>78.88010856182568</c:v>
                </c:pt>
                <c:pt idx="10">
                  <c:v>79.03980704369836</c:v>
                </c:pt>
                <c:pt idx="11">
                  <c:v>88.51397551499184</c:v>
                </c:pt>
                <c:pt idx="12">
                  <c:v>94.78530358309805</c:v>
                </c:pt>
                <c:pt idx="13">
                  <c:v>74.44514189241694</c:v>
                </c:pt>
                <c:pt idx="14">
                  <c:v>85.83813202705012</c:v>
                </c:pt>
                <c:pt idx="15">
                  <c:v>117.2289061707928</c:v>
                </c:pt>
                <c:pt idx="16">
                  <c:v>95.60373928688831</c:v>
                </c:pt>
                <c:pt idx="17">
                  <c:v>99.9830617855535</c:v>
                </c:pt>
                <c:pt idx="18">
                  <c:v>102.96</c:v>
                </c:pt>
                <c:pt idx="19">
                  <c:v>131.3217257246689</c:v>
                </c:pt>
                <c:pt idx="20">
                  <c:v>113.9411151436056</c:v>
                </c:pt>
                <c:pt idx="21">
                  <c:v>91.94694411109816</c:v>
                </c:pt>
                <c:pt idx="22">
                  <c:v>81.95459435707537</c:v>
                </c:pt>
                <c:pt idx="23">
                  <c:v>78.21094011481075</c:v>
                </c:pt>
                <c:pt idx="24">
                  <c:v>82.82075076080493</c:v>
                </c:pt>
                <c:pt idx="25">
                  <c:v>91.58758680996365</c:v>
                </c:pt>
                <c:pt idx="26">
                  <c:v>56.85221924730892</c:v>
                </c:pt>
                <c:pt idx="27">
                  <c:v>118.539782632998</c:v>
                </c:pt>
                <c:pt idx="28">
                  <c:v>82.0004195422972</c:v>
                </c:pt>
                <c:pt idx="29">
                  <c:v>75.0104689727747</c:v>
                </c:pt>
              </c:numCache>
            </c:numRef>
          </c:yVal>
          <c:smooth val="1"/>
        </c:ser>
        <c:ser>
          <c:idx val="2"/>
          <c:order val="2"/>
          <c:tx>
            <c:strRef>
              <c:f>'Wahikuli Beach'!$O$1</c:f>
              <c:strCache>
                <c:ptCount val="1"/>
                <c:pt idx="0">
                  <c:v>NNN (ug/L)</c:v>
                </c:pt>
              </c:strCache>
            </c:strRef>
          </c:tx>
          <c:xVal>
            <c:numRef>
              <c:f>'Wahikuli Beach'!$C$2:$C$31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'Wahikuli Beach'!$O$2:$O$31</c:f>
              <c:numCache>
                <c:formatCode>0.00</c:formatCode>
                <c:ptCount val="30"/>
                <c:pt idx="0">
                  <c:v>21.35</c:v>
                </c:pt>
                <c:pt idx="1">
                  <c:v>15.03</c:v>
                </c:pt>
                <c:pt idx="2">
                  <c:v>15.73981789086391</c:v>
                </c:pt>
                <c:pt idx="3">
                  <c:v>13.18763904513234</c:v>
                </c:pt>
                <c:pt idx="4">
                  <c:v>7.887896718573466</c:v>
                </c:pt>
                <c:pt idx="5">
                  <c:v>10.40548347237525</c:v>
                </c:pt>
                <c:pt idx="6">
                  <c:v>9.973100608636338</c:v>
                </c:pt>
                <c:pt idx="7">
                  <c:v>10.42998108505168</c:v>
                </c:pt>
                <c:pt idx="8">
                  <c:v>10.06986617870822</c:v>
                </c:pt>
                <c:pt idx="9">
                  <c:v>12.56821662942671</c:v>
                </c:pt>
                <c:pt idx="10">
                  <c:v>14.06999251629886</c:v>
                </c:pt>
                <c:pt idx="11">
                  <c:v>43.33029670612241</c:v>
                </c:pt>
                <c:pt idx="12">
                  <c:v>37.27558468635167</c:v>
                </c:pt>
                <c:pt idx="13">
                  <c:v>28.96509617857113</c:v>
                </c:pt>
                <c:pt idx="14">
                  <c:v>10.13461133845316</c:v>
                </c:pt>
                <c:pt idx="15">
                  <c:v>56.57993914699967</c:v>
                </c:pt>
                <c:pt idx="16">
                  <c:v>29.91935125410096</c:v>
                </c:pt>
                <c:pt idx="17">
                  <c:v>37.20153852259497</c:v>
                </c:pt>
                <c:pt idx="18">
                  <c:v>37.51</c:v>
                </c:pt>
                <c:pt idx="19">
                  <c:v>40.97146360376697</c:v>
                </c:pt>
                <c:pt idx="20">
                  <c:v>35.72158312399892</c:v>
                </c:pt>
                <c:pt idx="21">
                  <c:v>34.85553491421734</c:v>
                </c:pt>
                <c:pt idx="22">
                  <c:v>19.33322494002295</c:v>
                </c:pt>
                <c:pt idx="23">
                  <c:v>22.20821127151583</c:v>
                </c:pt>
                <c:pt idx="24">
                  <c:v>11.79182130727224</c:v>
                </c:pt>
                <c:pt idx="25">
                  <c:v>25.45508266182738</c:v>
                </c:pt>
                <c:pt idx="26">
                  <c:v>5.874912148190339</c:v>
                </c:pt>
                <c:pt idx="27">
                  <c:v>24.31084496191893</c:v>
                </c:pt>
                <c:pt idx="28">
                  <c:v>17.75184618751641</c:v>
                </c:pt>
                <c:pt idx="29">
                  <c:v>12.17154085507107</c:v>
                </c:pt>
              </c:numCache>
            </c:numRef>
          </c:yVal>
          <c:smooth val="1"/>
        </c:ser>
        <c:axId val="474561640"/>
        <c:axId val="474569496"/>
      </c:scatterChart>
      <c:scatterChart>
        <c:scatterStyle val="smoothMarker"/>
        <c:ser>
          <c:idx val="1"/>
          <c:order val="1"/>
          <c:tx>
            <c:strRef>
              <c:f>'Wahikuli Beach'!$N$1</c:f>
              <c:strCache>
                <c:ptCount val="1"/>
                <c:pt idx="0">
                  <c:v>Silicate (ug/L)</c:v>
                </c:pt>
              </c:strCache>
            </c:strRef>
          </c:tx>
          <c:xVal>
            <c:numRef>
              <c:f>'Wahikuli Beach'!$C$2:$C$31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'Wahikuli Beach'!$N$2:$N$31</c:f>
              <c:numCache>
                <c:formatCode>0.00</c:formatCode>
                <c:ptCount val="30"/>
                <c:pt idx="0">
                  <c:v>822.08</c:v>
                </c:pt>
                <c:pt idx="1">
                  <c:v>633.71</c:v>
                </c:pt>
                <c:pt idx="2">
                  <c:v>617.5356729630162</c:v>
                </c:pt>
                <c:pt idx="3">
                  <c:v>467.6254978882098</c:v>
                </c:pt>
                <c:pt idx="4">
                  <c:v>268.632957407242</c:v>
                </c:pt>
                <c:pt idx="5">
                  <c:v>224.5858946741421</c:v>
                </c:pt>
                <c:pt idx="6">
                  <c:v>355.6327870265465</c:v>
                </c:pt>
                <c:pt idx="7">
                  <c:v>385.1816634786628</c:v>
                </c:pt>
                <c:pt idx="8">
                  <c:v>319.779281088744</c:v>
                </c:pt>
                <c:pt idx="9">
                  <c:v>489.0545633843607</c:v>
                </c:pt>
                <c:pt idx="10">
                  <c:v>448.8665698002436</c:v>
                </c:pt>
                <c:pt idx="11">
                  <c:v>1414.995675430657</c:v>
                </c:pt>
                <c:pt idx="12">
                  <c:v>908.6406657048159</c:v>
                </c:pt>
                <c:pt idx="13">
                  <c:v>760.9317349971681</c:v>
                </c:pt>
                <c:pt idx="14">
                  <c:v>223.380041850303</c:v>
                </c:pt>
                <c:pt idx="15">
                  <c:v>953.9595948184906</c:v>
                </c:pt>
                <c:pt idx="16">
                  <c:v>490.8850069034552</c:v>
                </c:pt>
                <c:pt idx="17">
                  <c:v>742.35551987682</c:v>
                </c:pt>
                <c:pt idx="18">
                  <c:v>768.9</c:v>
                </c:pt>
                <c:pt idx="19">
                  <c:v>1191.849723013044</c:v>
                </c:pt>
                <c:pt idx="20">
                  <c:v>983.7637734271953</c:v>
                </c:pt>
                <c:pt idx="21">
                  <c:v>1009.810916096086</c:v>
                </c:pt>
                <c:pt idx="22">
                  <c:v>689.4917031738278</c:v>
                </c:pt>
                <c:pt idx="23">
                  <c:v>528.0317585046678</c:v>
                </c:pt>
                <c:pt idx="24">
                  <c:v>315.3460755855535</c:v>
                </c:pt>
                <c:pt idx="25">
                  <c:v>677.1844303309433</c:v>
                </c:pt>
                <c:pt idx="26">
                  <c:v>317.6399692861933</c:v>
                </c:pt>
                <c:pt idx="27">
                  <c:v>759.6128025488778</c:v>
                </c:pt>
                <c:pt idx="28">
                  <c:v>419.9567232659086</c:v>
                </c:pt>
                <c:pt idx="29">
                  <c:v>403.4008837196516</c:v>
                </c:pt>
              </c:numCache>
            </c:numRef>
          </c:yVal>
          <c:smooth val="1"/>
        </c:ser>
        <c:axId val="474581656"/>
        <c:axId val="474575480"/>
      </c:scatterChart>
      <c:valAx>
        <c:axId val="474561640"/>
        <c:scaling>
          <c:orientation val="minMax"/>
        </c:scaling>
        <c:axPos val="b"/>
        <c:numFmt formatCode="m/d/yy" sourceLinked="1"/>
        <c:tickLblPos val="nextTo"/>
        <c:crossAx val="474569496"/>
        <c:crosses val="autoZero"/>
        <c:crossBetween val="midCat"/>
      </c:valAx>
      <c:valAx>
        <c:axId val="474569496"/>
        <c:scaling>
          <c:orientation val="minMax"/>
        </c:scaling>
        <c:axPos val="l"/>
        <c:majorGridlines/>
        <c:title>
          <c:tx>
            <c:rich>
              <a:bodyPr/>
              <a:lstStyle/>
              <a:p>
                <a:pPr>
                  <a:defRPr/>
                </a:pPr>
                <a:r>
                  <a:rPr lang="en-US"/>
                  <a:t>Nitrogen/Nitrates (ug/L)</a:t>
                </a:r>
              </a:p>
            </c:rich>
          </c:tx>
        </c:title>
        <c:numFmt formatCode="0.00" sourceLinked="1"/>
        <c:tickLblPos val="nextTo"/>
        <c:crossAx val="474561640"/>
        <c:crosses val="autoZero"/>
        <c:crossBetween val="midCat"/>
      </c:valAx>
      <c:valAx>
        <c:axId val="474575480"/>
        <c:scaling>
          <c:orientation val="minMax"/>
        </c:scaling>
        <c:axPos val="r"/>
        <c:title>
          <c:tx>
            <c:rich>
              <a:bodyPr/>
              <a:lstStyle/>
              <a:p>
                <a:pPr>
                  <a:defRPr/>
                </a:pPr>
                <a:r>
                  <a:rPr lang="en-US"/>
                  <a:t>Silicate (ug/L)</a:t>
                </a:r>
              </a:p>
            </c:rich>
          </c:tx>
        </c:title>
        <c:numFmt formatCode="0.00" sourceLinked="1"/>
        <c:tickLblPos val="nextTo"/>
        <c:crossAx val="474581656"/>
        <c:crosses val="max"/>
        <c:crossBetween val="midCat"/>
      </c:valAx>
      <c:valAx>
        <c:axId val="474581656"/>
        <c:scaling>
          <c:orientation val="minMax"/>
        </c:scaling>
        <c:delete val="1"/>
        <c:axPos val="b"/>
        <c:numFmt formatCode="m/d/yy" sourceLinked="1"/>
        <c:tickLblPos val="nextTo"/>
        <c:crossAx val="474575480"/>
        <c:crosses val="autoZero"/>
        <c:crossBetween val="midCat"/>
      </c:valAx>
    </c:plotArea>
    <c:legend>
      <c:legendPos val="t"/>
    </c:legend>
    <c:plotVisOnly val="1"/>
  </c:chart>
</c:chartSpace>
</file>

<file path=xl/charts/chart38.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lineMarker"/>
        <c:ser>
          <c:idx val="0"/>
          <c:order val="0"/>
          <c:tx>
            <c:strRef>
              <c:f>'Wahikuli Beach'!$O$1</c:f>
              <c:strCache>
                <c:ptCount val="1"/>
                <c:pt idx="0">
                  <c:v>NNN (ug/L)</c:v>
                </c:pt>
              </c:strCache>
            </c:strRef>
          </c:tx>
          <c:spPr>
            <a:ln w="28575">
              <a:noFill/>
            </a:ln>
          </c:spPr>
          <c:trendline>
            <c:trendlineType val="linear"/>
            <c:dispRSqr val="1"/>
            <c:dispEq val="1"/>
            <c:trendlineLbl>
              <c:layout>
                <c:manualLayout>
                  <c:x val="0.103475962212246"/>
                  <c:y val="-0.384922287529633"/>
                </c:manualLayout>
              </c:layout>
              <c:numFmt formatCode="General" sourceLinked="0"/>
            </c:trendlineLbl>
          </c:trendline>
          <c:xVal>
            <c:numRef>
              <c:f>'Wahikuli Beach'!$N$2:$N$31</c:f>
              <c:numCache>
                <c:formatCode>0.00</c:formatCode>
                <c:ptCount val="30"/>
                <c:pt idx="0">
                  <c:v>822.08</c:v>
                </c:pt>
                <c:pt idx="1">
                  <c:v>633.71</c:v>
                </c:pt>
                <c:pt idx="2">
                  <c:v>617.5356729630162</c:v>
                </c:pt>
                <c:pt idx="3">
                  <c:v>467.6254978882098</c:v>
                </c:pt>
                <c:pt idx="4">
                  <c:v>268.632957407242</c:v>
                </c:pt>
                <c:pt idx="5">
                  <c:v>224.5858946741421</c:v>
                </c:pt>
                <c:pt idx="6">
                  <c:v>355.6327870265465</c:v>
                </c:pt>
                <c:pt idx="7">
                  <c:v>385.1816634786628</c:v>
                </c:pt>
                <c:pt idx="8">
                  <c:v>319.779281088744</c:v>
                </c:pt>
                <c:pt idx="9">
                  <c:v>489.0545633843607</c:v>
                </c:pt>
                <c:pt idx="10">
                  <c:v>448.8665698002436</c:v>
                </c:pt>
                <c:pt idx="11">
                  <c:v>1414.995675430657</c:v>
                </c:pt>
                <c:pt idx="12">
                  <c:v>908.6406657048159</c:v>
                </c:pt>
                <c:pt idx="13">
                  <c:v>760.9317349971681</c:v>
                </c:pt>
                <c:pt idx="14">
                  <c:v>223.380041850303</c:v>
                </c:pt>
                <c:pt idx="15">
                  <c:v>953.9595948184906</c:v>
                </c:pt>
                <c:pt idx="16">
                  <c:v>490.8850069034552</c:v>
                </c:pt>
                <c:pt idx="17">
                  <c:v>742.35551987682</c:v>
                </c:pt>
                <c:pt idx="18">
                  <c:v>768.9</c:v>
                </c:pt>
                <c:pt idx="19">
                  <c:v>1191.849723013044</c:v>
                </c:pt>
                <c:pt idx="20">
                  <c:v>983.7637734271953</c:v>
                </c:pt>
                <c:pt idx="21">
                  <c:v>1009.810916096086</c:v>
                </c:pt>
                <c:pt idx="22">
                  <c:v>689.4917031738278</c:v>
                </c:pt>
                <c:pt idx="23">
                  <c:v>528.0317585046678</c:v>
                </c:pt>
                <c:pt idx="24">
                  <c:v>315.3460755855535</c:v>
                </c:pt>
                <c:pt idx="25">
                  <c:v>677.1844303309433</c:v>
                </c:pt>
                <c:pt idx="26">
                  <c:v>317.6399692861933</c:v>
                </c:pt>
                <c:pt idx="27">
                  <c:v>759.6128025488778</c:v>
                </c:pt>
                <c:pt idx="28">
                  <c:v>419.9567232659086</c:v>
                </c:pt>
                <c:pt idx="29">
                  <c:v>403.4008837196516</c:v>
                </c:pt>
              </c:numCache>
            </c:numRef>
          </c:xVal>
          <c:yVal>
            <c:numRef>
              <c:f>'Wahikuli Beach'!$O$2:$O$31</c:f>
              <c:numCache>
                <c:formatCode>0.00</c:formatCode>
                <c:ptCount val="30"/>
                <c:pt idx="0">
                  <c:v>21.35</c:v>
                </c:pt>
                <c:pt idx="1">
                  <c:v>15.03</c:v>
                </c:pt>
                <c:pt idx="2">
                  <c:v>15.73981789086391</c:v>
                </c:pt>
                <c:pt idx="3">
                  <c:v>13.18763904513234</c:v>
                </c:pt>
                <c:pt idx="4">
                  <c:v>7.887896718573466</c:v>
                </c:pt>
                <c:pt idx="5">
                  <c:v>10.40548347237525</c:v>
                </c:pt>
                <c:pt idx="6">
                  <c:v>9.973100608636338</c:v>
                </c:pt>
                <c:pt idx="7">
                  <c:v>10.42998108505168</c:v>
                </c:pt>
                <c:pt idx="8">
                  <c:v>10.06986617870822</c:v>
                </c:pt>
                <c:pt idx="9">
                  <c:v>12.56821662942671</c:v>
                </c:pt>
                <c:pt idx="10">
                  <c:v>14.06999251629886</c:v>
                </c:pt>
                <c:pt idx="11">
                  <c:v>43.33029670612241</c:v>
                </c:pt>
                <c:pt idx="12">
                  <c:v>37.27558468635167</c:v>
                </c:pt>
                <c:pt idx="13">
                  <c:v>28.96509617857113</c:v>
                </c:pt>
                <c:pt idx="14">
                  <c:v>10.13461133845316</c:v>
                </c:pt>
                <c:pt idx="15">
                  <c:v>56.57993914699967</c:v>
                </c:pt>
                <c:pt idx="16">
                  <c:v>29.91935125410096</c:v>
                </c:pt>
                <c:pt idx="17">
                  <c:v>37.20153852259497</c:v>
                </c:pt>
                <c:pt idx="18">
                  <c:v>37.51</c:v>
                </c:pt>
                <c:pt idx="19">
                  <c:v>40.97146360376697</c:v>
                </c:pt>
                <c:pt idx="20">
                  <c:v>35.72158312399892</c:v>
                </c:pt>
                <c:pt idx="21">
                  <c:v>34.85553491421734</c:v>
                </c:pt>
                <c:pt idx="22">
                  <c:v>19.33322494002295</c:v>
                </c:pt>
                <c:pt idx="23">
                  <c:v>22.20821127151583</c:v>
                </c:pt>
                <c:pt idx="24">
                  <c:v>11.79182130727224</c:v>
                </c:pt>
                <c:pt idx="25">
                  <c:v>25.45508266182738</c:v>
                </c:pt>
                <c:pt idx="26">
                  <c:v>5.874912148190339</c:v>
                </c:pt>
                <c:pt idx="27">
                  <c:v>24.31084496191893</c:v>
                </c:pt>
                <c:pt idx="28">
                  <c:v>17.75184618751641</c:v>
                </c:pt>
                <c:pt idx="29">
                  <c:v>12.17154085507107</c:v>
                </c:pt>
              </c:numCache>
            </c:numRef>
          </c:yVal>
        </c:ser>
        <c:axId val="473829800"/>
        <c:axId val="473832680"/>
      </c:scatterChart>
      <c:valAx>
        <c:axId val="473829800"/>
        <c:scaling>
          <c:orientation val="minMax"/>
        </c:scaling>
        <c:axPos val="b"/>
        <c:numFmt formatCode="0.00" sourceLinked="1"/>
        <c:tickLblPos val="nextTo"/>
        <c:crossAx val="473832680"/>
        <c:crosses val="autoZero"/>
        <c:crossBetween val="midCat"/>
      </c:valAx>
      <c:valAx>
        <c:axId val="473832680"/>
        <c:scaling>
          <c:orientation val="minMax"/>
        </c:scaling>
        <c:axPos val="l"/>
        <c:majorGridlines/>
        <c:numFmt formatCode="0.00" sourceLinked="1"/>
        <c:tickLblPos val="nextTo"/>
        <c:crossAx val="473829800"/>
        <c:crosses val="autoZero"/>
        <c:crossBetween val="midCat"/>
      </c:valAx>
    </c:plotArea>
    <c:plotVisOnly val="1"/>
  </c:chart>
</c:chartSpace>
</file>

<file path=xl/charts/chart39.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'Wahikuli Beach'!$F$1</c:f>
              <c:strCache>
                <c:ptCount val="1"/>
                <c:pt idx="0">
                  <c:v>Salinity (ppt)</c:v>
                </c:pt>
              </c:strCache>
            </c:strRef>
          </c:tx>
          <c:xVal>
            <c:numRef>
              <c:f>'Wahikuli Beach'!$C$2:$C$35</c:f>
              <c:numCache>
                <c:formatCode>m/d/yy</c:formatCode>
                <c:ptCount val="34"/>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pt idx="33">
                  <c:v>43130.0</c:v>
                </c:pt>
              </c:numCache>
            </c:numRef>
          </c:xVal>
          <c:yVal>
            <c:numRef>
              <c:f>'Wahikuli Beach'!$F$2:$F$35</c:f>
              <c:numCache>
                <c:formatCode>0.0</c:formatCode>
                <c:ptCount val="34"/>
                <c:pt idx="0">
                  <c:v>34.6</c:v>
                </c:pt>
                <c:pt idx="1">
                  <c:v>27.9</c:v>
                </c:pt>
                <c:pt idx="2">
                  <c:v>35.7</c:v>
                </c:pt>
                <c:pt idx="3">
                  <c:v>34.8</c:v>
                </c:pt>
                <c:pt idx="4">
                  <c:v>35.3</c:v>
                </c:pt>
                <c:pt idx="5">
                  <c:v>35.7</c:v>
                </c:pt>
                <c:pt idx="6">
                  <c:v>35.4</c:v>
                </c:pt>
                <c:pt idx="7">
                  <c:v>36.7</c:v>
                </c:pt>
                <c:pt idx="8">
                  <c:v>34.6</c:v>
                </c:pt>
                <c:pt idx="9">
                  <c:v>36.6</c:v>
                </c:pt>
                <c:pt idx="10">
                  <c:v>34.4</c:v>
                </c:pt>
                <c:pt idx="11">
                  <c:v>33.3</c:v>
                </c:pt>
                <c:pt idx="12">
                  <c:v>33.6</c:v>
                </c:pt>
                <c:pt idx="13">
                  <c:v>34.1</c:v>
                </c:pt>
                <c:pt idx="14">
                  <c:v>34.9</c:v>
                </c:pt>
                <c:pt idx="15">
                  <c:v>34.7</c:v>
                </c:pt>
                <c:pt idx="16">
                  <c:v>33.9</c:v>
                </c:pt>
                <c:pt idx="17">
                  <c:v>32.9</c:v>
                </c:pt>
                <c:pt idx="18">
                  <c:v>32.9</c:v>
                </c:pt>
                <c:pt idx="19">
                  <c:v>33.0</c:v>
                </c:pt>
                <c:pt idx="20">
                  <c:v>33.0</c:v>
                </c:pt>
                <c:pt idx="21">
                  <c:v>33.8</c:v>
                </c:pt>
                <c:pt idx="22">
                  <c:v>33.9</c:v>
                </c:pt>
                <c:pt idx="23">
                  <c:v>34.1</c:v>
                </c:pt>
                <c:pt idx="24">
                  <c:v>34.2</c:v>
                </c:pt>
                <c:pt idx="25">
                  <c:v>34.0</c:v>
                </c:pt>
                <c:pt idx="26">
                  <c:v>34.6</c:v>
                </c:pt>
                <c:pt idx="27">
                  <c:v>33.4</c:v>
                </c:pt>
                <c:pt idx="28">
                  <c:v>33.1</c:v>
                </c:pt>
                <c:pt idx="29">
                  <c:v>34.5</c:v>
                </c:pt>
                <c:pt idx="30">
                  <c:v>33.8</c:v>
                </c:pt>
                <c:pt idx="31">
                  <c:v>33.1</c:v>
                </c:pt>
                <c:pt idx="32">
                  <c:v>33.5</c:v>
                </c:pt>
                <c:pt idx="33">
                  <c:v>33.2</c:v>
                </c:pt>
              </c:numCache>
            </c:numRef>
          </c:yVal>
          <c:smooth val="1"/>
        </c:ser>
        <c:axId val="473860456"/>
        <c:axId val="473863576"/>
      </c:scatterChart>
      <c:valAx>
        <c:axId val="473860456"/>
        <c:scaling>
          <c:orientation val="minMax"/>
        </c:scaling>
        <c:axPos val="b"/>
        <c:numFmt formatCode="m/d/yy" sourceLinked="1"/>
        <c:tickLblPos val="nextTo"/>
        <c:crossAx val="473863576"/>
        <c:crosses val="autoZero"/>
        <c:crossBetween val="midCat"/>
      </c:valAx>
      <c:valAx>
        <c:axId val="473863576"/>
        <c:scaling>
          <c:orientation val="minMax"/>
          <c:min val="30.0"/>
        </c:scaling>
        <c:axPos val="l"/>
        <c:majorGridlines/>
        <c:numFmt formatCode="0.0" sourceLinked="1"/>
        <c:tickLblPos val="nextTo"/>
        <c:crossAx val="473860456"/>
        <c:crosses val="autoZero"/>
        <c:crossBetween val="midCat"/>
      </c:valAx>
    </c:plotArea>
    <c:plotVisOnly val="1"/>
  </c:chart>
</c:chartSpace>
</file>

<file path=xl/charts/chart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Nitrogen Napili Bay (RNS) </a:t>
            </a:r>
          </a:p>
        </c:rich>
      </c:tx>
    </c:title>
    <c:plotArea>
      <c:layout/>
      <c:scatterChart>
        <c:scatterStyle val="smoothMarker"/>
        <c:ser>
          <c:idx val="1"/>
          <c:order val="0"/>
          <c:tx>
            <c:strRef>
              <c:f>Napili!$O$1</c:f>
              <c:strCache>
                <c:ptCount val="1"/>
                <c:pt idx="0">
                  <c:v>NNN (ug/L)</c:v>
                </c:pt>
              </c:strCache>
            </c:strRef>
          </c:tx>
          <c:spPr>
            <a:ln>
              <a:solidFill>
                <a:schemeClr val="accent1"/>
              </a:solidFill>
            </a:ln>
          </c:spPr>
          <c:marker>
            <c:symbol val="triangle"/>
            <c:size val="7"/>
            <c:spPr>
              <a:solidFill>
                <a:schemeClr val="accent1"/>
              </a:solidFill>
              <a:ln>
                <a:solidFill>
                  <a:schemeClr val="accent1"/>
                </a:solidFill>
              </a:ln>
            </c:spPr>
          </c:marker>
          <c:xVal>
            <c:numRef>
              <c:f>Napili!$C$2:$C$15</c:f>
              <c:numCache>
                <c:formatCode>m/d/yy</c:formatCode>
                <c:ptCount val="14"/>
                <c:pt idx="0">
                  <c:v>42780.0</c:v>
                </c:pt>
                <c:pt idx="1">
                  <c:v>42801.0</c:v>
                </c:pt>
                <c:pt idx="2">
                  <c:v>42822.0</c:v>
                </c:pt>
                <c:pt idx="3">
                  <c:v>42843.0</c:v>
                </c:pt>
                <c:pt idx="4">
                  <c:v>42864.0</c:v>
                </c:pt>
                <c:pt idx="5">
                  <c:v>42885.0</c:v>
                </c:pt>
                <c:pt idx="6">
                  <c:v>42906.0</c:v>
                </c:pt>
                <c:pt idx="7">
                  <c:v>42927.0</c:v>
                </c:pt>
                <c:pt idx="8">
                  <c:v>42948.0</c:v>
                </c:pt>
                <c:pt idx="9">
                  <c:v>42969.0</c:v>
                </c:pt>
                <c:pt idx="10">
                  <c:v>42990.0</c:v>
                </c:pt>
                <c:pt idx="11">
                  <c:v>43011.0</c:v>
                </c:pt>
                <c:pt idx="12">
                  <c:v>43032.0</c:v>
                </c:pt>
                <c:pt idx="13">
                  <c:v>43053.0</c:v>
                </c:pt>
              </c:numCache>
            </c:numRef>
          </c:xVal>
          <c:yVal>
            <c:numRef>
              <c:f>Napili!$O$2:$O$15</c:f>
              <c:numCache>
                <c:formatCode>0.00</c:formatCode>
                <c:ptCount val="14"/>
                <c:pt idx="0">
                  <c:v>12.87816832469044</c:v>
                </c:pt>
                <c:pt idx="1">
                  <c:v>16.22958037887607</c:v>
                </c:pt>
                <c:pt idx="2">
                  <c:v>26.3228927739615</c:v>
                </c:pt>
                <c:pt idx="3">
                  <c:v>20.27342012281822</c:v>
                </c:pt>
                <c:pt idx="4">
                  <c:v>56.56823024306132</c:v>
                </c:pt>
                <c:pt idx="5">
                  <c:v>36.11836972948954</c:v>
                </c:pt>
                <c:pt idx="6">
                  <c:v>43.87627855429228</c:v>
                </c:pt>
                <c:pt idx="7">
                  <c:v>83.53258384230983</c:v>
                </c:pt>
                <c:pt idx="8">
                  <c:v>64.7494936234683</c:v>
                </c:pt>
                <c:pt idx="9">
                  <c:v>48.6749313232552</c:v>
                </c:pt>
                <c:pt idx="10">
                  <c:v>17.92767424870916</c:v>
                </c:pt>
                <c:pt idx="11">
                  <c:v>37.6458817298433</c:v>
                </c:pt>
                <c:pt idx="12">
                  <c:v>21.68062391665937</c:v>
                </c:pt>
                <c:pt idx="13">
                  <c:v>14.03394404616671</c:v>
                </c:pt>
              </c:numCache>
            </c:numRef>
          </c:yVal>
          <c:smooth val="1"/>
        </c:ser>
        <c:axId val="347225400"/>
        <c:axId val="347216072"/>
      </c:scatterChart>
      <c:scatterChart>
        <c:scatterStyle val="smoothMarker"/>
        <c:ser>
          <c:idx val="0"/>
          <c:order val="1"/>
          <c:tx>
            <c:strRef>
              <c:f>Napili!$N$1</c:f>
              <c:strCache>
                <c:ptCount val="1"/>
                <c:pt idx="0">
                  <c:v>Silicate (ug/L)</c:v>
                </c:pt>
              </c:strCache>
            </c:strRef>
          </c:tx>
          <c:spPr>
            <a:ln>
              <a:solidFill>
                <a:schemeClr val="accent2"/>
              </a:solidFill>
            </a:ln>
          </c:spPr>
          <c:marker>
            <c:symbol val="x"/>
            <c:size val="7"/>
            <c:spPr>
              <a:solidFill>
                <a:schemeClr val="accent2"/>
              </a:solidFill>
              <a:ln>
                <a:solidFill>
                  <a:schemeClr val="accent2"/>
                </a:solidFill>
              </a:ln>
            </c:spPr>
          </c:marker>
          <c:xVal>
            <c:numRef>
              <c:f>Napili!$C$2:$C$15</c:f>
              <c:numCache>
                <c:formatCode>m/d/yy</c:formatCode>
                <c:ptCount val="14"/>
                <c:pt idx="0">
                  <c:v>42780.0</c:v>
                </c:pt>
                <c:pt idx="1">
                  <c:v>42801.0</c:v>
                </c:pt>
                <c:pt idx="2">
                  <c:v>42822.0</c:v>
                </c:pt>
                <c:pt idx="3">
                  <c:v>42843.0</c:v>
                </c:pt>
                <c:pt idx="4">
                  <c:v>42864.0</c:v>
                </c:pt>
                <c:pt idx="5">
                  <c:v>42885.0</c:v>
                </c:pt>
                <c:pt idx="6">
                  <c:v>42906.0</c:v>
                </c:pt>
                <c:pt idx="7">
                  <c:v>42927.0</c:v>
                </c:pt>
                <c:pt idx="8">
                  <c:v>42948.0</c:v>
                </c:pt>
                <c:pt idx="9">
                  <c:v>42969.0</c:v>
                </c:pt>
                <c:pt idx="10">
                  <c:v>42990.0</c:v>
                </c:pt>
                <c:pt idx="11">
                  <c:v>43011.0</c:v>
                </c:pt>
                <c:pt idx="12">
                  <c:v>43032.0</c:v>
                </c:pt>
                <c:pt idx="13">
                  <c:v>43053.0</c:v>
                </c:pt>
              </c:numCache>
            </c:numRef>
          </c:xVal>
          <c:yVal>
            <c:numRef>
              <c:f>Napili!$N$2:$N$15</c:f>
              <c:numCache>
                <c:formatCode>0.00</c:formatCode>
                <c:ptCount val="14"/>
                <c:pt idx="0">
                  <c:v>205.3746230433603</c:v>
                </c:pt>
                <c:pt idx="1">
                  <c:v>171.5925648621595</c:v>
                </c:pt>
                <c:pt idx="2">
                  <c:v>326.9009558323935</c:v>
                </c:pt>
                <c:pt idx="3">
                  <c:v>437.661122326045</c:v>
                </c:pt>
                <c:pt idx="4">
                  <c:v>1088.84609332085</c:v>
                </c:pt>
                <c:pt idx="5">
                  <c:v>692.0559597753826</c:v>
                </c:pt>
                <c:pt idx="6">
                  <c:v>749.6925778765956</c:v>
                </c:pt>
                <c:pt idx="7">
                  <c:v>1216.755679209534</c:v>
                </c:pt>
                <c:pt idx="8">
                  <c:v>907.9100958570974</c:v>
                </c:pt>
                <c:pt idx="9">
                  <c:v>784.0407377630832</c:v>
                </c:pt>
                <c:pt idx="10">
                  <c:v>407.560919571043</c:v>
                </c:pt>
                <c:pt idx="11">
                  <c:v>608.5722042220754</c:v>
                </c:pt>
                <c:pt idx="12">
                  <c:v>205.2666342031704</c:v>
                </c:pt>
                <c:pt idx="13">
                  <c:v>281.7703112096811</c:v>
                </c:pt>
              </c:numCache>
            </c:numRef>
          </c:yVal>
          <c:smooth val="1"/>
        </c:ser>
        <c:axId val="347239832"/>
        <c:axId val="347236184"/>
      </c:scatterChart>
      <c:valAx>
        <c:axId val="347225400"/>
        <c:scaling>
          <c:orientation val="minMax"/>
        </c:scaling>
        <c:axPos val="b"/>
        <c:numFmt formatCode="m/d/yy" sourceLinked="1"/>
        <c:tickLblPos val="nextTo"/>
        <c:crossAx val="347216072"/>
        <c:crosses val="autoZero"/>
        <c:crossBetween val="midCat"/>
      </c:valAx>
      <c:valAx>
        <c:axId val="347216072"/>
        <c:scaling>
          <c:orientation val="minMax"/>
        </c:scaling>
        <c:axPos val="l"/>
        <c:majorGridlines/>
        <c:title>
          <c:tx>
            <c:rich>
              <a:bodyPr/>
              <a:lstStyle/>
              <a:p>
                <a:pPr>
                  <a:defRPr/>
                </a:pPr>
                <a:r>
                  <a:rPr lang="en-US"/>
                  <a:t>Nitrates + Nitrites (ug/L)</a:t>
                </a:r>
              </a:p>
            </c:rich>
          </c:tx>
        </c:title>
        <c:numFmt formatCode="0.00" sourceLinked="1"/>
        <c:tickLblPos val="nextTo"/>
        <c:crossAx val="347225400"/>
        <c:crosses val="autoZero"/>
        <c:crossBetween val="midCat"/>
      </c:valAx>
      <c:valAx>
        <c:axId val="347236184"/>
        <c:scaling>
          <c:orientation val="minMax"/>
        </c:scaling>
        <c:axPos val="r"/>
        <c:numFmt formatCode="0.00" sourceLinked="1"/>
        <c:tickLblPos val="nextTo"/>
        <c:crossAx val="347239832"/>
        <c:crosses val="max"/>
        <c:crossBetween val="midCat"/>
      </c:valAx>
      <c:valAx>
        <c:axId val="347239832"/>
        <c:scaling>
          <c:orientation val="minMax"/>
        </c:scaling>
        <c:delete val="1"/>
        <c:axPos val="b"/>
        <c:numFmt formatCode="m/d/yy" sourceLinked="1"/>
        <c:tickLblPos val="nextTo"/>
        <c:crossAx val="347236184"/>
        <c:crosses val="autoZero"/>
        <c:crossBetween val="midCat"/>
      </c:valAx>
    </c:plotArea>
    <c:legend>
      <c:legendPos val="t"/>
    </c:legend>
    <c:plotVisOnly val="1"/>
  </c:chart>
</c:chartSpace>
</file>

<file path=xl/charts/chart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Napili Bay Nitrates + Nitrites vs Silicate Correlation</a:t>
            </a:r>
          </a:p>
        </c:rich>
      </c:tx>
    </c:title>
    <c:plotArea>
      <c:layout/>
      <c:scatterChart>
        <c:scatterStyle val="lineMarker"/>
        <c:ser>
          <c:idx val="0"/>
          <c:order val="0"/>
          <c:tx>
            <c:strRef>
              <c:f>Napili!$O$1</c:f>
              <c:strCache>
                <c:ptCount val="1"/>
                <c:pt idx="0">
                  <c:v>NNN (ug/L)</c:v>
                </c:pt>
              </c:strCache>
            </c:strRef>
          </c:tx>
          <c:spPr>
            <a:ln w="28575">
              <a:noFill/>
            </a:ln>
          </c:spPr>
          <c:trendline>
            <c:trendlineType val="linear"/>
            <c:dispRSqr val="1"/>
            <c:dispEq val="1"/>
            <c:trendlineLbl>
              <c:layout>
                <c:manualLayout>
                  <c:x val="0.135069579229004"/>
                  <c:y val="-0.188859555091699"/>
                </c:manualLayout>
              </c:layout>
              <c:numFmt formatCode="General" sourceLinked="0"/>
            </c:trendlineLbl>
          </c:trendline>
          <c:xVal>
            <c:numRef>
              <c:f>Napili!$N$2:$N$15</c:f>
              <c:numCache>
                <c:formatCode>0.00</c:formatCode>
                <c:ptCount val="14"/>
                <c:pt idx="0">
                  <c:v>205.3746230433603</c:v>
                </c:pt>
                <c:pt idx="1">
                  <c:v>171.5925648621595</c:v>
                </c:pt>
                <c:pt idx="2">
                  <c:v>326.9009558323935</c:v>
                </c:pt>
                <c:pt idx="3">
                  <c:v>437.661122326045</c:v>
                </c:pt>
                <c:pt idx="4">
                  <c:v>1088.84609332085</c:v>
                </c:pt>
                <c:pt idx="5">
                  <c:v>692.0559597753826</c:v>
                </c:pt>
                <c:pt idx="6">
                  <c:v>749.6925778765956</c:v>
                </c:pt>
                <c:pt idx="7">
                  <c:v>1216.755679209534</c:v>
                </c:pt>
                <c:pt idx="8">
                  <c:v>907.9100958570974</c:v>
                </c:pt>
                <c:pt idx="9">
                  <c:v>784.0407377630832</c:v>
                </c:pt>
                <c:pt idx="10">
                  <c:v>407.560919571043</c:v>
                </c:pt>
                <c:pt idx="11">
                  <c:v>608.5722042220754</c:v>
                </c:pt>
                <c:pt idx="12">
                  <c:v>205.2666342031704</c:v>
                </c:pt>
                <c:pt idx="13">
                  <c:v>281.7703112096811</c:v>
                </c:pt>
              </c:numCache>
            </c:numRef>
          </c:xVal>
          <c:yVal>
            <c:numRef>
              <c:f>Napili!$O$2:$O$15</c:f>
              <c:numCache>
                <c:formatCode>0.00</c:formatCode>
                <c:ptCount val="14"/>
                <c:pt idx="0">
                  <c:v>12.87816832469044</c:v>
                </c:pt>
                <c:pt idx="1">
                  <c:v>16.22958037887607</c:v>
                </c:pt>
                <c:pt idx="2">
                  <c:v>26.3228927739615</c:v>
                </c:pt>
                <c:pt idx="3">
                  <c:v>20.27342012281822</c:v>
                </c:pt>
                <c:pt idx="4">
                  <c:v>56.56823024306132</c:v>
                </c:pt>
                <c:pt idx="5">
                  <c:v>36.11836972948954</c:v>
                </c:pt>
                <c:pt idx="6">
                  <c:v>43.87627855429228</c:v>
                </c:pt>
                <c:pt idx="7">
                  <c:v>83.53258384230983</c:v>
                </c:pt>
                <c:pt idx="8">
                  <c:v>64.7494936234683</c:v>
                </c:pt>
                <c:pt idx="9">
                  <c:v>48.6749313232552</c:v>
                </c:pt>
                <c:pt idx="10">
                  <c:v>17.92767424870916</c:v>
                </c:pt>
                <c:pt idx="11">
                  <c:v>37.6458817298433</c:v>
                </c:pt>
                <c:pt idx="12">
                  <c:v>21.68062391665937</c:v>
                </c:pt>
                <c:pt idx="13">
                  <c:v>14.03394404616671</c:v>
                </c:pt>
              </c:numCache>
            </c:numRef>
          </c:yVal>
        </c:ser>
        <c:axId val="347259336"/>
        <c:axId val="347281144"/>
      </c:scatterChart>
      <c:valAx>
        <c:axId val="347259336"/>
        <c:scaling>
          <c:orientation val="minMax"/>
        </c:scaling>
        <c:axPos val="b"/>
        <c:title>
          <c:tx>
            <c:rich>
              <a:bodyPr/>
              <a:lstStyle/>
              <a:p>
                <a:pPr>
                  <a:defRPr/>
                </a:pPr>
                <a:r>
                  <a:rPr lang="en-US"/>
                  <a:t>Silicate (ug/L)</a:t>
                </a:r>
              </a:p>
            </c:rich>
          </c:tx>
        </c:title>
        <c:numFmt formatCode="0.00" sourceLinked="1"/>
        <c:tickLblPos val="nextTo"/>
        <c:crossAx val="347281144"/>
        <c:crosses val="autoZero"/>
        <c:crossBetween val="midCat"/>
      </c:valAx>
      <c:valAx>
        <c:axId val="347281144"/>
        <c:scaling>
          <c:orientation val="minMax"/>
        </c:scaling>
        <c:axPos val="l"/>
        <c:majorGridlines/>
        <c:title>
          <c:tx>
            <c:rich>
              <a:bodyPr/>
              <a:lstStyle/>
              <a:p>
                <a:pPr>
                  <a:defRPr/>
                </a:pPr>
                <a:r>
                  <a:rPr lang="en-US"/>
                  <a:t>Nitrates (ug/L)</a:t>
                </a:r>
              </a:p>
            </c:rich>
          </c:tx>
        </c:title>
        <c:numFmt formatCode="0.00" sourceLinked="1"/>
        <c:tickLblPos val="nextTo"/>
        <c:crossAx val="347259336"/>
        <c:crosses val="autoZero"/>
        <c:crossBetween val="midCat"/>
      </c:valAx>
    </c:plotArea>
    <c:plotVisOnly val="1"/>
  </c:chart>
</c:chartSpace>
</file>

<file path=xl/charts/chart6.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smoothMarker"/>
        <c:ser>
          <c:idx val="0"/>
          <c:order val="0"/>
          <c:tx>
            <c:strRef>
              <c:f>Napili!$L$1</c:f>
              <c:strCache>
                <c:ptCount val="1"/>
                <c:pt idx="0">
                  <c:v>Total P (ug/L)</c:v>
                </c:pt>
              </c:strCache>
            </c:strRef>
          </c:tx>
          <c:xVal>
            <c:numRef>
              <c:f>Napili!$C$2:$C$15</c:f>
              <c:numCache>
                <c:formatCode>m/d/yy</c:formatCode>
                <c:ptCount val="14"/>
                <c:pt idx="0">
                  <c:v>42780.0</c:v>
                </c:pt>
                <c:pt idx="1">
                  <c:v>42801.0</c:v>
                </c:pt>
                <c:pt idx="2">
                  <c:v>42822.0</c:v>
                </c:pt>
                <c:pt idx="3">
                  <c:v>42843.0</c:v>
                </c:pt>
                <c:pt idx="4">
                  <c:v>42864.0</c:v>
                </c:pt>
                <c:pt idx="5">
                  <c:v>42885.0</c:v>
                </c:pt>
                <c:pt idx="6">
                  <c:v>42906.0</c:v>
                </c:pt>
                <c:pt idx="7">
                  <c:v>42927.0</c:v>
                </c:pt>
                <c:pt idx="8">
                  <c:v>42948.0</c:v>
                </c:pt>
                <c:pt idx="9">
                  <c:v>42969.0</c:v>
                </c:pt>
                <c:pt idx="10">
                  <c:v>42990.0</c:v>
                </c:pt>
                <c:pt idx="11">
                  <c:v>43011.0</c:v>
                </c:pt>
                <c:pt idx="12">
                  <c:v>43032.0</c:v>
                </c:pt>
                <c:pt idx="13">
                  <c:v>43053.0</c:v>
                </c:pt>
              </c:numCache>
            </c:numRef>
          </c:xVal>
          <c:yVal>
            <c:numRef>
              <c:f>Napili!$L$2:$L$15</c:f>
              <c:numCache>
                <c:formatCode>0.00</c:formatCode>
                <c:ptCount val="14"/>
                <c:pt idx="0">
                  <c:v>11.10361246438772</c:v>
                </c:pt>
                <c:pt idx="1">
                  <c:v>15.19426004123723</c:v>
                </c:pt>
                <c:pt idx="2">
                  <c:v>14.06832639137721</c:v>
                </c:pt>
                <c:pt idx="3">
                  <c:v>13.28727620932671</c:v>
                </c:pt>
                <c:pt idx="4">
                  <c:v>17.93208797850517</c:v>
                </c:pt>
                <c:pt idx="5">
                  <c:v>11.34159933671207</c:v>
                </c:pt>
                <c:pt idx="6">
                  <c:v>21.67672525173766</c:v>
                </c:pt>
                <c:pt idx="7">
                  <c:v>17.73129426418489</c:v>
                </c:pt>
                <c:pt idx="8">
                  <c:v>23.25131663941542</c:v>
                </c:pt>
                <c:pt idx="9">
                  <c:v>16.30879834124041</c:v>
                </c:pt>
                <c:pt idx="10">
                  <c:v>16.51867168552703</c:v>
                </c:pt>
                <c:pt idx="11">
                  <c:v>13.05827549938681</c:v>
                </c:pt>
                <c:pt idx="12">
                  <c:v>13.58504461465281</c:v>
                </c:pt>
                <c:pt idx="13">
                  <c:v>12.09112664297371</c:v>
                </c:pt>
              </c:numCache>
            </c:numRef>
          </c:yVal>
          <c:smooth val="1"/>
        </c:ser>
        <c:ser>
          <c:idx val="1"/>
          <c:order val="1"/>
          <c:tx>
            <c:strRef>
              <c:f>Napili!$M$1</c:f>
              <c:strCache>
                <c:ptCount val="1"/>
                <c:pt idx="0">
                  <c:v>Phosphate (ug/L)</c:v>
                </c:pt>
              </c:strCache>
            </c:strRef>
          </c:tx>
          <c:xVal>
            <c:numRef>
              <c:f>Napili!$C$2:$C$15</c:f>
              <c:numCache>
                <c:formatCode>m/d/yy</c:formatCode>
                <c:ptCount val="14"/>
                <c:pt idx="0">
                  <c:v>42780.0</c:v>
                </c:pt>
                <c:pt idx="1">
                  <c:v>42801.0</c:v>
                </c:pt>
                <c:pt idx="2">
                  <c:v>42822.0</c:v>
                </c:pt>
                <c:pt idx="3">
                  <c:v>42843.0</c:v>
                </c:pt>
                <c:pt idx="4">
                  <c:v>42864.0</c:v>
                </c:pt>
                <c:pt idx="5">
                  <c:v>42885.0</c:v>
                </c:pt>
                <c:pt idx="6">
                  <c:v>42906.0</c:v>
                </c:pt>
                <c:pt idx="7">
                  <c:v>42927.0</c:v>
                </c:pt>
                <c:pt idx="8">
                  <c:v>42948.0</c:v>
                </c:pt>
                <c:pt idx="9">
                  <c:v>42969.0</c:v>
                </c:pt>
                <c:pt idx="10">
                  <c:v>42990.0</c:v>
                </c:pt>
                <c:pt idx="11">
                  <c:v>43011.0</c:v>
                </c:pt>
                <c:pt idx="12">
                  <c:v>43032.0</c:v>
                </c:pt>
                <c:pt idx="13">
                  <c:v>43053.0</c:v>
                </c:pt>
              </c:numCache>
            </c:numRef>
          </c:xVal>
          <c:yVal>
            <c:numRef>
              <c:f>Napili!$M$2:$M$15</c:f>
              <c:numCache>
                <c:formatCode>0.00</c:formatCode>
                <c:ptCount val="14"/>
                <c:pt idx="0">
                  <c:v>6.753855053050847</c:v>
                </c:pt>
                <c:pt idx="1">
                  <c:v>9.206819509745763</c:v>
                </c:pt>
                <c:pt idx="2">
                  <c:v>8.807810142124612</c:v>
                </c:pt>
                <c:pt idx="3">
                  <c:v>9.276318412503613</c:v>
                </c:pt>
                <c:pt idx="4">
                  <c:v>13.5432493611902</c:v>
                </c:pt>
                <c:pt idx="5">
                  <c:v>8.88681188382521</c:v>
                </c:pt>
                <c:pt idx="6">
                  <c:v>11.42126199757674</c:v>
                </c:pt>
                <c:pt idx="7">
                  <c:v>13.49271131776725</c:v>
                </c:pt>
                <c:pt idx="8">
                  <c:v>14.26589598270831</c:v>
                </c:pt>
                <c:pt idx="9">
                  <c:v>12.24796349732198</c:v>
                </c:pt>
                <c:pt idx="10">
                  <c:v>7.370806821186368</c:v>
                </c:pt>
                <c:pt idx="11">
                  <c:v>10.6990872878947</c:v>
                </c:pt>
                <c:pt idx="12">
                  <c:v>12.42849508487743</c:v>
                </c:pt>
                <c:pt idx="13">
                  <c:v>8.87121599840401</c:v>
                </c:pt>
              </c:numCache>
            </c:numRef>
          </c:yVal>
          <c:smooth val="1"/>
        </c:ser>
        <c:axId val="347316040"/>
        <c:axId val="347319176"/>
      </c:scatterChart>
      <c:valAx>
        <c:axId val="347316040"/>
        <c:scaling>
          <c:orientation val="minMax"/>
        </c:scaling>
        <c:axPos val="b"/>
        <c:numFmt formatCode="m/d/yy" sourceLinked="1"/>
        <c:tickLblPos val="nextTo"/>
        <c:crossAx val="347319176"/>
        <c:crosses val="autoZero"/>
        <c:crossBetween val="midCat"/>
      </c:valAx>
      <c:valAx>
        <c:axId val="347319176"/>
        <c:scaling>
          <c:orientation val="minMax"/>
        </c:scaling>
        <c:axPos val="l"/>
        <c:majorGridlines/>
        <c:numFmt formatCode="0.00" sourceLinked="1"/>
        <c:tickLblPos val="nextTo"/>
        <c:crossAx val="347316040"/>
        <c:crosses val="autoZero"/>
        <c:crossBetween val="midCat"/>
      </c:valAx>
    </c:plotArea>
    <c:legend>
      <c:legendPos val="t"/>
    </c:legend>
    <c:plotVisOnly val="1"/>
  </c:chart>
</c:chartSpace>
</file>

<file path=xl/charts/chart7.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Napili!$F$1</c:f>
              <c:strCache>
                <c:ptCount val="1"/>
                <c:pt idx="0">
                  <c:v>Salinity (ppt)</c:v>
                </c:pt>
              </c:strCache>
            </c:strRef>
          </c:tx>
          <c:xVal>
            <c:numRef>
              <c:f>Napili!$C$2:$C$18</c:f>
              <c:numCache>
                <c:formatCode>m/d/yy</c:formatCode>
                <c:ptCount val="17"/>
                <c:pt idx="0">
                  <c:v>42780.0</c:v>
                </c:pt>
                <c:pt idx="1">
                  <c:v>42801.0</c:v>
                </c:pt>
                <c:pt idx="2">
                  <c:v>42822.0</c:v>
                </c:pt>
                <c:pt idx="3">
                  <c:v>42843.0</c:v>
                </c:pt>
                <c:pt idx="4">
                  <c:v>42864.0</c:v>
                </c:pt>
                <c:pt idx="5">
                  <c:v>42885.0</c:v>
                </c:pt>
                <c:pt idx="6">
                  <c:v>42906.0</c:v>
                </c:pt>
                <c:pt idx="7">
                  <c:v>42927.0</c:v>
                </c:pt>
                <c:pt idx="8">
                  <c:v>42948.0</c:v>
                </c:pt>
                <c:pt idx="9">
                  <c:v>42969.0</c:v>
                </c:pt>
                <c:pt idx="10">
                  <c:v>42990.0</c:v>
                </c:pt>
                <c:pt idx="11">
                  <c:v>43011.0</c:v>
                </c:pt>
                <c:pt idx="12">
                  <c:v>43032.0</c:v>
                </c:pt>
                <c:pt idx="13">
                  <c:v>43053.0</c:v>
                </c:pt>
                <c:pt idx="14">
                  <c:v>43074.0</c:v>
                </c:pt>
                <c:pt idx="15">
                  <c:v>43088.0</c:v>
                </c:pt>
                <c:pt idx="16">
                  <c:v>43109.0</c:v>
                </c:pt>
              </c:numCache>
            </c:numRef>
          </c:xVal>
          <c:yVal>
            <c:numRef>
              <c:f>Napili!$F$2:$F$18</c:f>
              <c:numCache>
                <c:formatCode>0.00</c:formatCode>
                <c:ptCount val="17"/>
                <c:pt idx="0">
                  <c:v>34.9</c:v>
                </c:pt>
                <c:pt idx="1">
                  <c:v>34.5</c:v>
                </c:pt>
                <c:pt idx="2">
                  <c:v>34.4</c:v>
                </c:pt>
                <c:pt idx="3">
                  <c:v>34.0</c:v>
                </c:pt>
                <c:pt idx="4">
                  <c:v>33.2</c:v>
                </c:pt>
                <c:pt idx="5">
                  <c:v>33.9</c:v>
                </c:pt>
                <c:pt idx="6">
                  <c:v>33.6</c:v>
                </c:pt>
                <c:pt idx="7">
                  <c:v>32.8</c:v>
                </c:pt>
                <c:pt idx="8">
                  <c:v>32.9</c:v>
                </c:pt>
                <c:pt idx="9">
                  <c:v>33.6</c:v>
                </c:pt>
                <c:pt idx="10">
                  <c:v>34.4</c:v>
                </c:pt>
                <c:pt idx="11">
                  <c:v>33.7</c:v>
                </c:pt>
                <c:pt idx="12">
                  <c:v>33.5</c:v>
                </c:pt>
                <c:pt idx="13">
                  <c:v>34.9</c:v>
                </c:pt>
                <c:pt idx="14">
                  <c:v>35.2</c:v>
                </c:pt>
                <c:pt idx="15">
                  <c:v>35.2</c:v>
                </c:pt>
                <c:pt idx="16">
                  <c:v>34.0</c:v>
                </c:pt>
              </c:numCache>
            </c:numRef>
          </c:yVal>
          <c:smooth val="1"/>
        </c:ser>
        <c:axId val="347351624"/>
        <c:axId val="347354728"/>
      </c:scatterChart>
      <c:valAx>
        <c:axId val="347351624"/>
        <c:scaling>
          <c:orientation val="minMax"/>
        </c:scaling>
        <c:axPos val="b"/>
        <c:numFmt formatCode="m/d/yy" sourceLinked="1"/>
        <c:tickLblPos val="nextTo"/>
        <c:crossAx val="347354728"/>
        <c:crosses val="autoZero"/>
        <c:crossBetween val="midCat"/>
      </c:valAx>
      <c:valAx>
        <c:axId val="347354728"/>
        <c:scaling>
          <c:orientation val="minMax"/>
        </c:scaling>
        <c:axPos val="l"/>
        <c:majorGridlines/>
        <c:numFmt formatCode="0.00" sourceLinked="1"/>
        <c:tickLblPos val="nextTo"/>
        <c:crossAx val="347351624"/>
        <c:crosses val="autoZero"/>
        <c:crossBetween val="midCat"/>
      </c:valAx>
    </c:plotArea>
    <c:plotVisOnly val="1"/>
  </c:chart>
</c:chartSpace>
</file>

<file path=xl/charts/chart8.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Pohaku Park (RPO)</a:t>
            </a:r>
          </a:p>
        </c:rich>
      </c:tx>
    </c:title>
    <c:plotArea>
      <c:layout/>
      <c:scatterChart>
        <c:scatterStyle val="smoothMarker"/>
        <c:ser>
          <c:idx val="0"/>
          <c:order val="0"/>
          <c:tx>
            <c:strRef>
              <c:f>Pohaku!$I$1</c:f>
              <c:strCache>
                <c:ptCount val="1"/>
                <c:pt idx="0">
                  <c:v>pH</c:v>
                </c:pt>
              </c:strCache>
            </c:strRef>
          </c:tx>
          <c:xVal>
            <c:numRef>
              <c:f>Pohaku!$C$2:$C$34</c:f>
              <c:numCache>
                <c:formatCode>m/d/yy</c:formatCode>
                <c:ptCount val="33"/>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pt idx="30">
                  <c:v>43074.0</c:v>
                </c:pt>
                <c:pt idx="31">
                  <c:v>43088.0</c:v>
                </c:pt>
                <c:pt idx="32">
                  <c:v>43109.0</c:v>
                </c:pt>
              </c:numCache>
            </c:numRef>
          </c:xVal>
          <c:yVal>
            <c:numRef>
              <c:f>Pohaku!$I$2:$I$274</c:f>
              <c:numCache>
                <c:formatCode>0.00</c:formatCode>
                <c:ptCount val="273"/>
                <c:pt idx="0">
                  <c:v>8.11</c:v>
                </c:pt>
                <c:pt idx="1">
                  <c:v>8.09</c:v>
                </c:pt>
                <c:pt idx="2">
                  <c:v>8.09</c:v>
                </c:pt>
                <c:pt idx="3">
                  <c:v>8.12</c:v>
                </c:pt>
                <c:pt idx="4">
                  <c:v>8.09</c:v>
                </c:pt>
                <c:pt idx="5">
                  <c:v>7.86</c:v>
                </c:pt>
                <c:pt idx="6">
                  <c:v>8.11</c:v>
                </c:pt>
                <c:pt idx="7">
                  <c:v>7.98</c:v>
                </c:pt>
                <c:pt idx="8">
                  <c:v>8.09</c:v>
                </c:pt>
                <c:pt idx="9">
                  <c:v>7.95</c:v>
                </c:pt>
                <c:pt idx="10">
                  <c:v>8.07</c:v>
                </c:pt>
                <c:pt idx="11">
                  <c:v>8.08</c:v>
                </c:pt>
                <c:pt idx="12">
                  <c:v>8.05</c:v>
                </c:pt>
                <c:pt idx="13">
                  <c:v>7.95</c:v>
                </c:pt>
                <c:pt idx="14">
                  <c:v>8.16</c:v>
                </c:pt>
                <c:pt idx="15">
                  <c:v>8.140000000000001</c:v>
                </c:pt>
                <c:pt idx="16">
                  <c:v>8.15</c:v>
                </c:pt>
                <c:pt idx="17">
                  <c:v>8.140000000000001</c:v>
                </c:pt>
                <c:pt idx="18">
                  <c:v>8.12</c:v>
                </c:pt>
                <c:pt idx="19">
                  <c:v>8.17</c:v>
                </c:pt>
                <c:pt idx="20">
                  <c:v>8.16</c:v>
                </c:pt>
                <c:pt idx="21">
                  <c:v>8.130000000000001</c:v>
                </c:pt>
                <c:pt idx="22">
                  <c:v>8.16</c:v>
                </c:pt>
                <c:pt idx="23">
                  <c:v>8.140000000000001</c:v>
                </c:pt>
                <c:pt idx="24">
                  <c:v>8.16</c:v>
                </c:pt>
                <c:pt idx="25">
                  <c:v>8.11</c:v>
                </c:pt>
                <c:pt idx="26">
                  <c:v>8.130000000000001</c:v>
                </c:pt>
                <c:pt idx="27">
                  <c:v>8.15</c:v>
                </c:pt>
                <c:pt idx="28">
                  <c:v>8.15</c:v>
                </c:pt>
                <c:pt idx="29">
                  <c:v>8.17</c:v>
                </c:pt>
                <c:pt idx="30">
                  <c:v>8.17</c:v>
                </c:pt>
                <c:pt idx="31">
                  <c:v>8.16</c:v>
                </c:pt>
                <c:pt idx="32">
                  <c:v>8.16</c:v>
                </c:pt>
                <c:pt idx="33">
                  <c:v>8.17</c:v>
                </c:pt>
                <c:pt idx="41">
                  <c:v>8.107058823529413</c:v>
                </c:pt>
                <c:pt idx="42">
                  <c:v>0.0730101450716806</c:v>
                </c:pt>
              </c:numCache>
            </c:numRef>
          </c:yVal>
          <c:smooth val="1"/>
        </c:ser>
        <c:axId val="474347528"/>
        <c:axId val="474350504"/>
      </c:scatterChart>
      <c:valAx>
        <c:axId val="474347528"/>
        <c:scaling>
          <c:orientation val="minMax"/>
        </c:scaling>
        <c:axPos val="b"/>
        <c:numFmt formatCode="m/d/yy" sourceLinked="1"/>
        <c:tickLblPos val="nextTo"/>
        <c:crossAx val="474350504"/>
        <c:crosses val="autoZero"/>
        <c:crossBetween val="midCat"/>
      </c:valAx>
      <c:valAx>
        <c:axId val="474350504"/>
        <c:scaling>
          <c:orientation val="minMax"/>
          <c:max val="8.3"/>
          <c:min val="7.7"/>
        </c:scaling>
        <c:axPos val="l"/>
        <c:majorGridlines/>
        <c:title>
          <c:tx>
            <c:rich>
              <a:bodyPr/>
              <a:lstStyle/>
              <a:p>
                <a:pPr>
                  <a:defRPr/>
                </a:pPr>
                <a:r>
                  <a:rPr lang="en-US"/>
                  <a:t>pH</a:t>
                </a:r>
              </a:p>
            </c:rich>
          </c:tx>
        </c:title>
        <c:numFmt formatCode="0.00" sourceLinked="1"/>
        <c:tickLblPos val="nextTo"/>
        <c:crossAx val="474347528"/>
        <c:crosses val="autoZero"/>
        <c:crossBetween val="midCat"/>
      </c:valAx>
    </c:plotArea>
    <c:plotVisOnly val="1"/>
  </c:chart>
</c:chartSpace>
</file>

<file path=xl/charts/chart9.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Silicate and Nitrogen levels Pohaku Park (RPO) </a:t>
            </a:r>
          </a:p>
        </c:rich>
      </c:tx>
    </c:title>
    <c:plotArea>
      <c:layout/>
      <c:scatterChart>
        <c:scatterStyle val="smoothMarker"/>
        <c:ser>
          <c:idx val="0"/>
          <c:order val="0"/>
          <c:tx>
            <c:strRef>
              <c:f>Pohaku!$K$1</c:f>
              <c:strCache>
                <c:ptCount val="1"/>
                <c:pt idx="0">
                  <c:v>Total N (ug/L)</c:v>
                </c:pt>
              </c:strCache>
            </c:strRef>
          </c:tx>
          <c:xVal>
            <c:numRef>
              <c:f>Pohaku!$C$2:$C$31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Pohaku!$K$2:$K$31</c:f>
              <c:numCache>
                <c:formatCode>0.00</c:formatCode>
                <c:ptCount val="30"/>
                <c:pt idx="0">
                  <c:v>311.07</c:v>
                </c:pt>
                <c:pt idx="1">
                  <c:v>332.98</c:v>
                </c:pt>
                <c:pt idx="2">
                  <c:v>308.737830035237</c:v>
                </c:pt>
                <c:pt idx="3">
                  <c:v>282.8136031319591</c:v>
                </c:pt>
                <c:pt idx="4">
                  <c:v>156.9915349555325</c:v>
                </c:pt>
                <c:pt idx="5">
                  <c:v>180.7886404141077</c:v>
                </c:pt>
                <c:pt idx="6">
                  <c:v>137.9563975059605</c:v>
                </c:pt>
                <c:pt idx="7">
                  <c:v>112.7537324579385</c:v>
                </c:pt>
                <c:pt idx="8">
                  <c:v>109.7982236237209</c:v>
                </c:pt>
                <c:pt idx="9">
                  <c:v>105.574324031775</c:v>
                </c:pt>
                <c:pt idx="10">
                  <c:v>154.2823610029435</c:v>
                </c:pt>
                <c:pt idx="11">
                  <c:v>133.9971919059231</c:v>
                </c:pt>
                <c:pt idx="12">
                  <c:v>134.7400712186976</c:v>
                </c:pt>
                <c:pt idx="13">
                  <c:v>119.3992739419864</c:v>
                </c:pt>
                <c:pt idx="14">
                  <c:v>121.238756127892</c:v>
                </c:pt>
                <c:pt idx="15">
                  <c:v>367.0795093315532</c:v>
                </c:pt>
                <c:pt idx="16">
                  <c:v>103.8737821872602</c:v>
                </c:pt>
                <c:pt idx="17">
                  <c:v>277.550715219723</c:v>
                </c:pt>
                <c:pt idx="18">
                  <c:v>159.8298256194691</c:v>
                </c:pt>
                <c:pt idx="19">
                  <c:v>230.1603024479039</c:v>
                </c:pt>
                <c:pt idx="20">
                  <c:v>256.8337663767563</c:v>
                </c:pt>
                <c:pt idx="21">
                  <c:v>221.5006112186103</c:v>
                </c:pt>
                <c:pt idx="22">
                  <c:v>422.6867333553786</c:v>
                </c:pt>
                <c:pt idx="23">
                  <c:v>272.9418849565608</c:v>
                </c:pt>
                <c:pt idx="24">
                  <c:v>270.9925003695457</c:v>
                </c:pt>
                <c:pt idx="25">
                  <c:v>224.4105058396874</c:v>
                </c:pt>
                <c:pt idx="26">
                  <c:v>84.71758805883717</c:v>
                </c:pt>
                <c:pt idx="27">
                  <c:v>240.0500278286827</c:v>
                </c:pt>
                <c:pt idx="28">
                  <c:v>96.55418215700341</c:v>
                </c:pt>
                <c:pt idx="29">
                  <c:v>333.5238872292249</c:v>
                </c:pt>
              </c:numCache>
            </c:numRef>
          </c:yVal>
          <c:smooth val="1"/>
        </c:ser>
        <c:ser>
          <c:idx val="1"/>
          <c:order val="1"/>
          <c:tx>
            <c:strRef>
              <c:f>Pohaku!$O$1</c:f>
              <c:strCache>
                <c:ptCount val="1"/>
                <c:pt idx="0">
                  <c:v>NNN (ug/L)</c:v>
                </c:pt>
              </c:strCache>
            </c:strRef>
          </c:tx>
          <c:xVal>
            <c:numRef>
              <c:f>Pohaku!$C$2:$C$31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Pohaku!$O$2:$O$31</c:f>
              <c:numCache>
                <c:formatCode>0.00</c:formatCode>
                <c:ptCount val="30"/>
                <c:pt idx="0">
                  <c:v>233.11</c:v>
                </c:pt>
                <c:pt idx="1">
                  <c:v>259.15</c:v>
                </c:pt>
                <c:pt idx="2">
                  <c:v>250.7302481463429</c:v>
                </c:pt>
                <c:pt idx="3">
                  <c:v>200.6699333841529</c:v>
                </c:pt>
                <c:pt idx="4">
                  <c:v>110.3997056786363</c:v>
                </c:pt>
                <c:pt idx="5">
                  <c:v>126.7605695209612</c:v>
                </c:pt>
                <c:pt idx="6">
                  <c:v>83.69254155517081</c:v>
                </c:pt>
                <c:pt idx="7">
                  <c:v>44.08970090246077</c:v>
                </c:pt>
                <c:pt idx="8">
                  <c:v>52.67366438428039</c:v>
                </c:pt>
                <c:pt idx="9">
                  <c:v>38.62268083315478</c:v>
                </c:pt>
                <c:pt idx="10">
                  <c:v>83.6771823788681</c:v>
                </c:pt>
                <c:pt idx="11">
                  <c:v>41.57356885124878</c:v>
                </c:pt>
                <c:pt idx="12">
                  <c:v>67.99016027729275</c:v>
                </c:pt>
                <c:pt idx="13">
                  <c:v>81.83772481067048</c:v>
                </c:pt>
                <c:pt idx="14">
                  <c:v>56.24455949122171</c:v>
                </c:pt>
                <c:pt idx="15">
                  <c:v>327.1289464493598</c:v>
                </c:pt>
                <c:pt idx="16">
                  <c:v>36.30469917451582</c:v>
                </c:pt>
                <c:pt idx="17">
                  <c:v>231.4117287543656</c:v>
                </c:pt>
                <c:pt idx="18">
                  <c:v>94.08988826321531</c:v>
                </c:pt>
                <c:pt idx="19">
                  <c:v>146.5064311063944</c:v>
                </c:pt>
                <c:pt idx="20">
                  <c:v>171.3608737210177</c:v>
                </c:pt>
                <c:pt idx="21">
                  <c:v>151.1847223851215</c:v>
                </c:pt>
                <c:pt idx="22">
                  <c:v>373.5297402732867</c:v>
                </c:pt>
                <c:pt idx="23">
                  <c:v>252.8430477260108</c:v>
                </c:pt>
                <c:pt idx="24">
                  <c:v>205.3220423215237</c:v>
                </c:pt>
                <c:pt idx="25">
                  <c:v>139.2724517181673</c:v>
                </c:pt>
                <c:pt idx="26">
                  <c:v>45.57363950421614</c:v>
                </c:pt>
                <c:pt idx="27">
                  <c:v>151.0139267267793</c:v>
                </c:pt>
                <c:pt idx="28">
                  <c:v>31.18865840847413</c:v>
                </c:pt>
                <c:pt idx="29">
                  <c:v>285.6388894219566</c:v>
                </c:pt>
              </c:numCache>
            </c:numRef>
          </c:yVal>
          <c:smooth val="1"/>
        </c:ser>
        <c:axId val="474387608"/>
        <c:axId val="474417544"/>
      </c:scatterChart>
      <c:scatterChart>
        <c:scatterStyle val="smoothMarker"/>
        <c:ser>
          <c:idx val="2"/>
          <c:order val="2"/>
          <c:tx>
            <c:strRef>
              <c:f>Pohaku!$N$1</c:f>
              <c:strCache>
                <c:ptCount val="1"/>
                <c:pt idx="0">
                  <c:v>Silicate (ug/L)</c:v>
                </c:pt>
              </c:strCache>
            </c:strRef>
          </c:tx>
          <c:xVal>
            <c:numRef>
              <c:f>Pohaku!$C$2:$C$31</c:f>
              <c:numCache>
                <c:formatCode>m/d/yy</c:formatCode>
                <c:ptCount val="30"/>
                <c:pt idx="0">
                  <c:v>42535.0</c:v>
                </c:pt>
                <c:pt idx="1">
                  <c:v>42549.0</c:v>
                </c:pt>
                <c:pt idx="2">
                  <c:v>42563.0</c:v>
                </c:pt>
                <c:pt idx="3">
                  <c:v>42577.0</c:v>
                </c:pt>
                <c:pt idx="4">
                  <c:v>42591.0</c:v>
                </c:pt>
                <c:pt idx="5">
                  <c:v>42605.0</c:v>
                </c:pt>
                <c:pt idx="6">
                  <c:v>42619.0</c:v>
                </c:pt>
                <c:pt idx="7">
                  <c:v>42633.0</c:v>
                </c:pt>
                <c:pt idx="8">
                  <c:v>42647.0</c:v>
                </c:pt>
                <c:pt idx="9">
                  <c:v>42661.0</c:v>
                </c:pt>
                <c:pt idx="10">
                  <c:v>42675.0</c:v>
                </c:pt>
                <c:pt idx="11">
                  <c:v>42689.0</c:v>
                </c:pt>
                <c:pt idx="12">
                  <c:v>42703.0</c:v>
                </c:pt>
                <c:pt idx="13">
                  <c:v>42717.0</c:v>
                </c:pt>
                <c:pt idx="14">
                  <c:v>42738.0</c:v>
                </c:pt>
                <c:pt idx="15">
                  <c:v>42759.0</c:v>
                </c:pt>
                <c:pt idx="16">
                  <c:v>42780.0</c:v>
                </c:pt>
                <c:pt idx="17">
                  <c:v>42801.0</c:v>
                </c:pt>
                <c:pt idx="18">
                  <c:v>42822.0</c:v>
                </c:pt>
                <c:pt idx="19">
                  <c:v>42843.0</c:v>
                </c:pt>
                <c:pt idx="20">
                  <c:v>42864.0</c:v>
                </c:pt>
                <c:pt idx="21">
                  <c:v>42885.0</c:v>
                </c:pt>
                <c:pt idx="22">
                  <c:v>42906.0</c:v>
                </c:pt>
                <c:pt idx="23">
                  <c:v>42927.0</c:v>
                </c:pt>
                <c:pt idx="24">
                  <c:v>42948.0</c:v>
                </c:pt>
                <c:pt idx="25">
                  <c:v>42969.0</c:v>
                </c:pt>
                <c:pt idx="26">
                  <c:v>42990.0</c:v>
                </c:pt>
                <c:pt idx="27">
                  <c:v>43011.0</c:v>
                </c:pt>
                <c:pt idx="28">
                  <c:v>43032.0</c:v>
                </c:pt>
                <c:pt idx="29">
                  <c:v>43053.0</c:v>
                </c:pt>
              </c:numCache>
            </c:numRef>
          </c:xVal>
          <c:yVal>
            <c:numRef>
              <c:f>Pohaku!$N$2:$N$31</c:f>
              <c:numCache>
                <c:formatCode>0.00</c:formatCode>
                <c:ptCount val="30"/>
                <c:pt idx="0">
                  <c:v>1697.47</c:v>
                </c:pt>
                <c:pt idx="1">
                  <c:v>1621.15</c:v>
                </c:pt>
                <c:pt idx="2">
                  <c:v>1360.254212596585</c:v>
                </c:pt>
                <c:pt idx="3">
                  <c:v>1116.962479147246</c:v>
                </c:pt>
                <c:pt idx="4">
                  <c:v>592.2860539918071</c:v>
                </c:pt>
                <c:pt idx="5">
                  <c:v>710.638371404461</c:v>
                </c:pt>
                <c:pt idx="6">
                  <c:v>626.9553572857354</c:v>
                </c:pt>
                <c:pt idx="7">
                  <c:v>374.099670734251</c:v>
                </c:pt>
                <c:pt idx="8">
                  <c:v>496.5324090626381</c:v>
                </c:pt>
                <c:pt idx="9">
                  <c:v>399.0508497778914</c:v>
                </c:pt>
                <c:pt idx="10">
                  <c:v>800.682328162592</c:v>
                </c:pt>
                <c:pt idx="11">
                  <c:v>521.0504741899539</c:v>
                </c:pt>
                <c:pt idx="12">
                  <c:v>675.119751918596</c:v>
                </c:pt>
                <c:pt idx="13">
                  <c:v>867.6343410419855</c:v>
                </c:pt>
                <c:pt idx="14">
                  <c:v>448.817245159247</c:v>
                </c:pt>
                <c:pt idx="15">
                  <c:v>1085.083136850737</c:v>
                </c:pt>
                <c:pt idx="16">
                  <c:v>316.9301807259263</c:v>
                </c:pt>
                <c:pt idx="17">
                  <c:v>1038.694037369149</c:v>
                </c:pt>
                <c:pt idx="18">
                  <c:v>669.9484337527601</c:v>
                </c:pt>
                <c:pt idx="19">
                  <c:v>1122.87536431893</c:v>
                </c:pt>
                <c:pt idx="20">
                  <c:v>1412.917413954162</c:v>
                </c:pt>
                <c:pt idx="21">
                  <c:v>1133.733760426552</c:v>
                </c:pt>
                <c:pt idx="22">
                  <c:v>2784.713951365292</c:v>
                </c:pt>
                <c:pt idx="23">
                  <c:v>1651.568344878002</c:v>
                </c:pt>
                <c:pt idx="24">
                  <c:v>1066.377999778961</c:v>
                </c:pt>
                <c:pt idx="25">
                  <c:v>998.9516697892806</c:v>
                </c:pt>
                <c:pt idx="26">
                  <c:v>476.0347554773074</c:v>
                </c:pt>
                <c:pt idx="27">
                  <c:v>1292.440557467689</c:v>
                </c:pt>
                <c:pt idx="28">
                  <c:v>225.3944018643834</c:v>
                </c:pt>
                <c:pt idx="29">
                  <c:v>1810.78103363415</c:v>
                </c:pt>
              </c:numCache>
            </c:numRef>
          </c:yVal>
          <c:smooth val="1"/>
        </c:ser>
        <c:axId val="474429688"/>
        <c:axId val="474424872"/>
      </c:scatterChart>
      <c:valAx>
        <c:axId val="474387608"/>
        <c:scaling>
          <c:orientation val="minMax"/>
        </c:scaling>
        <c:axPos val="b"/>
        <c:numFmt formatCode="m/d/yy" sourceLinked="1"/>
        <c:tickLblPos val="nextTo"/>
        <c:crossAx val="474417544"/>
        <c:crosses val="autoZero"/>
        <c:crossBetween val="midCat"/>
      </c:valAx>
      <c:valAx>
        <c:axId val="474417544"/>
        <c:scaling>
          <c:orientation val="minMax"/>
        </c:scaling>
        <c:axPos val="l"/>
        <c:majorGridlines/>
        <c:title>
          <c:tx>
            <c:rich>
              <a:bodyPr/>
              <a:lstStyle/>
              <a:p>
                <a:pPr>
                  <a:defRPr/>
                </a:pPr>
                <a:r>
                  <a:rPr lang="en-US"/>
                  <a:t>TN and NNN (ug/L)</a:t>
                </a:r>
              </a:p>
            </c:rich>
          </c:tx>
        </c:title>
        <c:numFmt formatCode="0.00" sourceLinked="1"/>
        <c:tickLblPos val="nextTo"/>
        <c:crossAx val="474387608"/>
        <c:crosses val="autoZero"/>
        <c:crossBetween val="midCat"/>
      </c:valAx>
      <c:valAx>
        <c:axId val="474424872"/>
        <c:scaling>
          <c:orientation val="minMax"/>
        </c:scaling>
        <c:axPos val="r"/>
        <c:title>
          <c:tx>
            <c:rich>
              <a:bodyPr/>
              <a:lstStyle/>
              <a:p>
                <a:pPr>
                  <a:defRPr/>
                </a:pPr>
                <a:r>
                  <a:rPr lang="en-US"/>
                  <a:t>Silicates (ug/L)</a:t>
                </a:r>
              </a:p>
            </c:rich>
          </c:tx>
        </c:title>
        <c:numFmt formatCode="0.00" sourceLinked="1"/>
        <c:tickLblPos val="nextTo"/>
        <c:crossAx val="474429688"/>
        <c:crosses val="max"/>
        <c:crossBetween val="midCat"/>
      </c:valAx>
      <c:valAx>
        <c:axId val="474429688"/>
        <c:scaling>
          <c:orientation val="minMax"/>
        </c:scaling>
        <c:delete val="1"/>
        <c:axPos val="b"/>
        <c:numFmt formatCode="m/d/yy" sourceLinked="1"/>
        <c:tickLblPos val="nextTo"/>
        <c:crossAx val="474424872"/>
        <c:crosses val="autoZero"/>
        <c:crossBetween val="midCat"/>
      </c:valAx>
    </c:plotArea>
    <c:legend>
      <c:legendPos val="t"/>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chart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chart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chart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chart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chart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chart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chart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chart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chart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chart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chart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chart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10.xml><?xml version="1.0" encoding="utf-8"?>
<chartsheet xmlns="http://schemas.openxmlformats.org/spreadsheetml/2006/main" xmlns:r="http://schemas.openxmlformats.org/officeDocument/2006/relationships">
  <sheetPr/>
  <sheetViews>
    <sheetView zoomScale="133" workbookViewId="0" zoomToFit="1"/>
  </sheetViews>
  <pageMargins left="0.75" right="0.75" top="1" bottom="1" header="0.5" footer="0.5"/>
  <drawing r:id="rId1"/>
</chartsheet>
</file>

<file path=xl/chartsheets/sheet11.xml><?xml version="1.0" encoding="utf-8"?>
<chartsheet xmlns="http://schemas.openxmlformats.org/spreadsheetml/2006/main" xmlns:r="http://schemas.openxmlformats.org/officeDocument/2006/relationships">
  <sheetPr/>
  <sheetViews>
    <sheetView zoomScale="106" workbookViewId="0" zoomToFit="1"/>
  </sheetViews>
  <pageMargins left="0.75" right="0.75" top="1" bottom="1" header="0.5" footer="0.5"/>
  <drawing r:id="rId1"/>
</chartsheet>
</file>

<file path=xl/chartsheets/sheet12.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13.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14.xml><?xml version="1.0" encoding="utf-8"?>
<chartsheet xmlns="http://schemas.openxmlformats.org/spreadsheetml/2006/main" xmlns:r="http://schemas.openxmlformats.org/officeDocument/2006/relationships">
  <sheetPr/>
  <sheetViews>
    <sheetView zoomScale="96" workbookViewId="0" zoomToFit="1"/>
  </sheetViews>
  <pageMargins left="0.75" right="0.75" top="1" bottom="1" header="0.5" footer="0.5"/>
  <drawing r:id="rId1"/>
</chartsheet>
</file>

<file path=xl/chartsheets/sheet15.xml><?xml version="1.0" encoding="utf-8"?>
<chartsheet xmlns="http://schemas.openxmlformats.org/spreadsheetml/2006/main" xmlns:r="http://schemas.openxmlformats.org/officeDocument/2006/relationships">
  <sheetPr/>
  <sheetViews>
    <sheetView zoomScale="96" workbookViewId="0" zoomToFit="1"/>
  </sheetViews>
  <pageMargins left="0.75" right="0.75" top="1" bottom="1" header="0.5" footer="0.5"/>
  <drawing r:id="rId1"/>
</chartsheet>
</file>

<file path=xl/chartsheets/sheet16.xml><?xml version="1.0" encoding="utf-8"?>
<chartsheet xmlns="http://schemas.openxmlformats.org/spreadsheetml/2006/main" xmlns:r="http://schemas.openxmlformats.org/officeDocument/2006/relationships">
  <sheetPr/>
  <sheetViews>
    <sheetView zoomScale="96" workbookViewId="0" zoomToFit="1"/>
  </sheetViews>
  <pageMargins left="0.75" right="0.75" top="1" bottom="1" header="0.5" footer="0.5"/>
  <drawing r:id="rId1"/>
</chartsheet>
</file>

<file path=xl/chartsheets/sheet17.xml><?xml version="1.0" encoding="utf-8"?>
<chartsheet xmlns="http://schemas.openxmlformats.org/spreadsheetml/2006/main" xmlns:r="http://schemas.openxmlformats.org/officeDocument/2006/relationships">
  <sheetPr/>
  <sheetViews>
    <sheetView zoomScale="96" workbookViewId="0" zoomToFit="1"/>
  </sheetViews>
  <pageMargins left="0.75" right="0.75" top="1" bottom="1" header="0.5" footer="0.5"/>
  <drawing r:id="rId1"/>
</chartsheet>
</file>

<file path=xl/chartsheets/sheet18.xml><?xml version="1.0" encoding="utf-8"?>
<chartsheet xmlns="http://schemas.openxmlformats.org/spreadsheetml/2006/main" xmlns:r="http://schemas.openxmlformats.org/officeDocument/2006/relationships">
  <sheetPr/>
  <sheetViews>
    <sheetView zoomScale="131" workbookViewId="0" zoomToFit="1"/>
  </sheetViews>
  <pageMargins left="0.75" right="0.75" top="1" bottom="1" header="0.5" footer="0.5"/>
  <drawing r:id="rId1"/>
</chartsheet>
</file>

<file path=xl/chartsheets/sheet19.xml><?xml version="1.0" encoding="utf-8"?>
<chartsheet xmlns="http://schemas.openxmlformats.org/spreadsheetml/2006/main" xmlns:r="http://schemas.openxmlformats.org/officeDocument/2006/relationships">
  <sheetPr/>
  <sheetViews>
    <sheetView zoomScale="133" workbookViewId="0" zoomToFit="1"/>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20.xml><?xml version="1.0" encoding="utf-8"?>
<chartsheet xmlns="http://schemas.openxmlformats.org/spreadsheetml/2006/main" xmlns:r="http://schemas.openxmlformats.org/officeDocument/2006/relationships">
  <sheetPr/>
  <sheetViews>
    <sheetView zoomScale="106" workbookViewId="0" zoomToFit="1"/>
  </sheetViews>
  <pageMargins left="0.75" right="0.75" top="1" bottom="1" header="0.5" footer="0.5"/>
  <drawing r:id="rId1"/>
</chartsheet>
</file>

<file path=xl/chartsheets/sheet21.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22.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23.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24.xml><?xml version="1.0" encoding="utf-8"?>
<chartsheet xmlns="http://schemas.openxmlformats.org/spreadsheetml/2006/main" xmlns:r="http://schemas.openxmlformats.org/officeDocument/2006/relationships">
  <sheetPr/>
  <sheetViews>
    <sheetView zoomScale="131" workbookViewId="0" zoomToFit="1"/>
  </sheetViews>
  <pageMargins left="0.75" right="0.75" top="1" bottom="1" header="0.5" footer="0.5"/>
  <drawing r:id="rId1"/>
</chartsheet>
</file>

<file path=xl/chartsheets/sheet25.xml><?xml version="1.0" encoding="utf-8"?>
<chartsheet xmlns="http://schemas.openxmlformats.org/spreadsheetml/2006/main" xmlns:r="http://schemas.openxmlformats.org/officeDocument/2006/relationships">
  <sheetPr/>
  <sheetViews>
    <sheetView zoomScale="133" workbookViewId="0" zoomToFit="1"/>
  </sheetViews>
  <pageMargins left="0.75" right="0.75" top="1" bottom="1" header="0.5" footer="0.5"/>
  <drawing r:id="rId1"/>
</chartsheet>
</file>

<file path=xl/chartsheets/sheet26.xml><?xml version="1.0" encoding="utf-8"?>
<chartsheet xmlns="http://schemas.openxmlformats.org/spreadsheetml/2006/main" xmlns:r="http://schemas.openxmlformats.org/officeDocument/2006/relationships">
  <sheetPr/>
  <sheetViews>
    <sheetView zoomScale="106" workbookViewId="0" zoomToFit="1"/>
  </sheetViews>
  <pageMargins left="0.75" right="0.75" top="1" bottom="1" header="0.5" footer="0.5"/>
  <drawing r:id="rId1"/>
</chartsheet>
</file>

<file path=xl/chartsheets/sheet27.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28.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29.xml><?xml version="1.0" encoding="utf-8"?>
<chartsheet xmlns="http://schemas.openxmlformats.org/spreadsheetml/2006/main" xmlns:r="http://schemas.openxmlformats.org/officeDocument/2006/relationships">
  <sheetPr/>
  <sheetViews>
    <sheetView zoomScale="131" workbookViewId="0" zoomToFit="1"/>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30.xml><?xml version="1.0" encoding="utf-8"?>
<chartsheet xmlns="http://schemas.openxmlformats.org/spreadsheetml/2006/main" xmlns:r="http://schemas.openxmlformats.org/officeDocument/2006/relationships">
  <sheetPr/>
  <sheetViews>
    <sheetView zoomScale="133" workbookViewId="0" zoomToFit="1"/>
  </sheetViews>
  <pageMargins left="0.75" right="0.75" top="1" bottom="1" header="0.5" footer="0.5"/>
  <drawing r:id="rId1"/>
</chartsheet>
</file>

<file path=xl/chartsheets/sheet31.xml><?xml version="1.0" encoding="utf-8"?>
<chartsheet xmlns="http://schemas.openxmlformats.org/spreadsheetml/2006/main" xmlns:r="http://schemas.openxmlformats.org/officeDocument/2006/relationships">
  <sheetPr/>
  <sheetViews>
    <sheetView zoomScale="106" workbookViewId="0" zoomToFit="1"/>
  </sheetViews>
  <pageMargins left="0.75" right="0.75" top="1" bottom="1" header="0.5" footer="0.5"/>
  <drawing r:id="rId1"/>
</chartsheet>
</file>

<file path=xl/chartsheets/sheet32.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33.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34.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35.xml><?xml version="1.0" encoding="utf-8"?>
<chartsheet xmlns="http://schemas.openxmlformats.org/spreadsheetml/2006/main" xmlns:r="http://schemas.openxmlformats.org/officeDocument/2006/relationships">
  <sheetPr/>
  <sheetViews>
    <sheetView workbookViewId="0" zoomToFit="1"/>
  </sheetViews>
  <pageMargins left="0.75" right="0.75" top="1" bottom="1" header="0.5" footer="0.5"/>
  <drawing r:id="rId1"/>
</chartsheet>
</file>

<file path=xl/chartsheets/sheet36.xml><?xml version="1.0" encoding="utf-8"?>
<chartsheet xmlns="http://schemas.openxmlformats.org/spreadsheetml/2006/main" xmlns:r="http://schemas.openxmlformats.org/officeDocument/2006/relationships">
  <sheetPr/>
  <sheetViews>
    <sheetView zoomScale="106" workbookViewId="0" zoomToFit="1"/>
  </sheetViews>
  <pageMargins left="0.75" right="0.75" top="1" bottom="1" header="0.5" footer="0.5"/>
  <drawing r:id="rId1"/>
</chartsheet>
</file>

<file path=xl/chartsheets/sheet37.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38.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39.xml><?xml version="1.0" encoding="utf-8"?>
<chartsheet xmlns="http://schemas.openxmlformats.org/spreadsheetml/2006/main" xmlns:r="http://schemas.openxmlformats.org/officeDocument/2006/relationships">
  <sheetPr/>
  <sheetViews>
    <sheetView zoomScale="96" workbookViewId="0" zoomToFit="1"/>
  </sheetViews>
  <pageMargins left="0.75" right="0.75" top="1" bottom="1" header="0.5" footer="0.5"/>
  <drawing r:id="rId1"/>
</chartsheet>
</file>

<file path=xl/chartsheets/sheet4.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5.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6.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7.xml><?xml version="1.0" encoding="utf-8"?>
<chartsheet xmlns="http://schemas.openxmlformats.org/spreadsheetml/2006/main" xmlns:r="http://schemas.openxmlformats.org/officeDocument/2006/relationships">
  <sheetPr/>
  <sheetViews>
    <sheetView zoomScale="96" workbookViewId="0" zoomToFit="1"/>
  </sheetViews>
  <pageMargins left="0.75" right="0.75" top="1" bottom="1" header="0.5" footer="0.5"/>
  <drawing r:id="rId1"/>
</chartsheet>
</file>

<file path=xl/chartsheets/sheet8.xml><?xml version="1.0" encoding="utf-8"?>
<chartsheet xmlns="http://schemas.openxmlformats.org/spreadsheetml/2006/main" xmlns:r="http://schemas.openxmlformats.org/officeDocument/2006/relationships">
  <sheetPr/>
  <sheetViews>
    <sheetView zoomScale="131" workbookViewId="0" zoomToFit="1"/>
  </sheetViews>
  <pageMargins left="0.75" right="0.75" top="1" bottom="1" header="0.5" footer="0.5"/>
  <drawing r:id="rId1"/>
</chartsheet>
</file>

<file path=xl/chartsheets/sheet9.xml><?xml version="1.0" encoding="utf-8"?>
<chartsheet xmlns="http://schemas.openxmlformats.org/spreadsheetml/2006/main" xmlns:r="http://schemas.openxmlformats.org/officeDocument/2006/relationships">
  <sheetPr/>
  <sheetViews>
    <sheetView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574887" cy="583436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78491" cy="583481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8579771" cy="58361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8574887" cy="583436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8578491" cy="583481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absoluteAnchor>
    <xdr:pos x="0" y="0"/>
    <xdr:ext cx="8579771" cy="58361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xdr:wsDr xmlns:xdr="http://schemas.openxmlformats.org/drawingml/2006/spreadsheetDrawing" xmlns:a="http://schemas.openxmlformats.org/drawingml/2006/main">
  <xdr:absoluteAnchor>
    <xdr:pos x="0" y="0"/>
    <xdr:ext cx="8574887" cy="583436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xdr:wsDr xmlns:xdr="http://schemas.openxmlformats.org/drawingml/2006/spreadsheetDrawing" xmlns:a="http://schemas.openxmlformats.org/drawingml/2006/main">
  <xdr:absoluteAnchor>
    <xdr:pos x="0" y="0"/>
    <xdr:ext cx="8578491" cy="583481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9.xml><?xml version="1.0" encoding="utf-8"?>
<xdr:wsDr xmlns:xdr="http://schemas.openxmlformats.org/drawingml/2006/spreadsheetDrawing" xmlns:a="http://schemas.openxmlformats.org/drawingml/2006/main">
  <xdr:absoluteAnchor>
    <xdr:pos x="0" y="0"/>
    <xdr:ext cx="8579771" cy="58361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xdr:wsDr xmlns:xdr="http://schemas.openxmlformats.org/drawingml/2006/spreadsheetDrawing" xmlns:a="http://schemas.openxmlformats.org/drawingml/2006/main">
  <xdr:absoluteAnchor>
    <xdr:pos x="0" y="0"/>
    <xdr:ext cx="8574887" cy="583436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xdr:wsDr xmlns:xdr="http://schemas.openxmlformats.org/drawingml/2006/spreadsheetDrawing" xmlns:a="http://schemas.openxmlformats.org/drawingml/2006/main">
  <xdr:absoluteAnchor>
    <xdr:pos x="0" y="0"/>
    <xdr:ext cx="8578491" cy="583481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3.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xdr:wsDr xmlns:xdr="http://schemas.openxmlformats.org/drawingml/2006/spreadsheetDrawing" xmlns:a="http://schemas.openxmlformats.org/drawingml/2006/main">
  <xdr:absoluteAnchor>
    <xdr:pos x="0" y="0"/>
    <xdr:ext cx="8574887" cy="583436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xdr:wsDr xmlns:xdr="http://schemas.openxmlformats.org/drawingml/2006/spreadsheetDrawing" xmlns:a="http://schemas.openxmlformats.org/drawingml/2006/main">
  <xdr:absoluteAnchor>
    <xdr:pos x="0" y="0"/>
    <xdr:ext cx="8578491" cy="583481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4"/>
    <xdr:ext cx="8552367" cy="5708158"/>
    <xdr:graphicFrame macro="">
      <xdr:nvGraphicFramePr>
        <xdr:cNvPr id="2" name="Chart 1"/>
        <xdr:cNvGraphicFramePr>
          <a:graphicFrameLocks noGrp="1"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34018" y="-1134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31"/>
  <sheetViews>
    <sheetView workbookViewId="0">
      <pane xSplit="3" ySplit="1" topLeftCell="G2" activePane="bottomRight" state="frozen"/>
      <selection pane="topRight" activeCell="D1" sqref="D1"/>
      <selection pane="bottomLeft" activeCell="A2" sqref="A2"/>
      <selection pane="bottomRight" activeCell="O2" sqref="O2:O15"/>
    </sheetView>
  </sheetViews>
  <sheetFormatPr baseColWidth="10" defaultRowHeight="16"/>
  <cols>
    <col min="1" max="1" width="16.42578125" style="1" customWidth="1"/>
    <col min="2" max="2" width="10.7109375" style="3"/>
    <col min="3" max="4" width="10.7109375" style="1"/>
    <col min="5" max="5" width="13.140625" style="15" customWidth="1"/>
    <col min="6" max="7" width="10.7109375" style="43"/>
    <col min="8" max="8" width="10.7109375" style="15"/>
    <col min="9" max="12" width="10.7109375" style="43"/>
    <col min="13" max="13" width="12.140625" style="43" customWidth="1"/>
    <col min="14" max="14" width="12" style="43" customWidth="1"/>
    <col min="15" max="16" width="10.7109375" style="43"/>
    <col min="17" max="17" width="12" style="1" customWidth="1"/>
    <col min="18" max="18" width="12" style="3" customWidth="1"/>
    <col min="19" max="19" width="59.5703125" style="16" customWidth="1"/>
    <col min="20" max="16384" width="10.7109375" style="1"/>
  </cols>
  <sheetData>
    <row r="1" spans="1:19" s="2" customFormat="1" ht="32">
      <c r="A1" s="2" t="s">
        <v>83</v>
      </c>
      <c r="B1" s="2" t="s">
        <v>9</v>
      </c>
      <c r="C1" s="2" t="s">
        <v>1</v>
      </c>
      <c r="D1" s="2" t="s">
        <v>2</v>
      </c>
      <c r="E1" s="14" t="s">
        <v>3</v>
      </c>
      <c r="F1" s="42" t="s">
        <v>4</v>
      </c>
      <c r="G1" s="42" t="s">
        <v>5</v>
      </c>
      <c r="H1" s="14" t="s">
        <v>6</v>
      </c>
      <c r="I1" s="42" t="s">
        <v>7</v>
      </c>
      <c r="J1" s="42" t="s">
        <v>8</v>
      </c>
      <c r="K1" s="42" t="s">
        <v>34</v>
      </c>
      <c r="L1" s="42" t="s">
        <v>40</v>
      </c>
      <c r="M1" s="42" t="s">
        <v>41</v>
      </c>
      <c r="N1" s="42" t="s">
        <v>42</v>
      </c>
      <c r="O1" s="42" t="s">
        <v>38</v>
      </c>
      <c r="P1" s="42" t="s">
        <v>39</v>
      </c>
      <c r="Q1" s="2" t="s">
        <v>67</v>
      </c>
      <c r="R1" s="2" t="s">
        <v>68</v>
      </c>
      <c r="S1" s="2" t="s">
        <v>33</v>
      </c>
    </row>
    <row r="2" spans="1:19" ht="32">
      <c r="A2" s="1" t="s">
        <v>24</v>
      </c>
      <c r="B2" s="3" t="s">
        <v>23</v>
      </c>
      <c r="C2" s="4">
        <v>42780</v>
      </c>
      <c r="D2" s="5">
        <v>0.32777777777777778</v>
      </c>
      <c r="E2" s="15">
        <v>24.2</v>
      </c>
      <c r="F2" s="43">
        <v>34.9</v>
      </c>
      <c r="G2" s="43">
        <v>6.8</v>
      </c>
      <c r="H2" s="15">
        <v>98.7</v>
      </c>
      <c r="I2" s="43">
        <v>8.15</v>
      </c>
      <c r="J2" s="43">
        <f>AVERAGE(0.94,0.76,0.82)</f>
        <v>0.84</v>
      </c>
      <c r="K2" s="43">
        <v>80.511363403058695</v>
      </c>
      <c r="L2" s="43">
        <v>11.103612464387719</v>
      </c>
      <c r="M2" s="43">
        <v>6.753855053050847</v>
      </c>
      <c r="N2" s="43">
        <v>205.37462304336026</v>
      </c>
      <c r="O2" s="43">
        <v>12.878168324690439</v>
      </c>
      <c r="P2" s="43">
        <v>6.6491791293165639</v>
      </c>
      <c r="Q2" s="1">
        <v>2</v>
      </c>
      <c r="R2" s="3" t="s">
        <v>30</v>
      </c>
      <c r="S2" s="16" t="s">
        <v>36</v>
      </c>
    </row>
    <row r="3" spans="1:19" ht="32">
      <c r="A3" s="1" t="s">
        <v>24</v>
      </c>
      <c r="B3" s="3" t="s">
        <v>23</v>
      </c>
      <c r="C3" s="4">
        <v>42801</v>
      </c>
      <c r="D3" s="5">
        <v>0.31944444444444448</v>
      </c>
      <c r="E3" s="15">
        <v>24.2</v>
      </c>
      <c r="F3" s="43">
        <v>34.5</v>
      </c>
      <c r="G3" s="43">
        <v>6.75</v>
      </c>
      <c r="H3" s="15">
        <v>97.9</v>
      </c>
      <c r="I3" s="43">
        <v>8.16</v>
      </c>
      <c r="J3" s="43">
        <f>AVERAGE(1.69,1.99,1.73)</f>
        <v>1.8033333333333335</v>
      </c>
      <c r="K3" s="43">
        <v>224.4680182662056</v>
      </c>
      <c r="L3" s="43">
        <v>15.194260041237232</v>
      </c>
      <c r="M3" s="43">
        <v>9.2068195097457632</v>
      </c>
      <c r="N3" s="43">
        <v>171.59256486215949</v>
      </c>
      <c r="O3" s="43">
        <v>16.229580378876069</v>
      </c>
      <c r="P3" s="43">
        <v>15.976949881539294</v>
      </c>
      <c r="Q3" s="1">
        <v>1</v>
      </c>
      <c r="R3" s="3" t="s">
        <v>29</v>
      </c>
      <c r="S3" s="16" t="s">
        <v>36</v>
      </c>
    </row>
    <row r="4" spans="1:19" ht="32">
      <c r="A4" s="1" t="s">
        <v>24</v>
      </c>
      <c r="B4" s="3" t="s">
        <v>23</v>
      </c>
      <c r="C4" s="4">
        <v>42822</v>
      </c>
      <c r="D4" s="5">
        <v>0.32013888888888892</v>
      </c>
      <c r="E4" s="15">
        <v>24.4</v>
      </c>
      <c r="F4" s="43">
        <v>34.4</v>
      </c>
      <c r="G4" s="43">
        <v>6.75</v>
      </c>
      <c r="H4" s="15">
        <v>97.6</v>
      </c>
      <c r="I4" s="43">
        <v>8.11</v>
      </c>
      <c r="J4" s="43">
        <f>AVERAGE(1,0.8,0.72)</f>
        <v>0.84</v>
      </c>
      <c r="K4" s="43">
        <v>109.54088430726156</v>
      </c>
      <c r="L4" s="43">
        <v>14.068326391377211</v>
      </c>
      <c r="M4" s="43">
        <v>8.8078101421246124</v>
      </c>
      <c r="N4" s="43">
        <v>326.90095583239349</v>
      </c>
      <c r="O4" s="43">
        <v>26.322892773961495</v>
      </c>
      <c r="P4" s="43">
        <v>8.9996369939208183</v>
      </c>
      <c r="Q4" s="1">
        <v>1</v>
      </c>
      <c r="R4" s="3" t="s">
        <v>28</v>
      </c>
      <c r="S4" s="16" t="s">
        <v>36</v>
      </c>
    </row>
    <row r="5" spans="1:19" ht="32">
      <c r="A5" s="1" t="s">
        <v>24</v>
      </c>
      <c r="B5" s="3" t="s">
        <v>23</v>
      </c>
      <c r="C5" s="4">
        <v>42843</v>
      </c>
      <c r="D5" s="5">
        <v>0.32500000000000001</v>
      </c>
      <c r="E5" s="15">
        <v>24.8</v>
      </c>
      <c r="F5" s="43">
        <v>34</v>
      </c>
      <c r="G5" s="43">
        <v>6.84</v>
      </c>
      <c r="H5" s="15">
        <v>99.5</v>
      </c>
      <c r="I5" s="43">
        <v>8.15</v>
      </c>
      <c r="J5" s="43">
        <f>AVERAGE(0.97,1.05,0.98)</f>
        <v>1</v>
      </c>
      <c r="K5" s="43">
        <v>161.43533484142617</v>
      </c>
      <c r="L5" s="43">
        <v>13.287276209326707</v>
      </c>
      <c r="M5" s="43">
        <v>9.2763184125036133</v>
      </c>
      <c r="N5" s="43">
        <v>437.66112232604496</v>
      </c>
      <c r="O5" s="43">
        <v>20.273420122818223</v>
      </c>
      <c r="P5" s="43">
        <v>6.2741880480838601</v>
      </c>
      <c r="Q5" s="1">
        <v>1</v>
      </c>
      <c r="R5" s="3" t="s">
        <v>28</v>
      </c>
      <c r="S5" s="16" t="s">
        <v>36</v>
      </c>
    </row>
    <row r="6" spans="1:19" ht="32">
      <c r="A6" s="1" t="s">
        <v>24</v>
      </c>
      <c r="B6" s="3" t="s">
        <v>23</v>
      </c>
      <c r="C6" s="4">
        <v>42864</v>
      </c>
      <c r="D6" s="5">
        <v>0.31597222222222221</v>
      </c>
      <c r="E6" s="15">
        <v>25.3</v>
      </c>
      <c r="F6" s="43">
        <v>33.200000000000003</v>
      </c>
      <c r="G6" s="43">
        <v>7.2</v>
      </c>
      <c r="H6" s="15">
        <v>102.6</v>
      </c>
      <c r="I6" s="43">
        <v>8.1199999999999992</v>
      </c>
      <c r="J6" s="43">
        <f>AVERAGE(0.74,0.74,0.78)</f>
        <v>0.7533333333333333</v>
      </c>
      <c r="K6" s="43">
        <v>137.53900392855439</v>
      </c>
      <c r="L6" s="43">
        <v>17.932087978505169</v>
      </c>
      <c r="M6" s="43">
        <v>13.543249361190203</v>
      </c>
      <c r="N6" s="43">
        <v>1088.8460933208503</v>
      </c>
      <c r="O6" s="43">
        <v>56.568230243061322</v>
      </c>
      <c r="P6" s="43">
        <v>5.101126761553302</v>
      </c>
      <c r="Q6" s="1">
        <v>1</v>
      </c>
      <c r="R6" s="3" t="s">
        <v>27</v>
      </c>
      <c r="S6" s="16" t="s">
        <v>36</v>
      </c>
    </row>
    <row r="7" spans="1:19" ht="32">
      <c r="A7" s="1" t="s">
        <v>24</v>
      </c>
      <c r="B7" s="3" t="s">
        <v>23</v>
      </c>
      <c r="C7" s="4">
        <v>42885</v>
      </c>
      <c r="D7" s="5">
        <v>0.31944444444444448</v>
      </c>
      <c r="E7" s="15">
        <v>25.7</v>
      </c>
      <c r="F7" s="43">
        <v>33.9</v>
      </c>
      <c r="G7" s="43">
        <v>6.92</v>
      </c>
      <c r="H7" s="15">
        <v>102.2</v>
      </c>
      <c r="I7" s="43">
        <v>8.09</v>
      </c>
      <c r="J7" s="43">
        <f>AVERAGE(1.12,0.93,1.17)</f>
        <v>1.0733333333333335</v>
      </c>
      <c r="K7" s="43">
        <v>102.74551778006584</v>
      </c>
      <c r="L7" s="43">
        <v>11.341599336712074</v>
      </c>
      <c r="M7" s="43">
        <v>8.8868118838252101</v>
      </c>
      <c r="N7" s="43">
        <v>692.05595977538258</v>
      </c>
      <c r="O7" s="43">
        <v>36.118369729489537</v>
      </c>
      <c r="P7" s="43">
        <v>4.3071280418002766</v>
      </c>
      <c r="Q7" s="1">
        <v>1</v>
      </c>
      <c r="R7" s="3" t="s">
        <v>78</v>
      </c>
      <c r="S7" s="16" t="s">
        <v>36</v>
      </c>
    </row>
    <row r="8" spans="1:19" ht="32">
      <c r="A8" s="1" t="s">
        <v>24</v>
      </c>
      <c r="B8" s="3" t="s">
        <v>23</v>
      </c>
      <c r="C8" s="4">
        <v>42906</v>
      </c>
      <c r="D8" s="5">
        <v>0.32013888888888892</v>
      </c>
      <c r="E8" s="15">
        <v>26.2</v>
      </c>
      <c r="F8" s="43">
        <v>33.6</v>
      </c>
      <c r="G8" s="43">
        <v>6.9</v>
      </c>
      <c r="H8" s="15">
        <v>102.9</v>
      </c>
      <c r="I8" s="43">
        <v>8.1</v>
      </c>
      <c r="J8" s="43">
        <f>AVERAGE(1.85,2.11,1.87)</f>
        <v>1.9433333333333334</v>
      </c>
      <c r="K8" s="43">
        <v>121.2358823940389</v>
      </c>
      <c r="L8" s="43">
        <v>21.676725251737661</v>
      </c>
      <c r="M8" s="43">
        <v>11.421261997576739</v>
      </c>
      <c r="N8" s="43">
        <v>749.69257787659569</v>
      </c>
      <c r="O8" s="43">
        <v>43.876278554292277</v>
      </c>
      <c r="P8" s="43">
        <v>3.0313526064738925</v>
      </c>
      <c r="Q8" s="1">
        <v>2</v>
      </c>
      <c r="R8" s="3" t="s">
        <v>25</v>
      </c>
      <c r="S8" s="16" t="s">
        <v>36</v>
      </c>
    </row>
    <row r="9" spans="1:19" ht="32">
      <c r="A9" s="1" t="s">
        <v>24</v>
      </c>
      <c r="B9" s="3" t="s">
        <v>23</v>
      </c>
      <c r="C9" s="4">
        <v>42927</v>
      </c>
      <c r="D9" s="5">
        <v>0.3298611111111111</v>
      </c>
      <c r="E9" s="15">
        <v>26.6</v>
      </c>
      <c r="F9" s="43">
        <v>32.799999999999997</v>
      </c>
      <c r="G9" s="43">
        <v>6.6</v>
      </c>
      <c r="H9" s="15">
        <v>98.6</v>
      </c>
      <c r="I9" s="43">
        <v>8.08</v>
      </c>
      <c r="J9" s="43">
        <f>AVERAGE(0.81,0.8,0.89)</f>
        <v>0.83333333333333337</v>
      </c>
      <c r="K9" s="43">
        <v>142.76889442637653</v>
      </c>
      <c r="L9" s="43">
        <v>17.731294264184893</v>
      </c>
      <c r="M9" s="43">
        <v>13.492711317767247</v>
      </c>
      <c r="N9" s="43">
        <v>1216.755679209534</v>
      </c>
      <c r="O9" s="43">
        <v>83.532583842309833</v>
      </c>
      <c r="P9" s="43">
        <v>7.8697692145345801</v>
      </c>
      <c r="Q9" s="1">
        <v>2</v>
      </c>
      <c r="R9" s="3" t="s">
        <v>75</v>
      </c>
      <c r="S9" s="16" t="s">
        <v>36</v>
      </c>
    </row>
    <row r="10" spans="1:19" ht="32">
      <c r="A10" s="1" t="s">
        <v>24</v>
      </c>
      <c r="B10" s="3" t="s">
        <v>23</v>
      </c>
      <c r="C10" s="4">
        <v>42948</v>
      </c>
      <c r="D10" s="5">
        <v>0.33333333333333331</v>
      </c>
      <c r="E10" s="15">
        <v>26.9</v>
      </c>
      <c r="F10" s="43">
        <v>32.9</v>
      </c>
      <c r="G10" s="43">
        <v>6.75</v>
      </c>
      <c r="H10" s="15">
        <v>101.4</v>
      </c>
      <c r="I10" s="43">
        <v>8.09</v>
      </c>
      <c r="J10" s="43">
        <f>AVERAGE(0.69,0.77,0.76)</f>
        <v>0.73999999999999988</v>
      </c>
      <c r="K10" s="43">
        <v>161.70443225333699</v>
      </c>
      <c r="L10" s="43">
        <v>23.251316639415418</v>
      </c>
      <c r="M10" s="43">
        <v>14.265895982708306</v>
      </c>
      <c r="N10" s="43">
        <v>907.91009585709742</v>
      </c>
      <c r="O10" s="43">
        <v>64.749493623468297</v>
      </c>
      <c r="P10" s="43">
        <v>5.7348286773121533</v>
      </c>
      <c r="Q10" s="1">
        <v>2</v>
      </c>
      <c r="R10" s="3" t="s">
        <v>11</v>
      </c>
      <c r="S10" s="16" t="s">
        <v>36</v>
      </c>
    </row>
    <row r="11" spans="1:19" ht="32">
      <c r="A11" s="1" t="s">
        <v>24</v>
      </c>
      <c r="B11" s="3" t="s">
        <v>23</v>
      </c>
      <c r="C11" s="4">
        <v>42969</v>
      </c>
      <c r="D11" s="5">
        <v>0.3298611111111111</v>
      </c>
      <c r="E11" s="15">
        <v>26.4</v>
      </c>
      <c r="F11" s="43">
        <v>33.6</v>
      </c>
      <c r="G11" s="43">
        <v>6.61</v>
      </c>
      <c r="H11" s="15">
        <v>99</v>
      </c>
      <c r="I11" s="43">
        <v>8.0399999999999991</v>
      </c>
      <c r="J11" s="43">
        <f>AVERAGE(1.36,1.57,1.64)</f>
        <v>1.5233333333333334</v>
      </c>
      <c r="K11" s="43">
        <v>149.63665047332131</v>
      </c>
      <c r="L11" s="43">
        <v>16.308798341240408</v>
      </c>
      <c r="M11" s="43">
        <v>12.247963497321978</v>
      </c>
      <c r="N11" s="43">
        <v>784.04073776308326</v>
      </c>
      <c r="O11" s="43">
        <v>48.674931323255194</v>
      </c>
      <c r="P11" s="43">
        <v>5.9014437219795237</v>
      </c>
      <c r="Q11" s="1">
        <v>1</v>
      </c>
      <c r="R11" s="3" t="s">
        <v>0</v>
      </c>
      <c r="S11" s="16" t="s">
        <v>36</v>
      </c>
    </row>
    <row r="12" spans="1:19" ht="32">
      <c r="A12" s="1" t="s">
        <v>24</v>
      </c>
      <c r="B12" s="3" t="s">
        <v>23</v>
      </c>
      <c r="C12" s="4">
        <v>42990</v>
      </c>
      <c r="D12" s="5">
        <v>0.33055555555555555</v>
      </c>
      <c r="E12" s="15">
        <v>27.1</v>
      </c>
      <c r="F12" s="43">
        <v>34.4</v>
      </c>
      <c r="G12" s="43">
        <v>6.31</v>
      </c>
      <c r="H12" s="15">
        <v>96.5</v>
      </c>
      <c r="I12" s="43">
        <v>8.08</v>
      </c>
      <c r="J12" s="43">
        <f>AVERAGE(1.27,1.19,1.13)</f>
        <v>1.1966666666666665</v>
      </c>
      <c r="K12" s="43">
        <v>73.310759280381845</v>
      </c>
      <c r="L12" s="43">
        <v>16.518671685527032</v>
      </c>
      <c r="M12" s="43">
        <v>7.3708068211863678</v>
      </c>
      <c r="N12" s="43">
        <v>407.56091957104303</v>
      </c>
      <c r="O12" s="43">
        <v>17.927674248709156</v>
      </c>
      <c r="P12" s="43">
        <v>8.8087783210355646</v>
      </c>
      <c r="Q12" s="1">
        <v>2</v>
      </c>
      <c r="R12" s="3" t="s">
        <v>60</v>
      </c>
      <c r="S12" s="16" t="s">
        <v>36</v>
      </c>
    </row>
    <row r="13" spans="1:19" ht="32">
      <c r="A13" s="1" t="s">
        <v>24</v>
      </c>
      <c r="B13" s="3" t="s">
        <v>23</v>
      </c>
      <c r="C13" s="4">
        <v>43011</v>
      </c>
      <c r="D13" s="5">
        <v>0.3430555555555555</v>
      </c>
      <c r="E13" s="15">
        <v>27</v>
      </c>
      <c r="F13" s="43">
        <v>33.700000000000003</v>
      </c>
      <c r="G13" s="43">
        <v>6.59</v>
      </c>
      <c r="H13" s="15">
        <v>101</v>
      </c>
      <c r="I13" s="43">
        <v>8.14</v>
      </c>
      <c r="J13" s="43">
        <f>AVERAGE(2.33,2.48,2.51)</f>
        <v>2.44</v>
      </c>
      <c r="K13" s="43">
        <v>117.08136800772471</v>
      </c>
      <c r="L13" s="43">
        <v>13.058275499386815</v>
      </c>
      <c r="M13" s="43">
        <v>10.699087287894704</v>
      </c>
      <c r="N13" s="43">
        <v>608.57220422207547</v>
      </c>
      <c r="O13" s="43">
        <v>37.645881729843296</v>
      </c>
      <c r="P13" s="43">
        <v>7.0984819199173295</v>
      </c>
      <c r="Q13" s="1">
        <v>1</v>
      </c>
      <c r="R13" s="3" t="s">
        <v>20</v>
      </c>
      <c r="S13" s="16" t="s">
        <v>36</v>
      </c>
    </row>
    <row r="14" spans="1:19" ht="32">
      <c r="A14" s="1" t="s">
        <v>24</v>
      </c>
      <c r="B14" s="3" t="s">
        <v>23</v>
      </c>
      <c r="C14" s="4">
        <v>43032</v>
      </c>
      <c r="D14" s="5">
        <v>0.35000000000000003</v>
      </c>
      <c r="E14" s="15">
        <v>26.3</v>
      </c>
      <c r="F14" s="43">
        <v>33.5</v>
      </c>
      <c r="G14" s="43">
        <v>6.31</v>
      </c>
      <c r="H14" s="15">
        <v>94.8</v>
      </c>
      <c r="I14" s="43">
        <v>8.1</v>
      </c>
      <c r="J14" s="43">
        <f>AVERAGE(17.5,16.2,16.5)</f>
        <v>16.733333333333334</v>
      </c>
      <c r="K14" s="43">
        <v>78.712909907827054</v>
      </c>
      <c r="L14" s="43">
        <v>13.58504461465281</v>
      </c>
      <c r="M14" s="43">
        <v>12.428495084877429</v>
      </c>
      <c r="N14" s="43">
        <v>205.26663420317036</v>
      </c>
      <c r="O14" s="43">
        <v>21.680623916659371</v>
      </c>
      <c r="P14" s="43">
        <v>8.3106935818510248</v>
      </c>
      <c r="Q14" s="1">
        <v>3</v>
      </c>
      <c r="R14" s="3" t="s">
        <v>70</v>
      </c>
      <c r="S14" s="16" t="s">
        <v>69</v>
      </c>
    </row>
    <row r="15" spans="1:19" ht="32">
      <c r="A15" s="1" t="s">
        <v>24</v>
      </c>
      <c r="B15" s="3" t="s">
        <v>23</v>
      </c>
      <c r="C15" s="4">
        <v>43053</v>
      </c>
      <c r="D15" s="5">
        <v>0.3444444444444445</v>
      </c>
      <c r="E15" s="15">
        <v>26</v>
      </c>
      <c r="F15" s="43">
        <v>34.9</v>
      </c>
      <c r="G15" s="43">
        <v>6.71</v>
      </c>
      <c r="H15" s="15">
        <v>100.8</v>
      </c>
      <c r="I15" s="43">
        <v>8.16</v>
      </c>
      <c r="J15" s="43">
        <f>AVERAGE(1.15,1.08,1.2)</f>
        <v>1.1433333333333333</v>
      </c>
      <c r="K15" s="43">
        <v>77.523192166744508</v>
      </c>
      <c r="L15" s="43">
        <v>12.091126642973714</v>
      </c>
      <c r="M15" s="43">
        <v>8.8712159984040113</v>
      </c>
      <c r="N15" s="43">
        <v>281.7703112096811</v>
      </c>
      <c r="O15" s="43">
        <v>14.033944046166708</v>
      </c>
      <c r="P15" s="43">
        <v>5.8063833528182709</v>
      </c>
      <c r="Q15" s="1">
        <v>1</v>
      </c>
      <c r="R15" s="3" t="s">
        <v>72</v>
      </c>
      <c r="S15" s="16" t="s">
        <v>69</v>
      </c>
    </row>
    <row r="16" spans="1:19" ht="32">
      <c r="A16" s="1" t="s">
        <v>24</v>
      </c>
      <c r="B16" s="3" t="s">
        <v>23</v>
      </c>
      <c r="C16" s="4">
        <v>43074</v>
      </c>
      <c r="D16" s="5">
        <v>0.33749999999999997</v>
      </c>
      <c r="E16" s="15">
        <v>24.2</v>
      </c>
      <c r="F16" s="43">
        <v>35.200000000000003</v>
      </c>
      <c r="G16" s="43">
        <v>6.89</v>
      </c>
      <c r="H16" s="15">
        <v>100</v>
      </c>
      <c r="I16" s="43">
        <v>8.17</v>
      </c>
      <c r="J16" s="43">
        <f>AVERAGE(1.04,1.14,1.08)</f>
        <v>1.0866666666666667</v>
      </c>
      <c r="Q16" s="1">
        <v>3</v>
      </c>
      <c r="R16" s="3" t="s">
        <v>61</v>
      </c>
      <c r="S16" s="16" t="s">
        <v>69</v>
      </c>
    </row>
    <row r="17" spans="1:19" ht="32">
      <c r="A17" s="1" t="s">
        <v>24</v>
      </c>
      <c r="B17" s="3" t="s">
        <v>23</v>
      </c>
      <c r="C17" s="4">
        <v>43088</v>
      </c>
      <c r="D17" s="5">
        <v>0.34791666666666665</v>
      </c>
      <c r="E17" s="15">
        <v>24.8</v>
      </c>
      <c r="F17" s="43">
        <v>35.200000000000003</v>
      </c>
      <c r="G17" s="43">
        <v>6.72</v>
      </c>
      <c r="H17" s="15">
        <v>98.9</v>
      </c>
      <c r="I17" s="43">
        <v>8.16</v>
      </c>
      <c r="J17" s="43">
        <f>AVERAGE(1.15,1.28,1.08)</f>
        <v>1.17</v>
      </c>
      <c r="Q17" s="1">
        <v>1</v>
      </c>
      <c r="R17" s="3" t="s">
        <v>13</v>
      </c>
      <c r="S17" s="16" t="s">
        <v>69</v>
      </c>
    </row>
    <row r="18" spans="1:19" ht="32">
      <c r="A18" s="1" t="s">
        <v>24</v>
      </c>
      <c r="B18" s="3" t="s">
        <v>23</v>
      </c>
      <c r="C18" s="4">
        <v>43109</v>
      </c>
      <c r="D18" s="5">
        <v>0.34375</v>
      </c>
      <c r="E18" s="15">
        <v>23.6</v>
      </c>
      <c r="F18" s="43">
        <v>34</v>
      </c>
      <c r="G18" s="43">
        <v>6.95</v>
      </c>
      <c r="H18" s="15">
        <v>99.3</v>
      </c>
      <c r="I18" s="43">
        <v>8.1</v>
      </c>
      <c r="J18" s="43">
        <f>AVERAGE(0.6,0.55,0.5)</f>
        <v>0.54999999999999993</v>
      </c>
      <c r="Q18" s="1">
        <v>3</v>
      </c>
      <c r="R18" s="3" t="s">
        <v>37</v>
      </c>
      <c r="S18" s="16" t="s">
        <v>69</v>
      </c>
    </row>
    <row r="19" spans="1:19" ht="32">
      <c r="A19" s="1" t="s">
        <v>24</v>
      </c>
      <c r="B19" s="3" t="s">
        <v>23</v>
      </c>
      <c r="C19" s="4">
        <v>43130</v>
      </c>
      <c r="D19" s="5">
        <v>0.34375</v>
      </c>
      <c r="E19" s="15">
        <v>23.7</v>
      </c>
      <c r="F19" s="43">
        <v>34.5</v>
      </c>
      <c r="G19" s="44">
        <v>6.89</v>
      </c>
      <c r="H19" s="15">
        <v>99.8</v>
      </c>
      <c r="I19" s="43">
        <v>8.18</v>
      </c>
      <c r="J19" s="43">
        <f>AVERAGE(2.32,1.75,1.88)</f>
        <v>1.9833333333333334</v>
      </c>
      <c r="Q19" s="1">
        <v>1</v>
      </c>
      <c r="R19" s="3" t="s">
        <v>54</v>
      </c>
      <c r="S19" s="16" t="s">
        <v>69</v>
      </c>
    </row>
    <row r="27" spans="1:19">
      <c r="J27" s="41">
        <f>GEOMEAN(J2:J24)</f>
        <v>1.3187472251133174</v>
      </c>
      <c r="K27" s="31">
        <f>GEOMEAN(K2:K24)</f>
        <v>117.79804290724979</v>
      </c>
      <c r="L27" s="44">
        <f t="shared" ref="L27:P27" si="0">GEOMEAN(L2:L24)</f>
        <v>15.13591076756286</v>
      </c>
      <c r="M27" s="31">
        <f t="shared" si="0"/>
        <v>10.259578962090146</v>
      </c>
      <c r="N27" s="44">
        <f t="shared" si="0"/>
        <v>480.91000885227049</v>
      </c>
      <c r="O27" s="41">
        <f t="shared" si="0"/>
        <v>30.263375451788207</v>
      </c>
      <c r="P27" s="41">
        <f t="shared" si="0"/>
        <v>6.6359021575991957</v>
      </c>
      <c r="S27" s="16" t="s">
        <v>43</v>
      </c>
    </row>
    <row r="28" spans="1:19">
      <c r="D28" s="5">
        <f>AVERAGE(D4:D10)</f>
        <v>0.32341269841269848</v>
      </c>
      <c r="E28" s="43">
        <f>AVERAGE(E2:E24)</f>
        <v>25.411111111111111</v>
      </c>
      <c r="F28" s="43">
        <f t="shared" ref="F28:H28" si="1">AVERAGE(F2:F24)</f>
        <v>34.066666666666663</v>
      </c>
      <c r="G28" s="43">
        <f t="shared" si="1"/>
        <v>6.7494444444444452</v>
      </c>
      <c r="H28" s="43">
        <f t="shared" si="1"/>
        <v>99.527777777777771</v>
      </c>
      <c r="I28" s="43">
        <f>AVERAGE(I2:I24)</f>
        <v>8.1211111111111123</v>
      </c>
      <c r="J28" s="43">
        <f>AVERAGE(J2:J24)</f>
        <v>2.0918518518518519</v>
      </c>
      <c r="K28" s="43">
        <f>AVERAGE(K2:K24)</f>
        <v>124.15815795973744</v>
      </c>
      <c r="L28" s="43">
        <f t="shared" ref="L28:N28" si="2">AVERAGE(L2:L24)</f>
        <v>15.510601097190348</v>
      </c>
      <c r="M28" s="43">
        <f t="shared" si="2"/>
        <v>10.519450167869788</v>
      </c>
      <c r="N28" s="43">
        <f t="shared" si="2"/>
        <v>577.42860564803379</v>
      </c>
      <c r="O28" s="43">
        <f t="shared" ref="O28:P28" si="3">AVERAGE(O2:O24)</f>
        <v>35.750862346971516</v>
      </c>
      <c r="P28" s="43">
        <f t="shared" si="3"/>
        <v>7.1335671608668898</v>
      </c>
      <c r="S28" s="16" t="s">
        <v>44</v>
      </c>
    </row>
    <row r="29" spans="1:19">
      <c r="E29" s="43">
        <f>STDEV(E2:E24)</f>
        <v>1.1935556808957812</v>
      </c>
      <c r="F29" s="43">
        <f t="shared" ref="F29:H29" si="4">STDEV(F2:F24)</f>
        <v>0.73564697415860147</v>
      </c>
      <c r="G29" s="43">
        <f t="shared" si="4"/>
        <v>0.21707879356206866</v>
      </c>
      <c r="H29" s="43">
        <f t="shared" si="4"/>
        <v>2.1101451178293931</v>
      </c>
      <c r="I29" s="43">
        <f>STDEV(I2:I24)</f>
        <v>3.894020890108385E-2</v>
      </c>
      <c r="J29" s="43">
        <f>STDEV(J2:J24)</f>
        <v>3.6897300009660667</v>
      </c>
      <c r="K29" s="43">
        <f>STDEV(K2:K24)</f>
        <v>42.514537393591738</v>
      </c>
      <c r="L29" s="43">
        <f t="shared" ref="L29:N29" si="5">STDEV(L2:L24)</f>
        <v>3.6766222624439715</v>
      </c>
      <c r="M29" s="43">
        <f t="shared" si="5"/>
        <v>2.404661771958426</v>
      </c>
      <c r="N29" s="43">
        <f t="shared" si="5"/>
        <v>340.38183015443718</v>
      </c>
      <c r="O29" s="43">
        <f t="shared" ref="O29:P29" si="6">STDEV(O2:O24)</f>
        <v>21.508669150645591</v>
      </c>
      <c r="P29" s="43">
        <f t="shared" si="6"/>
        <v>3.0581509366333974</v>
      </c>
      <c r="S29" s="16" t="s">
        <v>45</v>
      </c>
    </row>
    <row r="31" spans="1:19">
      <c r="J31" s="43">
        <f>J27/0.2</f>
        <v>6.5937361255665872</v>
      </c>
      <c r="K31" s="43">
        <f>K27/110</f>
        <v>1.0708912991568162</v>
      </c>
      <c r="L31" s="43">
        <f>L27/16</f>
        <v>0.94599442297267877</v>
      </c>
      <c r="M31" s="43">
        <f>M27/6</f>
        <v>1.7099298270150243</v>
      </c>
      <c r="N31" s="43">
        <f>N27</f>
        <v>480.91000885227049</v>
      </c>
      <c r="O31" s="43">
        <f>O27/3.5</f>
        <v>8.6466787005109165</v>
      </c>
      <c r="P31" s="43">
        <f>P27/2</f>
        <v>3.3179510787995978</v>
      </c>
      <c r="S31" s="16" t="s">
        <v>46</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I20" activePane="bottomRight" state="frozen"/>
      <selection pane="topRight" activeCell="D1" sqref="D1"/>
      <selection pane="bottomLeft" activeCell="A2" sqref="A2"/>
      <selection pane="bottomRight" activeCell="A30" sqref="A30:XFD30"/>
    </sheetView>
  </sheetViews>
  <sheetFormatPr baseColWidth="10" defaultRowHeight="16"/>
  <cols>
    <col min="1" max="1" width="16.42578125" style="1" customWidth="1"/>
    <col min="2" max="2" width="10.7109375" style="3"/>
    <col min="3" max="4" width="10.7109375" style="1"/>
    <col min="5" max="5" width="13.140625" style="6" customWidth="1"/>
    <col min="6" max="6" width="10.7109375" style="54"/>
    <col min="7" max="7" width="10.7109375" style="8"/>
    <col min="8" max="8" width="10.7109375" style="6"/>
    <col min="9" max="9" width="10.7109375" style="43"/>
    <col min="10" max="11" width="10.7109375" style="39"/>
    <col min="12" max="12" width="10.7109375" style="43"/>
    <col min="13" max="13" width="12.140625" style="43" customWidth="1"/>
    <col min="14" max="14" width="12" style="43" customWidth="1"/>
    <col min="15" max="16" width="10.7109375" style="39"/>
    <col min="17" max="17" width="12" style="1" customWidth="1"/>
    <col min="18" max="18" width="12" style="3" customWidth="1"/>
    <col min="19" max="19" width="59.5703125" style="16" customWidth="1"/>
    <col min="20" max="16384" width="10.7109375" style="1"/>
  </cols>
  <sheetData>
    <row r="1" spans="1:19" s="2" customFormat="1" ht="32">
      <c r="A1" s="2" t="s">
        <v>83</v>
      </c>
      <c r="B1" s="2" t="s">
        <v>9</v>
      </c>
      <c r="C1" s="2" t="s">
        <v>1</v>
      </c>
      <c r="D1" s="2" t="s">
        <v>2</v>
      </c>
      <c r="E1" s="9" t="s">
        <v>3</v>
      </c>
      <c r="F1" s="53" t="s">
        <v>4</v>
      </c>
      <c r="G1" s="7" t="s">
        <v>5</v>
      </c>
      <c r="H1" s="9" t="s">
        <v>6</v>
      </c>
      <c r="I1" s="42" t="s">
        <v>7</v>
      </c>
      <c r="J1" s="40" t="s">
        <v>8</v>
      </c>
      <c r="K1" s="40" t="s">
        <v>34</v>
      </c>
      <c r="L1" s="42" t="s">
        <v>40</v>
      </c>
      <c r="M1" s="42" t="s">
        <v>41</v>
      </c>
      <c r="N1" s="42" t="s">
        <v>42</v>
      </c>
      <c r="O1" s="40" t="s">
        <v>38</v>
      </c>
      <c r="P1" s="40" t="s">
        <v>39</v>
      </c>
      <c r="Q1" s="2" t="s">
        <v>67</v>
      </c>
      <c r="R1" s="2" t="s">
        <v>68</v>
      </c>
      <c r="S1" s="2" t="s">
        <v>33</v>
      </c>
    </row>
    <row r="2" spans="1:19" ht="32">
      <c r="A2" s="1" t="s">
        <v>10</v>
      </c>
      <c r="B2" s="3" t="s">
        <v>12</v>
      </c>
      <c r="C2" s="4">
        <v>42535</v>
      </c>
      <c r="D2" s="5">
        <v>0.3354166666666667</v>
      </c>
      <c r="E2" s="6">
        <v>25.7</v>
      </c>
      <c r="F2" s="54">
        <v>33.299999999999997</v>
      </c>
      <c r="G2" s="8">
        <v>6.86</v>
      </c>
      <c r="H2" s="6">
        <v>102.1</v>
      </c>
      <c r="I2" s="43">
        <v>8.11</v>
      </c>
      <c r="J2" s="39">
        <v>13.9</v>
      </c>
      <c r="K2" s="39">
        <v>311.07</v>
      </c>
      <c r="L2" s="43">
        <v>26.26</v>
      </c>
      <c r="M2" s="43">
        <v>18.72</v>
      </c>
      <c r="N2" s="43">
        <v>1697.47</v>
      </c>
      <c r="O2" s="39">
        <v>233.11</v>
      </c>
      <c r="P2" s="39">
        <v>2.81</v>
      </c>
      <c r="Q2" s="1">
        <v>1</v>
      </c>
      <c r="R2" s="3" t="s">
        <v>50</v>
      </c>
      <c r="S2" s="16" t="s">
        <v>63</v>
      </c>
    </row>
    <row r="3" spans="1:19" ht="32">
      <c r="A3" s="1" t="s">
        <v>10</v>
      </c>
      <c r="B3" s="3" t="s">
        <v>12</v>
      </c>
      <c r="C3" s="4">
        <v>42549</v>
      </c>
      <c r="D3" s="5">
        <v>0.30902777777777779</v>
      </c>
      <c r="E3" s="6">
        <v>25.7</v>
      </c>
      <c r="F3" s="54">
        <v>26.4</v>
      </c>
      <c r="G3" s="8">
        <v>6.71</v>
      </c>
      <c r="H3" s="6">
        <v>100</v>
      </c>
      <c r="I3" s="43">
        <v>8.09</v>
      </c>
      <c r="J3" s="39">
        <v>11.73</v>
      </c>
      <c r="K3" s="39">
        <v>332.98</v>
      </c>
      <c r="L3" s="43">
        <v>24.8</v>
      </c>
      <c r="M3" s="43">
        <v>18.29</v>
      </c>
      <c r="N3" s="43">
        <v>1621.15</v>
      </c>
      <c r="O3" s="39">
        <v>259.14999999999998</v>
      </c>
      <c r="P3" s="39">
        <v>5.43</v>
      </c>
      <c r="Q3" s="1">
        <v>1</v>
      </c>
      <c r="R3" s="3" t="s">
        <v>50</v>
      </c>
      <c r="S3" s="16" t="s">
        <v>63</v>
      </c>
    </row>
    <row r="4" spans="1:19">
      <c r="A4" s="1" t="s">
        <v>10</v>
      </c>
      <c r="B4" s="3" t="s">
        <v>12</v>
      </c>
      <c r="C4" s="4">
        <v>42563</v>
      </c>
      <c r="D4" s="5">
        <v>0.30486111111111108</v>
      </c>
      <c r="E4" s="6">
        <v>26.6</v>
      </c>
      <c r="F4" s="54">
        <v>33.1</v>
      </c>
      <c r="G4" s="8">
        <v>6.49</v>
      </c>
      <c r="H4" s="6">
        <v>97.4</v>
      </c>
      <c r="I4" s="43">
        <v>8.09</v>
      </c>
      <c r="J4" s="39">
        <v>5.14</v>
      </c>
      <c r="K4" s="39">
        <v>308.73783003523698</v>
      </c>
      <c r="L4" s="43">
        <v>24.521677535583397</v>
      </c>
      <c r="M4" s="43">
        <v>16.424225835517664</v>
      </c>
      <c r="N4" s="43">
        <v>1360.2542125965854</v>
      </c>
      <c r="O4" s="39">
        <v>250.73024814634289</v>
      </c>
      <c r="P4" s="39">
        <v>2.2519589521702232</v>
      </c>
      <c r="Q4" s="1">
        <v>1</v>
      </c>
      <c r="R4" s="3" t="s">
        <v>50</v>
      </c>
      <c r="S4" s="16" t="s">
        <v>80</v>
      </c>
    </row>
    <row r="5" spans="1:19" ht="32">
      <c r="A5" s="1" t="s">
        <v>64</v>
      </c>
      <c r="B5" s="3" t="s">
        <v>65</v>
      </c>
      <c r="C5" s="4">
        <v>42577</v>
      </c>
      <c r="D5" s="5">
        <v>0.30624999999999997</v>
      </c>
      <c r="E5" s="6">
        <v>26.8</v>
      </c>
      <c r="F5" s="54">
        <v>34.1</v>
      </c>
      <c r="G5" s="8">
        <v>6.28</v>
      </c>
      <c r="H5" s="6">
        <v>94.9</v>
      </c>
      <c r="I5" s="43">
        <v>8.1199999999999992</v>
      </c>
      <c r="J5" s="39">
        <v>9.2200000000000006</v>
      </c>
      <c r="K5" s="39">
        <v>282.81360313195916</v>
      </c>
      <c r="L5" s="43">
        <v>23.890294770777786</v>
      </c>
      <c r="M5" s="43">
        <v>17.063339169226296</v>
      </c>
      <c r="N5" s="43">
        <v>1116.9624791472459</v>
      </c>
      <c r="O5" s="39">
        <v>200.6699333841529</v>
      </c>
      <c r="P5" s="39">
        <v>6.6931137598671846</v>
      </c>
      <c r="Q5" s="1">
        <v>1</v>
      </c>
      <c r="R5" s="3" t="s">
        <v>49</v>
      </c>
      <c r="S5" s="16" t="s">
        <v>81</v>
      </c>
    </row>
    <row r="6" spans="1:19" ht="48">
      <c r="A6" s="1" t="s">
        <v>10</v>
      </c>
      <c r="B6" s="3" t="s">
        <v>12</v>
      </c>
      <c r="C6" s="4">
        <v>42591</v>
      </c>
      <c r="D6" s="5">
        <v>0.30555555555555552</v>
      </c>
      <c r="E6" s="6">
        <v>26.5</v>
      </c>
      <c r="F6" s="54">
        <v>34.4</v>
      </c>
      <c r="G6" s="8">
        <v>6.23</v>
      </c>
      <c r="H6" s="6">
        <v>93.8</v>
      </c>
      <c r="I6" s="43">
        <v>8.09</v>
      </c>
      <c r="J6" s="39">
        <f>AVERAGE(4.52,4.7,4.54)</f>
        <v>4.586666666666666</v>
      </c>
      <c r="K6" s="39">
        <v>156.99153495553247</v>
      </c>
      <c r="L6" s="43">
        <v>18.414985973920164</v>
      </c>
      <c r="M6" s="43">
        <v>9.9635673353076548</v>
      </c>
      <c r="N6" s="43">
        <v>592.28605399180719</v>
      </c>
      <c r="O6" s="39">
        <v>110.39970567863634</v>
      </c>
      <c r="P6" s="39">
        <v>4.8652185744198215</v>
      </c>
      <c r="Q6" s="1">
        <v>1</v>
      </c>
      <c r="R6" s="3" t="s">
        <v>49</v>
      </c>
      <c r="S6" s="16" t="s">
        <v>62</v>
      </c>
    </row>
    <row r="7" spans="1:19" ht="32">
      <c r="A7" s="1" t="s">
        <v>10</v>
      </c>
      <c r="B7" s="3" t="s">
        <v>12</v>
      </c>
      <c r="C7" s="4">
        <v>42605</v>
      </c>
      <c r="D7" s="5">
        <v>0.30208333333333331</v>
      </c>
      <c r="E7" s="6">
        <v>27.1</v>
      </c>
      <c r="F7" s="54">
        <v>34.5</v>
      </c>
      <c r="G7" s="8">
        <v>5.9</v>
      </c>
      <c r="H7" s="6">
        <v>90.2</v>
      </c>
      <c r="I7" s="43">
        <v>7.86</v>
      </c>
      <c r="J7" s="39">
        <f>AVERAGE(3.54,4.03,4.37)</f>
        <v>3.9800000000000004</v>
      </c>
      <c r="K7" s="39">
        <v>180.78864041410768</v>
      </c>
      <c r="L7" s="43">
        <v>18.638107774896579</v>
      </c>
      <c r="M7" s="43">
        <v>14.44949436161286</v>
      </c>
      <c r="N7" s="43">
        <v>710.63837140446094</v>
      </c>
      <c r="O7" s="39">
        <v>126.76056952096123</v>
      </c>
      <c r="P7" s="39">
        <v>5.0463925027627523</v>
      </c>
      <c r="Q7" s="1">
        <v>1</v>
      </c>
      <c r="R7" s="3" t="s">
        <v>50</v>
      </c>
      <c r="S7" s="16" t="s">
        <v>76</v>
      </c>
    </row>
    <row r="8" spans="1:19" ht="32">
      <c r="A8" s="1" t="s">
        <v>10</v>
      </c>
      <c r="B8" s="3" t="s">
        <v>12</v>
      </c>
      <c r="C8" s="4">
        <v>42619</v>
      </c>
      <c r="D8" s="5">
        <v>0.30624999999999997</v>
      </c>
      <c r="E8" s="6">
        <v>26.7</v>
      </c>
      <c r="F8" s="54">
        <v>34.9</v>
      </c>
      <c r="G8" s="8">
        <v>6.31</v>
      </c>
      <c r="H8" s="6">
        <v>95.4</v>
      </c>
      <c r="I8" s="43">
        <v>8.11</v>
      </c>
      <c r="J8" s="39">
        <f>AVERAGE(10.8,11.5,10.4)</f>
        <v>10.9</v>
      </c>
      <c r="K8" s="39">
        <v>137.95639750596047</v>
      </c>
      <c r="L8" s="43">
        <v>18.437298154017807</v>
      </c>
      <c r="M8" s="43">
        <v>12.090060066349029</v>
      </c>
      <c r="N8" s="43">
        <v>626.95535728573543</v>
      </c>
      <c r="O8" s="39">
        <v>83.692541555170806</v>
      </c>
      <c r="P8" s="39">
        <v>4.9844080177979402</v>
      </c>
      <c r="Q8" s="1">
        <v>2</v>
      </c>
      <c r="R8" s="3" t="s">
        <v>49</v>
      </c>
      <c r="S8" s="16" t="s">
        <v>73</v>
      </c>
    </row>
    <row r="9" spans="1:19" ht="48">
      <c r="A9" s="1" t="s">
        <v>10</v>
      </c>
      <c r="B9" s="3" t="s">
        <v>12</v>
      </c>
      <c r="C9" s="4">
        <v>42633</v>
      </c>
      <c r="D9" s="5">
        <v>0.30208333333333331</v>
      </c>
      <c r="E9" s="6">
        <v>26.4</v>
      </c>
      <c r="F9" s="54">
        <v>35.700000000000003</v>
      </c>
      <c r="G9" s="8">
        <v>6.22</v>
      </c>
      <c r="H9" s="6">
        <v>94.4</v>
      </c>
      <c r="I9" s="43">
        <v>7.98</v>
      </c>
      <c r="J9" s="39">
        <f>AVERAGE(8.26,8.14,8.38)</f>
        <v>8.26</v>
      </c>
      <c r="K9" s="39">
        <v>112.75373245793847</v>
      </c>
      <c r="L9" s="43">
        <v>16.849414670402314</v>
      </c>
      <c r="M9" s="43">
        <v>11.326904217963309</v>
      </c>
      <c r="N9" s="43">
        <v>374.09967073425105</v>
      </c>
      <c r="O9" s="39">
        <v>44.089700902460777</v>
      </c>
      <c r="P9" s="39">
        <v>4.905518673297272</v>
      </c>
      <c r="Q9" s="1">
        <v>1</v>
      </c>
      <c r="R9" s="3" t="s">
        <v>50</v>
      </c>
      <c r="S9" s="16" t="s">
        <v>74</v>
      </c>
    </row>
    <row r="10" spans="1:19" ht="32">
      <c r="A10" s="1" t="s">
        <v>10</v>
      </c>
      <c r="B10" s="3" t="s">
        <v>12</v>
      </c>
      <c r="C10" s="4">
        <v>42647</v>
      </c>
      <c r="D10" s="5">
        <v>0.31736111111111115</v>
      </c>
      <c r="E10" s="6">
        <v>26.9</v>
      </c>
      <c r="F10" s="54">
        <v>34.4</v>
      </c>
      <c r="G10" s="8">
        <v>6.03</v>
      </c>
      <c r="H10" s="6">
        <v>91.4</v>
      </c>
      <c r="I10" s="43">
        <v>8.09</v>
      </c>
      <c r="J10" s="39">
        <f>AVERAGE(5.18,5.63,5.34)</f>
        <v>5.3833333333333329</v>
      </c>
      <c r="K10" s="39">
        <v>109.79822362372086</v>
      </c>
      <c r="L10" s="43">
        <v>21.401099410321191</v>
      </c>
      <c r="M10" s="43">
        <v>11.97863153840137</v>
      </c>
      <c r="N10" s="43">
        <v>496.53240906263812</v>
      </c>
      <c r="O10" s="39">
        <v>52.673664384280393</v>
      </c>
      <c r="P10" s="39">
        <v>7.020880096550921</v>
      </c>
      <c r="Q10" s="1">
        <v>2</v>
      </c>
      <c r="R10" s="3" t="s">
        <v>49</v>
      </c>
      <c r="S10" s="16" t="s">
        <v>73</v>
      </c>
    </row>
    <row r="11" spans="1:19" ht="32">
      <c r="A11" s="1" t="s">
        <v>10</v>
      </c>
      <c r="B11" s="3" t="s">
        <v>12</v>
      </c>
      <c r="C11" s="4">
        <v>42661</v>
      </c>
      <c r="D11" s="5">
        <v>0.31875000000000003</v>
      </c>
      <c r="E11" s="6">
        <v>26.6</v>
      </c>
      <c r="F11" s="54">
        <v>36</v>
      </c>
      <c r="G11" s="8">
        <v>6.23</v>
      </c>
      <c r="H11" s="6">
        <v>95</v>
      </c>
      <c r="I11" s="43">
        <v>7.95</v>
      </c>
      <c r="J11" s="39">
        <f>AVERAGE(7.83,8.85,8.66)</f>
        <v>8.4466666666666672</v>
      </c>
      <c r="K11" s="39">
        <v>105.57432403177501</v>
      </c>
      <c r="L11" s="43">
        <v>12.873146370357313</v>
      </c>
      <c r="M11" s="43">
        <v>11.669704356502832</v>
      </c>
      <c r="N11" s="43">
        <v>399.05084977789136</v>
      </c>
      <c r="O11" s="39">
        <v>38.622680833154789</v>
      </c>
      <c r="P11" s="39">
        <v>10.936162657709138</v>
      </c>
      <c r="Q11" s="1">
        <v>1</v>
      </c>
      <c r="R11" s="3" t="s">
        <v>50</v>
      </c>
      <c r="S11" s="16" t="s">
        <v>73</v>
      </c>
    </row>
    <row r="12" spans="1:19" ht="32">
      <c r="A12" s="1" t="s">
        <v>10</v>
      </c>
      <c r="B12" s="3" t="s">
        <v>12</v>
      </c>
      <c r="C12" s="4">
        <v>42675</v>
      </c>
      <c r="D12" s="5">
        <v>0.32222222222222224</v>
      </c>
      <c r="E12" s="6">
        <v>24.8</v>
      </c>
      <c r="F12" s="54">
        <v>34.299999999999997</v>
      </c>
      <c r="G12" s="8">
        <v>6.34</v>
      </c>
      <c r="H12" s="6">
        <v>92.1</v>
      </c>
      <c r="I12" s="43">
        <v>8.07</v>
      </c>
      <c r="J12" s="39">
        <f>AVERAGE(6.83,9.13,7.53)</f>
        <v>7.830000000000001</v>
      </c>
      <c r="K12" s="39">
        <v>154.28236100294347</v>
      </c>
      <c r="L12" s="43">
        <v>18.698229178715437</v>
      </c>
      <c r="M12" s="43">
        <v>15.276751066651585</v>
      </c>
      <c r="N12" s="43">
        <v>800.68232816259194</v>
      </c>
      <c r="O12" s="39">
        <v>83.677182378868096</v>
      </c>
      <c r="P12" s="39">
        <v>7.1638372841557816</v>
      </c>
      <c r="Q12" s="1">
        <v>2</v>
      </c>
      <c r="R12" s="3" t="s">
        <v>49</v>
      </c>
      <c r="S12" s="16" t="s">
        <v>36</v>
      </c>
    </row>
    <row r="13" spans="1:19" ht="32">
      <c r="A13" s="1" t="s">
        <v>10</v>
      </c>
      <c r="B13" s="3" t="s">
        <v>12</v>
      </c>
      <c r="C13" s="4">
        <v>42689</v>
      </c>
      <c r="D13" s="5">
        <v>0.32013888888888892</v>
      </c>
      <c r="E13" s="15">
        <v>24.7</v>
      </c>
      <c r="F13" s="54">
        <v>34.200000000000003</v>
      </c>
      <c r="G13" s="43">
        <v>6.52</v>
      </c>
      <c r="H13" s="15">
        <v>94.9</v>
      </c>
      <c r="I13" s="43">
        <v>8.08</v>
      </c>
      <c r="J13" s="43">
        <f>AVERAGE(3.45,4.73,4.52)</f>
        <v>4.2333333333333334</v>
      </c>
      <c r="K13" s="43">
        <v>133.9971919059231</v>
      </c>
      <c r="L13" s="43">
        <v>11.816923838219711</v>
      </c>
      <c r="M13" s="43">
        <v>10.334078630156499</v>
      </c>
      <c r="N13" s="43">
        <v>521.05047418995389</v>
      </c>
      <c r="O13" s="43">
        <v>41.57356885124878</v>
      </c>
      <c r="P13" s="43">
        <v>2.9097581001792014</v>
      </c>
      <c r="Q13" s="1">
        <v>2</v>
      </c>
      <c r="R13" s="3" t="s">
        <v>49</v>
      </c>
      <c r="S13" s="16" t="s">
        <v>36</v>
      </c>
    </row>
    <row r="14" spans="1:19" ht="32">
      <c r="A14" s="1" t="s">
        <v>10</v>
      </c>
      <c r="B14" s="3" t="s">
        <v>12</v>
      </c>
      <c r="C14" s="4">
        <v>42703</v>
      </c>
      <c r="D14" s="5">
        <v>0.32013888888888892</v>
      </c>
      <c r="E14" s="15">
        <v>24.4</v>
      </c>
      <c r="F14" s="54">
        <v>34.200000000000003</v>
      </c>
      <c r="G14" s="43">
        <v>6.36</v>
      </c>
      <c r="H14" s="15">
        <v>92</v>
      </c>
      <c r="I14" s="43">
        <v>8.0500000000000007</v>
      </c>
      <c r="J14" s="43">
        <f>AVERAGE(4.59,6.44,6.05)</f>
        <v>5.6933333333333342</v>
      </c>
      <c r="K14" s="43">
        <v>134.74007121869758</v>
      </c>
      <c r="L14" s="43">
        <v>15.764420754305661</v>
      </c>
      <c r="M14" s="43">
        <v>10.780690111713746</v>
      </c>
      <c r="N14" s="43">
        <v>675.11975191859597</v>
      </c>
      <c r="O14" s="43">
        <v>67.990160277292759</v>
      </c>
      <c r="P14" s="43">
        <v>2.7920402435108191</v>
      </c>
      <c r="Q14" s="1">
        <v>2</v>
      </c>
      <c r="R14" s="3" t="s">
        <v>49</v>
      </c>
      <c r="S14" s="16" t="s">
        <v>36</v>
      </c>
    </row>
    <row r="15" spans="1:19" ht="32">
      <c r="A15" s="1" t="s">
        <v>10</v>
      </c>
      <c r="B15" s="3" t="s">
        <v>12</v>
      </c>
      <c r="C15" s="4">
        <v>42717</v>
      </c>
      <c r="D15" s="5">
        <v>0.31666666666666665</v>
      </c>
      <c r="E15" s="15">
        <v>24.7</v>
      </c>
      <c r="F15" s="54">
        <v>34.1</v>
      </c>
      <c r="G15" s="43">
        <v>6.56</v>
      </c>
      <c r="H15" s="15">
        <v>95.5</v>
      </c>
      <c r="I15" s="43">
        <v>7.95</v>
      </c>
      <c r="J15" s="43">
        <f>AVERAGE(8.48,8.73,8.22)</f>
        <v>8.4766666666666666</v>
      </c>
      <c r="K15" s="43">
        <v>119.39927394198642</v>
      </c>
      <c r="L15" s="43">
        <v>18.525527624788566</v>
      </c>
      <c r="M15" s="43">
        <v>13.82091545625055</v>
      </c>
      <c r="N15" s="43">
        <v>867.63434104198552</v>
      </c>
      <c r="O15" s="43">
        <v>81.83772481067048</v>
      </c>
      <c r="P15" s="43">
        <v>3.2194662646692982</v>
      </c>
      <c r="Q15" s="1">
        <v>1</v>
      </c>
      <c r="R15" s="3" t="s">
        <v>49</v>
      </c>
      <c r="S15" s="16" t="s">
        <v>36</v>
      </c>
    </row>
    <row r="16" spans="1:19" ht="32">
      <c r="A16" s="1" t="s">
        <v>64</v>
      </c>
      <c r="B16" s="3" t="s">
        <v>12</v>
      </c>
      <c r="C16" s="4">
        <v>42738</v>
      </c>
      <c r="D16" s="5">
        <v>0.36458333333333331</v>
      </c>
      <c r="E16" s="15">
        <v>24.1</v>
      </c>
      <c r="F16" s="54">
        <v>34.700000000000003</v>
      </c>
      <c r="G16" s="43">
        <v>6.45</v>
      </c>
      <c r="H16" s="15">
        <v>93.3</v>
      </c>
      <c r="I16" s="43">
        <v>8.16</v>
      </c>
      <c r="J16" s="43">
        <f>AVERAGE(4.99,5.05,5.42,4.57)</f>
        <v>5.0075000000000003</v>
      </c>
      <c r="K16" s="43">
        <v>121.23875612789199</v>
      </c>
      <c r="L16" s="43">
        <v>19.767967473117963</v>
      </c>
      <c r="M16" s="43">
        <v>11.331430713667244</v>
      </c>
      <c r="N16" s="43">
        <v>448.81724515924702</v>
      </c>
      <c r="O16" s="43">
        <v>56.244559491221715</v>
      </c>
      <c r="P16" s="43">
        <v>3.1675548679601073</v>
      </c>
      <c r="Q16" s="1">
        <v>2</v>
      </c>
      <c r="R16" s="3" t="s">
        <v>49</v>
      </c>
      <c r="S16" s="16" t="s">
        <v>36</v>
      </c>
    </row>
    <row r="17" spans="1:19" ht="32">
      <c r="A17" s="1" t="s">
        <v>64</v>
      </c>
      <c r="B17" s="3" t="s">
        <v>65</v>
      </c>
      <c r="C17" s="4">
        <v>42759</v>
      </c>
      <c r="D17" s="5">
        <v>0.31805555555555554</v>
      </c>
      <c r="E17" s="6">
        <v>23.5</v>
      </c>
      <c r="F17" s="54">
        <v>34.299999999999997</v>
      </c>
      <c r="G17" s="45">
        <v>8.23</v>
      </c>
      <c r="H17" s="6">
        <v>96.4</v>
      </c>
      <c r="I17" s="43">
        <v>8.14</v>
      </c>
      <c r="J17" s="39">
        <f>AVERAGE(11.5,12.3,12.4)</f>
        <v>12.066666666666668</v>
      </c>
      <c r="K17" s="44">
        <v>367.0795093315532</v>
      </c>
      <c r="L17" s="43">
        <v>40.741508595904236</v>
      </c>
      <c r="M17" s="43">
        <v>36.702532715628323</v>
      </c>
      <c r="N17" s="43">
        <v>1085.083136850737</v>
      </c>
      <c r="O17" s="46">
        <v>327.12894644935977</v>
      </c>
      <c r="P17" s="39">
        <v>5.1428422357008161</v>
      </c>
      <c r="Q17" s="1">
        <v>1</v>
      </c>
      <c r="R17" s="3" t="s">
        <v>48</v>
      </c>
      <c r="S17" s="16" t="s">
        <v>36</v>
      </c>
    </row>
    <row r="18" spans="1:19" ht="32">
      <c r="A18" s="1" t="s">
        <v>64</v>
      </c>
      <c r="B18" s="3" t="s">
        <v>65</v>
      </c>
      <c r="C18" s="4">
        <v>42780</v>
      </c>
      <c r="D18" s="5">
        <v>0.35069444444444442</v>
      </c>
      <c r="E18" s="15">
        <v>24</v>
      </c>
      <c r="F18" s="54">
        <v>34.5</v>
      </c>
      <c r="G18" s="43">
        <v>6.71</v>
      </c>
      <c r="H18" s="15">
        <v>97</v>
      </c>
      <c r="I18" s="43">
        <v>8.15</v>
      </c>
      <c r="J18" s="43">
        <f>AVERAGE(3.79,3.81,3.84)</f>
        <v>3.813333333333333</v>
      </c>
      <c r="K18" s="43">
        <v>103.87378218726016</v>
      </c>
      <c r="L18" s="43">
        <v>14.349151495014535</v>
      </c>
      <c r="M18" s="43">
        <v>9.9982253777966097</v>
      </c>
      <c r="N18" s="43">
        <v>316.93018072592633</v>
      </c>
      <c r="O18" s="43">
        <v>36.304699174515818</v>
      </c>
      <c r="P18" s="43">
        <v>6.5142027051574471</v>
      </c>
      <c r="Q18" s="1">
        <v>2</v>
      </c>
      <c r="R18" s="3" t="s">
        <v>26</v>
      </c>
      <c r="S18" s="16" t="s">
        <v>36</v>
      </c>
    </row>
    <row r="19" spans="1:19" ht="32">
      <c r="A19" s="1" t="s">
        <v>64</v>
      </c>
      <c r="B19" s="3" t="s">
        <v>65</v>
      </c>
      <c r="C19" s="4">
        <v>42801</v>
      </c>
      <c r="D19" s="5">
        <v>0.3354166666666667</v>
      </c>
      <c r="E19" s="15">
        <v>24.2</v>
      </c>
      <c r="F19" s="54">
        <v>32.799999999999997</v>
      </c>
      <c r="G19" s="43">
        <v>6.81</v>
      </c>
      <c r="H19" s="15">
        <v>97.7</v>
      </c>
      <c r="I19" s="43">
        <v>8.14</v>
      </c>
      <c r="J19" s="43">
        <f>AVERAGE(9.03,9.79,9.71)</f>
        <v>9.51</v>
      </c>
      <c r="K19" s="43">
        <v>277.55071521972303</v>
      </c>
      <c r="L19" s="43">
        <v>19.50098403909859</v>
      </c>
      <c r="M19" s="43">
        <v>17.46867678898305</v>
      </c>
      <c r="N19" s="43">
        <v>1038.6940373691491</v>
      </c>
      <c r="O19" s="43">
        <v>231.41172875436558</v>
      </c>
      <c r="P19" s="43">
        <v>7.0460098163443687</v>
      </c>
      <c r="Q19" s="1">
        <v>1</v>
      </c>
      <c r="R19" s="3" t="s">
        <v>28</v>
      </c>
      <c r="S19" s="16" t="s">
        <v>36</v>
      </c>
    </row>
    <row r="20" spans="1:19" ht="32">
      <c r="A20" s="1" t="s">
        <v>64</v>
      </c>
      <c r="B20" s="3" t="s">
        <v>65</v>
      </c>
      <c r="C20" s="4">
        <v>42822</v>
      </c>
      <c r="D20" s="5">
        <v>0.33749999999999997</v>
      </c>
      <c r="E20" s="15">
        <v>24.4</v>
      </c>
      <c r="F20" s="54">
        <v>33.4</v>
      </c>
      <c r="G20" s="43">
        <v>6.62</v>
      </c>
      <c r="H20" s="15">
        <v>95.1</v>
      </c>
      <c r="I20" s="43">
        <v>8.1199999999999992</v>
      </c>
      <c r="J20" s="43">
        <f>AVERAGE(3.37,3.02,3.59)</f>
        <v>3.3266666666666667</v>
      </c>
      <c r="K20" s="43">
        <v>159.82982561946915</v>
      </c>
      <c r="L20" s="43">
        <v>21.042543023821771</v>
      </c>
      <c r="M20" s="43">
        <v>12.740426041200543</v>
      </c>
      <c r="N20" s="43">
        <v>669.94843375276014</v>
      </c>
      <c r="O20" s="43">
        <v>94.089888263215315</v>
      </c>
      <c r="P20" s="43">
        <v>7.4902578136179203</v>
      </c>
      <c r="Q20" s="1">
        <v>1</v>
      </c>
      <c r="R20" s="3" t="s">
        <v>28</v>
      </c>
      <c r="S20" s="16" t="s">
        <v>36</v>
      </c>
    </row>
    <row r="21" spans="1:19" ht="32">
      <c r="A21" s="1" t="s">
        <v>64</v>
      </c>
      <c r="B21" s="3" t="s">
        <v>65</v>
      </c>
      <c r="C21" s="4">
        <v>42843</v>
      </c>
      <c r="D21" s="5">
        <v>0.34166666666666662</v>
      </c>
      <c r="E21" s="15">
        <v>24.8</v>
      </c>
      <c r="F21" s="54">
        <v>31.8</v>
      </c>
      <c r="G21" s="43">
        <v>6.59</v>
      </c>
      <c r="H21" s="15">
        <v>94.6</v>
      </c>
      <c r="I21" s="43">
        <v>8.17</v>
      </c>
      <c r="J21" s="43">
        <f>AVERAGE(3.65,3.07,2.99)</f>
        <v>3.2366666666666668</v>
      </c>
      <c r="K21" s="43">
        <v>230.16030244790389</v>
      </c>
      <c r="L21" s="43">
        <v>15.663325513077691</v>
      </c>
      <c r="M21" s="43">
        <v>13.434055739965352</v>
      </c>
      <c r="N21" s="43">
        <v>1122.87536431893</v>
      </c>
      <c r="O21" s="43">
        <v>146.50643110639439</v>
      </c>
      <c r="P21" s="43">
        <v>3.8776192526982296</v>
      </c>
      <c r="Q21" s="1">
        <v>1</v>
      </c>
      <c r="R21" s="3" t="s">
        <v>28</v>
      </c>
      <c r="S21" s="16" t="s">
        <v>36</v>
      </c>
    </row>
    <row r="22" spans="1:19" ht="32">
      <c r="A22" s="1" t="s">
        <v>64</v>
      </c>
      <c r="B22" s="3" t="s">
        <v>65</v>
      </c>
      <c r="C22" s="4">
        <v>42864</v>
      </c>
      <c r="D22" s="5">
        <v>0.33333333333333331</v>
      </c>
      <c r="E22" s="15">
        <v>25.4</v>
      </c>
      <c r="F22" s="54">
        <v>32.299999999999997</v>
      </c>
      <c r="G22" s="43">
        <v>6.78</v>
      </c>
      <c r="H22" s="15">
        <v>98.9</v>
      </c>
      <c r="I22" s="43">
        <v>8.16</v>
      </c>
      <c r="J22" s="43">
        <f>AVERAGE(1.93,2,2.25)</f>
        <v>2.06</v>
      </c>
      <c r="K22" s="43">
        <v>256.83376637675633</v>
      </c>
      <c r="L22" s="43">
        <v>17.068426758076697</v>
      </c>
      <c r="M22" s="43">
        <v>15.815133310168893</v>
      </c>
      <c r="N22" s="43">
        <v>1412.9174139541619</v>
      </c>
      <c r="O22" s="43">
        <v>171.36087372101773</v>
      </c>
      <c r="P22" s="43">
        <v>4.9421935742984289</v>
      </c>
      <c r="Q22" s="1">
        <v>1</v>
      </c>
      <c r="R22" s="3" t="s">
        <v>27</v>
      </c>
      <c r="S22" s="16" t="s">
        <v>36</v>
      </c>
    </row>
    <row r="23" spans="1:19" ht="32">
      <c r="A23" s="1" t="s">
        <v>64</v>
      </c>
      <c r="B23" s="3" t="s">
        <v>65</v>
      </c>
      <c r="C23" s="4">
        <v>42885</v>
      </c>
      <c r="D23" s="5">
        <v>0.33749999999999997</v>
      </c>
      <c r="E23" s="15">
        <v>26.1</v>
      </c>
      <c r="F23" s="54">
        <v>33.1</v>
      </c>
      <c r="G23" s="43">
        <v>6.82</v>
      </c>
      <c r="H23" s="15">
        <v>100.9</v>
      </c>
      <c r="I23" s="43">
        <v>8.1300000000000008</v>
      </c>
      <c r="J23" s="43">
        <f>AVERAGE(4.13,4.08,4.38)</f>
        <v>4.1966666666666663</v>
      </c>
      <c r="K23" s="43">
        <v>221.50061121861035</v>
      </c>
      <c r="L23" s="43">
        <v>14.04271429456219</v>
      </c>
      <c r="M23" s="43">
        <v>12.269213571416927</v>
      </c>
      <c r="N23" s="43">
        <v>1133.7337604265524</v>
      </c>
      <c r="O23" s="43">
        <v>151.18472238512152</v>
      </c>
      <c r="P23" s="43">
        <v>6.190768870040233</v>
      </c>
      <c r="Q23" s="1">
        <v>1</v>
      </c>
      <c r="R23" s="3" t="s">
        <v>78</v>
      </c>
      <c r="S23" s="16" t="s">
        <v>36</v>
      </c>
    </row>
    <row r="24" spans="1:19" ht="32">
      <c r="A24" s="1" t="s">
        <v>64</v>
      </c>
      <c r="B24" s="3" t="s">
        <v>65</v>
      </c>
      <c r="C24" s="4">
        <v>42906</v>
      </c>
      <c r="D24" s="5">
        <v>0.33819444444444446</v>
      </c>
      <c r="E24" s="15">
        <v>25.7</v>
      </c>
      <c r="F24" s="54">
        <v>30.5</v>
      </c>
      <c r="G24" s="43">
        <v>6.96</v>
      </c>
      <c r="H24" s="15">
        <v>101.1</v>
      </c>
      <c r="I24" s="43">
        <v>8.16</v>
      </c>
      <c r="J24" s="43">
        <f>AVERAGE(7.24,7.36,6.7)</f>
        <v>7.1000000000000005</v>
      </c>
      <c r="K24" s="43">
        <v>422.68673335537864</v>
      </c>
      <c r="L24" s="43">
        <v>32.024830795494637</v>
      </c>
      <c r="M24" s="44">
        <v>27.184713868845268</v>
      </c>
      <c r="N24" s="43">
        <v>2784.7139513652924</v>
      </c>
      <c r="O24" s="43">
        <v>373.52974027328673</v>
      </c>
      <c r="P24" s="43">
        <v>2.6756790849872689</v>
      </c>
      <c r="Q24" s="1">
        <v>2</v>
      </c>
      <c r="R24" s="3" t="s">
        <v>25</v>
      </c>
      <c r="S24" s="16" t="s">
        <v>36</v>
      </c>
    </row>
    <row r="25" spans="1:19" ht="32">
      <c r="A25" s="1" t="s">
        <v>10</v>
      </c>
      <c r="B25" s="3" t="s">
        <v>65</v>
      </c>
      <c r="C25" s="4">
        <v>42927</v>
      </c>
      <c r="D25" s="5">
        <v>0.34791666666666665</v>
      </c>
      <c r="E25" s="15">
        <v>26.6</v>
      </c>
      <c r="F25" s="54">
        <v>32.1</v>
      </c>
      <c r="G25" s="43">
        <v>6.18</v>
      </c>
      <c r="H25" s="15">
        <v>91.9</v>
      </c>
      <c r="I25" s="43">
        <v>8.14</v>
      </c>
      <c r="J25" s="43">
        <f>AVERAGE(1.18,1.16,1.12)</f>
        <v>1.1533333333333333</v>
      </c>
      <c r="K25" s="43">
        <v>272.94188495656084</v>
      </c>
      <c r="L25" s="43">
        <v>18.075388772104976</v>
      </c>
      <c r="M25" s="44">
        <v>15.144271560330218</v>
      </c>
      <c r="N25" s="43">
        <v>1651.5683448780019</v>
      </c>
      <c r="O25" s="43">
        <v>252.84304772601078</v>
      </c>
      <c r="P25" s="43">
        <v>6.3544566094564905</v>
      </c>
      <c r="Q25" s="1">
        <v>2</v>
      </c>
      <c r="R25" s="3" t="s">
        <v>75</v>
      </c>
      <c r="S25" s="16" t="s">
        <v>36</v>
      </c>
    </row>
    <row r="26" spans="1:19" ht="32">
      <c r="A26" s="1" t="s">
        <v>10</v>
      </c>
      <c r="B26" s="3" t="s">
        <v>65</v>
      </c>
      <c r="C26" s="4">
        <v>42948</v>
      </c>
      <c r="D26" s="5">
        <v>0.3527777777777778</v>
      </c>
      <c r="E26" s="6">
        <v>26.9</v>
      </c>
      <c r="F26" s="54">
        <v>32.6</v>
      </c>
      <c r="G26" s="8">
        <v>6.54</v>
      </c>
      <c r="H26" s="6">
        <v>98.2</v>
      </c>
      <c r="I26" s="43">
        <v>8.16</v>
      </c>
      <c r="J26" s="39">
        <f>AVERAGE(2.47,2.38,2.17)</f>
        <v>2.34</v>
      </c>
      <c r="K26" s="43">
        <v>270.99250036954572</v>
      </c>
      <c r="L26" s="43">
        <v>20.200901764708739</v>
      </c>
      <c r="M26" s="43">
        <v>14.480417508440375</v>
      </c>
      <c r="N26" s="43">
        <v>1066.3779997789609</v>
      </c>
      <c r="O26" s="43">
        <v>205.3220423215237</v>
      </c>
      <c r="P26" s="43">
        <v>3.6566195180202161</v>
      </c>
      <c r="Q26" s="1">
        <v>2</v>
      </c>
      <c r="R26" s="3" t="s">
        <v>11</v>
      </c>
      <c r="S26" s="16" t="s">
        <v>36</v>
      </c>
    </row>
    <row r="27" spans="1:19" ht="32">
      <c r="A27" s="1" t="s">
        <v>10</v>
      </c>
      <c r="B27" s="3" t="s">
        <v>65</v>
      </c>
      <c r="C27" s="4">
        <v>42969</v>
      </c>
      <c r="D27" s="5">
        <v>0.34791666666666665</v>
      </c>
      <c r="E27" s="15">
        <v>26.6</v>
      </c>
      <c r="F27" s="54">
        <v>33.6</v>
      </c>
      <c r="G27" s="43">
        <v>6.2</v>
      </c>
      <c r="H27" s="15">
        <v>93.1</v>
      </c>
      <c r="I27" s="43">
        <v>8.11</v>
      </c>
      <c r="J27" s="43">
        <f>AVERAGE(1.04,1.1,1.06)</f>
        <v>1.0666666666666667</v>
      </c>
      <c r="K27" s="43">
        <v>224.4105058396874</v>
      </c>
      <c r="L27" s="43">
        <v>18.410195254927228</v>
      </c>
      <c r="M27" s="43">
        <v>12.957314675742685</v>
      </c>
      <c r="N27" s="43">
        <v>998.95166978928057</v>
      </c>
      <c r="O27" s="43">
        <v>139.27245171816728</v>
      </c>
      <c r="P27" s="43">
        <v>5.7563273927531045</v>
      </c>
      <c r="Q27" s="1">
        <v>1</v>
      </c>
      <c r="R27" s="3" t="s">
        <v>0</v>
      </c>
      <c r="S27" s="16" t="s">
        <v>36</v>
      </c>
    </row>
    <row r="28" spans="1:19" ht="32">
      <c r="A28" s="1" t="s">
        <v>10</v>
      </c>
      <c r="B28" s="3" t="s">
        <v>65</v>
      </c>
      <c r="C28" s="4">
        <v>42990</v>
      </c>
      <c r="D28" s="51">
        <v>0.34861111111111115</v>
      </c>
      <c r="E28" s="15">
        <v>27.5</v>
      </c>
      <c r="F28" s="54">
        <v>34.299999999999997</v>
      </c>
      <c r="G28" s="43">
        <v>6.32</v>
      </c>
      <c r="H28" s="15">
        <v>96.9</v>
      </c>
      <c r="I28" s="43">
        <v>8.1300000000000008</v>
      </c>
      <c r="J28" s="43">
        <f>AVERAGE(7.09,6.82,6.73)</f>
        <v>6.88</v>
      </c>
      <c r="K28" s="43">
        <v>84.71758805883718</v>
      </c>
      <c r="L28" s="43">
        <v>17.188549759813181</v>
      </c>
      <c r="M28" s="43">
        <v>10.407573633788308</v>
      </c>
      <c r="N28" s="43">
        <v>476.03475547730739</v>
      </c>
      <c r="O28" s="43">
        <v>45.573639504216139</v>
      </c>
      <c r="P28" s="43">
        <v>5.2977782778280771</v>
      </c>
      <c r="Q28" s="1">
        <v>2</v>
      </c>
      <c r="R28" s="3" t="s">
        <v>60</v>
      </c>
      <c r="S28" s="16" t="s">
        <v>36</v>
      </c>
    </row>
    <row r="29" spans="1:19" ht="32">
      <c r="A29" s="1" t="s">
        <v>10</v>
      </c>
      <c r="B29" s="3" t="s">
        <v>65</v>
      </c>
      <c r="C29" s="4">
        <v>43011</v>
      </c>
      <c r="D29" s="51">
        <v>0.3611111111111111</v>
      </c>
      <c r="E29" s="15">
        <v>26.8</v>
      </c>
      <c r="F29" s="54">
        <v>32.4</v>
      </c>
      <c r="G29" s="43">
        <v>6.29</v>
      </c>
      <c r="H29" s="15">
        <v>94.6</v>
      </c>
      <c r="I29" s="43">
        <v>8.15</v>
      </c>
      <c r="J29" s="43">
        <f>AVERAGE(3.15,3.46,5.79)</f>
        <v>4.1333333333333329</v>
      </c>
      <c r="K29" s="43">
        <v>240.05002782868274</v>
      </c>
      <c r="L29" s="43">
        <v>33.797589880196433</v>
      </c>
      <c r="M29" s="43">
        <v>17.823153714833026</v>
      </c>
      <c r="N29" s="43">
        <v>1292.4405574676887</v>
      </c>
      <c r="O29" s="43">
        <v>151.01392672677929</v>
      </c>
      <c r="P29" s="43">
        <v>7.548061137435063</v>
      </c>
      <c r="Q29" s="1">
        <v>1</v>
      </c>
      <c r="R29" s="3" t="s">
        <v>20</v>
      </c>
      <c r="S29" s="16" t="s">
        <v>36</v>
      </c>
    </row>
    <row r="30" spans="1:19" ht="32">
      <c r="A30" s="1" t="s">
        <v>10</v>
      </c>
      <c r="B30" s="3" t="s">
        <v>65</v>
      </c>
      <c r="C30" s="4">
        <v>43032</v>
      </c>
      <c r="D30" s="51">
        <v>0.36805555555555558</v>
      </c>
      <c r="E30" s="15">
        <v>26.5</v>
      </c>
      <c r="F30" s="54">
        <v>33.299999999999997</v>
      </c>
      <c r="G30" s="43">
        <v>6.34</v>
      </c>
      <c r="H30" s="15">
        <v>96.3</v>
      </c>
      <c r="I30" s="43">
        <v>8.15</v>
      </c>
      <c r="J30" s="43">
        <f>AVERAGE(14.5,15.6,15.3)</f>
        <v>15.133333333333335</v>
      </c>
      <c r="K30" s="43">
        <v>96.55418215700341</v>
      </c>
      <c r="L30" s="43">
        <v>15.129839435826131</v>
      </c>
      <c r="M30" s="43">
        <v>13.431961743363846</v>
      </c>
      <c r="N30" s="43">
        <v>225.39440186438335</v>
      </c>
      <c r="O30" s="43">
        <v>31.188658408474133</v>
      </c>
      <c r="P30" s="43">
        <v>10.589025399832577</v>
      </c>
      <c r="Q30" s="1">
        <v>3</v>
      </c>
      <c r="R30" s="3" t="s">
        <v>70</v>
      </c>
      <c r="S30" s="16" t="s">
        <v>69</v>
      </c>
    </row>
    <row r="31" spans="1:19" ht="32">
      <c r="A31" s="1" t="s">
        <v>10</v>
      </c>
      <c r="B31" s="3" t="s">
        <v>65</v>
      </c>
      <c r="C31" s="4">
        <v>43053</v>
      </c>
      <c r="D31" s="51">
        <v>0.36458333333333331</v>
      </c>
      <c r="E31" s="15">
        <v>25.9</v>
      </c>
      <c r="F31" s="54">
        <v>32.200000000000003</v>
      </c>
      <c r="G31" s="43">
        <v>6.77</v>
      </c>
      <c r="H31" s="15">
        <v>99.7</v>
      </c>
      <c r="I31" s="43">
        <v>8.17</v>
      </c>
      <c r="J31" s="43">
        <f>AVERAGE(8.73,8.62,9.81)</f>
        <v>9.0533333333333346</v>
      </c>
      <c r="K31" s="43">
        <v>333.5238872292249</v>
      </c>
      <c r="L31" s="43">
        <v>22.408584324813674</v>
      </c>
      <c r="M31" s="43">
        <v>21.189364197278145</v>
      </c>
      <c r="N31" s="43">
        <v>1810.7810336341497</v>
      </c>
      <c r="O31" s="43">
        <v>285.63888942195661</v>
      </c>
      <c r="P31" s="43">
        <v>6.6518636946170426</v>
      </c>
      <c r="Q31" s="1">
        <v>1</v>
      </c>
      <c r="R31" s="3" t="s">
        <v>72</v>
      </c>
      <c r="S31" s="16" t="s">
        <v>69</v>
      </c>
    </row>
    <row r="32" spans="1:19" ht="32">
      <c r="A32" s="1" t="s">
        <v>10</v>
      </c>
      <c r="B32" s="3" t="s">
        <v>65</v>
      </c>
      <c r="C32" s="4">
        <v>43074</v>
      </c>
      <c r="D32" s="51">
        <v>0.35486111111111113</v>
      </c>
      <c r="E32" s="15">
        <v>23.5</v>
      </c>
      <c r="F32" s="54">
        <v>34.5</v>
      </c>
      <c r="G32" s="43">
        <v>6.96</v>
      </c>
      <c r="H32" s="15">
        <v>99.3</v>
      </c>
      <c r="I32" s="43">
        <v>8.17</v>
      </c>
      <c r="J32" s="43">
        <f>AVERAGE(31.1,31.8,32.6)</f>
        <v>31.833333333333332</v>
      </c>
      <c r="K32" s="43"/>
      <c r="O32" s="43"/>
      <c r="P32" s="43"/>
      <c r="Q32" s="1">
        <v>3</v>
      </c>
      <c r="R32" s="3" t="s">
        <v>61</v>
      </c>
      <c r="S32" s="16" t="s">
        <v>69</v>
      </c>
    </row>
    <row r="33" spans="1:19" ht="32">
      <c r="A33" s="1" t="s">
        <v>64</v>
      </c>
      <c r="B33" s="3" t="s">
        <v>65</v>
      </c>
      <c r="C33" s="4">
        <v>43088</v>
      </c>
      <c r="D33" s="51">
        <v>0.37152777777777773</v>
      </c>
      <c r="E33" s="15">
        <v>24.8</v>
      </c>
      <c r="F33" s="54">
        <v>34</v>
      </c>
      <c r="G33" s="43">
        <v>6.74</v>
      </c>
      <c r="H33" s="15">
        <v>98.7</v>
      </c>
      <c r="I33" s="43">
        <v>8.16</v>
      </c>
      <c r="J33" s="43">
        <f>AVERAGE(24.5,23.5,22.2)</f>
        <v>23.400000000000002</v>
      </c>
      <c r="K33" s="43"/>
      <c r="O33" s="43"/>
      <c r="P33" s="43"/>
      <c r="Q33" s="1">
        <v>1</v>
      </c>
      <c r="R33" s="3" t="s">
        <v>13</v>
      </c>
      <c r="S33" s="16" t="s">
        <v>69</v>
      </c>
    </row>
    <row r="34" spans="1:19" ht="32">
      <c r="A34" s="1" t="s">
        <v>64</v>
      </c>
      <c r="B34" s="3" t="s">
        <v>65</v>
      </c>
      <c r="C34" s="4">
        <v>43109</v>
      </c>
      <c r="D34" s="51">
        <v>0.3659722222222222</v>
      </c>
      <c r="E34" s="54">
        <v>24.1</v>
      </c>
      <c r="F34" s="54">
        <v>33.9</v>
      </c>
      <c r="G34" s="43">
        <v>6.8</v>
      </c>
      <c r="H34" s="54">
        <v>97.6</v>
      </c>
      <c r="I34" s="43">
        <v>8.16</v>
      </c>
      <c r="J34" s="43">
        <f>AVERAGE(2.32,2.6,2.42)</f>
        <v>2.4466666666666668</v>
      </c>
      <c r="K34" s="43"/>
      <c r="O34" s="43"/>
      <c r="P34" s="43"/>
      <c r="Q34" s="1">
        <v>3</v>
      </c>
      <c r="R34" s="3" t="s">
        <v>37</v>
      </c>
      <c r="S34" s="16" t="s">
        <v>69</v>
      </c>
    </row>
    <row r="35" spans="1:19" ht="32">
      <c r="A35" s="1" t="s">
        <v>64</v>
      </c>
      <c r="B35" s="3" t="s">
        <v>65</v>
      </c>
      <c r="C35" s="4">
        <v>43130</v>
      </c>
      <c r="D35" s="51">
        <v>0.3666666666666667</v>
      </c>
      <c r="E35" s="54">
        <v>23.8</v>
      </c>
      <c r="F35" s="54">
        <v>33.299999999999997</v>
      </c>
      <c r="G35" s="43">
        <v>6.97</v>
      </c>
      <c r="H35" s="54">
        <v>100.2</v>
      </c>
      <c r="I35" s="43">
        <v>8.17</v>
      </c>
      <c r="J35" s="43">
        <f>AVERAGE(19.7,21.3,20.3)</f>
        <v>20.433333333333334</v>
      </c>
      <c r="K35" s="43"/>
      <c r="O35" s="43"/>
      <c r="P35" s="43"/>
      <c r="Q35" s="1">
        <v>1</v>
      </c>
      <c r="R35" s="3" t="s">
        <v>54</v>
      </c>
      <c r="S35" s="16" t="s">
        <v>69</v>
      </c>
    </row>
    <row r="36" spans="1:19">
      <c r="C36" s="4"/>
      <c r="D36" s="51"/>
      <c r="E36" s="54"/>
      <c r="G36" s="43"/>
      <c r="H36" s="54"/>
      <c r="J36" s="43"/>
      <c r="K36" s="43"/>
      <c r="O36" s="43"/>
      <c r="P36" s="43"/>
    </row>
    <row r="37" spans="1:19">
      <c r="E37" s="54"/>
      <c r="G37" s="43"/>
      <c r="H37" s="54"/>
      <c r="J37" s="43"/>
      <c r="K37" s="43"/>
      <c r="O37" s="43"/>
      <c r="P37" s="43"/>
    </row>
    <row r="42" spans="1:19">
      <c r="J42" s="41">
        <f t="shared" ref="J42:P42" si="0">GEOMEAN(J2:J39)</f>
        <v>6.1190435459447912</v>
      </c>
      <c r="K42" s="41">
        <f t="shared" si="0"/>
        <v>188.7785367524433</v>
      </c>
      <c r="L42" s="31">
        <f t="shared" ref="L42:N42" si="1">GEOMEAN(L2:L39)</f>
        <v>19.554098082801993</v>
      </c>
      <c r="M42" s="31">
        <f t="shared" si="1"/>
        <v>14.439687606942126</v>
      </c>
      <c r="N42" s="44">
        <f t="shared" si="1"/>
        <v>836.67457631143998</v>
      </c>
      <c r="O42" s="41">
        <f t="shared" si="0"/>
        <v>114.3933709364091</v>
      </c>
      <c r="P42" s="41">
        <f t="shared" si="0"/>
        <v>5.0597864961394032</v>
      </c>
      <c r="S42" s="16" t="s">
        <v>43</v>
      </c>
    </row>
    <row r="43" spans="1:19">
      <c r="D43" s="47">
        <f>AVERAGE(D2:D39)</f>
        <v>0.33511029411764709</v>
      </c>
      <c r="E43" s="43">
        <f>AVERAGE(E2:E39)</f>
        <v>25.552941176470586</v>
      </c>
      <c r="F43" s="54">
        <f t="shared" ref="F43:H43" si="2">AVERAGE(F2:F39)</f>
        <v>33.44705882352941</v>
      </c>
      <c r="G43" s="43">
        <f t="shared" si="2"/>
        <v>6.5623529411764716</v>
      </c>
      <c r="H43" s="43">
        <f t="shared" si="2"/>
        <v>96.194117647058803</v>
      </c>
      <c r="I43" s="43">
        <f>AVERAGE(I2:I39)</f>
        <v>8.1070588235294139</v>
      </c>
      <c r="J43" s="39">
        <f>AVERAGE(J2:J39)</f>
        <v>8.1167892156862731</v>
      </c>
      <c r="K43" s="39">
        <f>AVERAGE(K2:K39)</f>
        <v>208.86092541832897</v>
      </c>
      <c r="L43" s="43">
        <f t="shared" ref="L43:N43" si="3">AVERAGE(L2:L39)</f>
        <v>20.343454241228823</v>
      </c>
      <c r="M43" s="43">
        <f t="shared" si="3"/>
        <v>15.152227576903407</v>
      </c>
      <c r="N43" s="43">
        <f t="shared" si="3"/>
        <v>979.838286204209</v>
      </c>
      <c r="O43" s="39">
        <f t="shared" ref="O43:P43" si="4">AVERAGE(O2:O39)</f>
        <v>145.78639753896223</v>
      </c>
      <c r="P43" s="39">
        <f t="shared" si="4"/>
        <v>5.464333845927924</v>
      </c>
      <c r="S43" s="16" t="s">
        <v>44</v>
      </c>
    </row>
    <row r="44" spans="1:19">
      <c r="E44" s="43">
        <f>STDEV(E2:E39)</f>
        <v>1.1987961876255127</v>
      </c>
      <c r="F44" s="54">
        <f t="shared" ref="F44:H44" si="5">STDEV(F2:F39)</f>
        <v>1.6823928295135036</v>
      </c>
      <c r="G44" s="43">
        <f t="shared" si="5"/>
        <v>0.40750578224956163</v>
      </c>
      <c r="H44" s="43">
        <f t="shared" si="5"/>
        <v>3.0593068314199563</v>
      </c>
      <c r="I44" s="43">
        <f>STDEV(I2:I39)</f>
        <v>7.3010145071680604E-2</v>
      </c>
      <c r="J44" s="39">
        <f>STDEV(J2:J39)</f>
        <v>6.6223098220566374</v>
      </c>
      <c r="K44" s="39">
        <f>STDEV(K2:K39)</f>
        <v>93.557942063888774</v>
      </c>
      <c r="L44" s="43">
        <f t="shared" ref="L44:N44" si="6">STDEV(L2:L39)</f>
        <v>6.3180605730373314</v>
      </c>
      <c r="M44" s="43">
        <f t="shared" si="6"/>
        <v>5.5496164204470908</v>
      </c>
      <c r="N44" s="43">
        <f t="shared" si="6"/>
        <v>560.61469497508506</v>
      </c>
      <c r="O44" s="39">
        <f t="shared" ref="O44:P44" si="7">STDEV(O2:O39)</f>
        <v>96.236276419232269</v>
      </c>
      <c r="P44" s="39">
        <f t="shared" si="7"/>
        <v>2.1518222897261068</v>
      </c>
      <c r="S44" s="16" t="s">
        <v>45</v>
      </c>
    </row>
    <row r="46" spans="1:19">
      <c r="J46" s="39">
        <f>J42/0.2</f>
        <v>30.595217729723956</v>
      </c>
      <c r="K46" s="39">
        <f>K42/110</f>
        <v>1.7161685159313027</v>
      </c>
      <c r="L46" s="43">
        <f>L42/16</f>
        <v>1.2221311301751245</v>
      </c>
      <c r="M46" s="43">
        <f>M42/6</f>
        <v>2.4066146011570209</v>
      </c>
      <c r="N46" s="43">
        <f>N42</f>
        <v>836.67457631143998</v>
      </c>
      <c r="O46" s="39">
        <f>O42/3.5</f>
        <v>32.683820267545457</v>
      </c>
      <c r="P46" s="39">
        <f>P42/2</f>
        <v>2.5298932480697016</v>
      </c>
      <c r="S46" s="16" t="s">
        <v>46</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tabSelected="1" workbookViewId="0">
      <pane xSplit="3" ySplit="1" topLeftCell="D23" activePane="bottomRight" state="frozen"/>
      <selection pane="topRight" activeCell="D1" sqref="D1"/>
      <selection pane="bottomLeft" activeCell="A2" sqref="A2"/>
      <selection pane="bottomRight" activeCell="A35" sqref="A35:XFD35"/>
    </sheetView>
  </sheetViews>
  <sheetFormatPr baseColWidth="10" defaultRowHeight="16"/>
  <cols>
    <col min="1" max="1" width="17.42578125" style="1" customWidth="1"/>
    <col min="2" max="2" width="10.7109375" style="3"/>
    <col min="3" max="4" width="10.7109375" style="1"/>
    <col min="5" max="5" width="13.140625" style="6" customWidth="1"/>
    <col min="6" max="6" width="10.7109375" style="6"/>
    <col min="7" max="7" width="10.7109375" style="8"/>
    <col min="8" max="8" width="10.7109375" style="6"/>
    <col min="9" max="9" width="10.7109375" style="34"/>
    <col min="10" max="11" width="10.7109375" style="19"/>
    <col min="12" max="12" width="10.7109375" style="43"/>
    <col min="13" max="13" width="12.140625" style="43" customWidth="1"/>
    <col min="14" max="14" width="10.7109375" style="43"/>
    <col min="15" max="16" width="10.7109375" style="19"/>
    <col min="17" max="17" width="11.5703125" style="1" customWidth="1"/>
    <col min="18" max="18" width="11.85546875" style="3" customWidth="1"/>
    <col min="19" max="19" width="46.5703125" style="16" customWidth="1"/>
    <col min="20" max="16384" width="10.7109375" style="1"/>
  </cols>
  <sheetData>
    <row r="1" spans="1:19" s="2" customFormat="1" ht="32">
      <c r="A1" s="2" t="s">
        <v>83</v>
      </c>
      <c r="B1" s="2" t="s">
        <v>9</v>
      </c>
      <c r="C1" s="2" t="s">
        <v>1</v>
      </c>
      <c r="D1" s="2" t="s">
        <v>2</v>
      </c>
      <c r="E1" s="14" t="s">
        <v>3</v>
      </c>
      <c r="F1" s="14" t="s">
        <v>4</v>
      </c>
      <c r="G1" s="12" t="s">
        <v>5</v>
      </c>
      <c r="H1" s="14" t="s">
        <v>6</v>
      </c>
      <c r="I1" s="33" t="s">
        <v>7</v>
      </c>
      <c r="J1" s="20" t="s">
        <v>8</v>
      </c>
      <c r="K1" s="20" t="s">
        <v>34</v>
      </c>
      <c r="L1" s="42" t="s">
        <v>40</v>
      </c>
      <c r="M1" s="42" t="s">
        <v>41</v>
      </c>
      <c r="N1" s="42" t="s">
        <v>42</v>
      </c>
      <c r="O1" s="20" t="s">
        <v>38</v>
      </c>
      <c r="P1" s="20" t="s">
        <v>39</v>
      </c>
      <c r="Q1" s="2" t="s">
        <v>67</v>
      </c>
      <c r="R1" s="2" t="s">
        <v>68</v>
      </c>
      <c r="S1" s="2" t="s">
        <v>33</v>
      </c>
    </row>
    <row r="2" spans="1:19" ht="32">
      <c r="A2" s="1" t="s">
        <v>14</v>
      </c>
      <c r="B2" s="3" t="s">
        <v>15</v>
      </c>
      <c r="C2" s="4">
        <v>42535</v>
      </c>
      <c r="D2" s="5">
        <v>0.35902777777777778</v>
      </c>
      <c r="E2" s="6">
        <v>24.9</v>
      </c>
      <c r="F2" s="6">
        <v>23.8</v>
      </c>
      <c r="G2" s="8">
        <v>6.86</v>
      </c>
      <c r="H2" s="6">
        <v>100.6</v>
      </c>
      <c r="I2" s="34">
        <v>8.07</v>
      </c>
      <c r="J2" s="19">
        <v>16.8</v>
      </c>
      <c r="K2" s="19">
        <v>75.08</v>
      </c>
      <c r="L2" s="43">
        <v>18.8</v>
      </c>
      <c r="M2" s="43">
        <v>9.06</v>
      </c>
      <c r="N2" s="43">
        <v>1720.37</v>
      </c>
      <c r="O2" s="19">
        <v>5.65</v>
      </c>
      <c r="P2" s="19">
        <v>4.1500000000000004</v>
      </c>
      <c r="Q2" s="1">
        <v>1</v>
      </c>
      <c r="R2" s="3" t="s">
        <v>52</v>
      </c>
      <c r="S2" s="16" t="s">
        <v>63</v>
      </c>
    </row>
    <row r="3" spans="1:19" ht="32">
      <c r="A3" s="1" t="s">
        <v>14</v>
      </c>
      <c r="B3" s="3" t="s">
        <v>15</v>
      </c>
      <c r="C3" s="4">
        <v>42549</v>
      </c>
      <c r="D3" s="5">
        <v>0.32916666666666666</v>
      </c>
      <c r="E3" s="6">
        <v>24.2</v>
      </c>
      <c r="F3" s="6">
        <v>22.2</v>
      </c>
      <c r="G3" s="8">
        <v>6.9</v>
      </c>
      <c r="H3" s="6">
        <v>100.3</v>
      </c>
      <c r="I3" s="34">
        <v>8.1300000000000008</v>
      </c>
      <c r="J3" s="19">
        <v>9.7899999999999991</v>
      </c>
      <c r="K3" s="19">
        <v>75.12</v>
      </c>
      <c r="L3" s="43">
        <v>14.77</v>
      </c>
      <c r="M3" s="43">
        <v>8.49</v>
      </c>
      <c r="N3" s="43">
        <v>1435.92</v>
      </c>
      <c r="O3" s="19">
        <v>6.13</v>
      </c>
      <c r="P3" s="19">
        <v>3.59</v>
      </c>
      <c r="Q3" s="1">
        <v>1</v>
      </c>
      <c r="R3" s="3" t="s">
        <v>52</v>
      </c>
      <c r="S3" s="16" t="s">
        <v>63</v>
      </c>
    </row>
    <row r="4" spans="1:19" ht="32">
      <c r="A4" s="1" t="s">
        <v>14</v>
      </c>
      <c r="B4" s="3" t="s">
        <v>15</v>
      </c>
      <c r="C4" s="4">
        <v>42563</v>
      </c>
      <c r="D4" s="5">
        <v>0.32569444444444445</v>
      </c>
      <c r="E4" s="6">
        <v>26</v>
      </c>
      <c r="F4" s="17">
        <v>39.1</v>
      </c>
      <c r="G4" s="8">
        <v>6.53</v>
      </c>
      <c r="H4" s="6">
        <v>100.1</v>
      </c>
      <c r="I4" s="34">
        <v>8.07</v>
      </c>
      <c r="J4" s="19">
        <v>3.9</v>
      </c>
      <c r="K4" s="19">
        <v>73.047541730737294</v>
      </c>
      <c r="L4" s="43">
        <v>14.52020904316943</v>
      </c>
      <c r="M4" s="43">
        <v>6.8537182997836874</v>
      </c>
      <c r="N4" s="43">
        <v>680.64189687308647</v>
      </c>
      <c r="O4" s="19">
        <v>2.9555960817636375</v>
      </c>
      <c r="P4" s="19">
        <v>2.6561376621605239</v>
      </c>
      <c r="Q4" s="1">
        <v>1</v>
      </c>
      <c r="R4" s="3" t="s">
        <v>52</v>
      </c>
      <c r="S4" s="16" t="s">
        <v>66</v>
      </c>
    </row>
    <row r="5" spans="1:19" ht="48">
      <c r="A5" s="1" t="s">
        <v>14</v>
      </c>
      <c r="B5" s="3" t="s">
        <v>15</v>
      </c>
      <c r="C5" s="4">
        <v>42577</v>
      </c>
      <c r="D5" s="5">
        <v>0.3263888888888889</v>
      </c>
      <c r="E5" s="6">
        <v>26.8</v>
      </c>
      <c r="F5" s="6">
        <v>35.299999999999997</v>
      </c>
      <c r="G5" s="8">
        <v>6.48</v>
      </c>
      <c r="H5" s="6">
        <v>98.4</v>
      </c>
      <c r="I5" s="34">
        <v>8.07</v>
      </c>
      <c r="J5" s="19">
        <v>6.16</v>
      </c>
      <c r="K5" s="19">
        <v>96.671163421380072</v>
      </c>
      <c r="L5" s="43">
        <v>12.998719380719429</v>
      </c>
      <c r="M5" s="43">
        <v>6.4071125558233932</v>
      </c>
      <c r="N5" s="43">
        <v>60.267117250405107</v>
      </c>
      <c r="O5" s="19">
        <v>3.7517565447081371</v>
      </c>
      <c r="P5" s="19">
        <v>6.3456921861909432</v>
      </c>
      <c r="Q5" s="1">
        <v>1</v>
      </c>
      <c r="R5" s="3" t="s">
        <v>51</v>
      </c>
      <c r="S5" s="16" t="s">
        <v>79</v>
      </c>
    </row>
    <row r="6" spans="1:19" ht="32">
      <c r="A6" s="1" t="s">
        <v>14</v>
      </c>
      <c r="B6" s="3" t="s">
        <v>15</v>
      </c>
      <c r="C6" s="4">
        <v>42591</v>
      </c>
      <c r="D6" s="5">
        <v>0.32291666666666669</v>
      </c>
      <c r="E6" s="6">
        <v>25.8</v>
      </c>
      <c r="F6" s="6">
        <v>34.9</v>
      </c>
      <c r="G6" s="8">
        <v>6.38</v>
      </c>
      <c r="H6" s="6">
        <v>95.1</v>
      </c>
      <c r="I6" s="34">
        <v>8.0299999999999994</v>
      </c>
      <c r="J6" s="19">
        <f>AVERAGE(5.55,5.96,5.93)</f>
        <v>5.8133333333333326</v>
      </c>
      <c r="K6" s="19">
        <v>76.010809308834823</v>
      </c>
      <c r="L6" s="43">
        <v>14.153359575270626</v>
      </c>
      <c r="M6" s="43">
        <v>7.2520895452265854</v>
      </c>
      <c r="N6" s="43">
        <v>373.11888797706422</v>
      </c>
      <c r="O6" s="19">
        <v>10.629847644544876</v>
      </c>
      <c r="P6" s="19">
        <v>3.847546030361193</v>
      </c>
      <c r="Q6" s="1">
        <v>1</v>
      </c>
      <c r="R6" s="3" t="s">
        <v>51</v>
      </c>
      <c r="S6" s="16" t="s">
        <v>77</v>
      </c>
    </row>
    <row r="7" spans="1:19" ht="32">
      <c r="A7" s="1" t="s">
        <v>14</v>
      </c>
      <c r="B7" s="3" t="s">
        <v>15</v>
      </c>
      <c r="C7" s="4">
        <v>42605</v>
      </c>
      <c r="D7" s="5">
        <v>0.31875000000000003</v>
      </c>
      <c r="E7" s="6">
        <v>26.6</v>
      </c>
      <c r="F7" s="6">
        <v>26.7</v>
      </c>
      <c r="G7" s="8">
        <v>6.36</v>
      </c>
      <c r="H7" s="6">
        <v>92.5</v>
      </c>
      <c r="I7" s="34">
        <v>8.0399999999999991</v>
      </c>
      <c r="J7" s="19">
        <f>AVERAGE(10.9,10.3,10.7)</f>
        <v>10.633333333333335</v>
      </c>
      <c r="K7" s="19">
        <v>90.189683612018854</v>
      </c>
      <c r="L7" s="43">
        <v>15.016097205712768</v>
      </c>
      <c r="M7" s="43">
        <v>8.5865398387853826</v>
      </c>
      <c r="N7" s="43">
        <v>496.43928307318924</v>
      </c>
      <c r="O7" s="19">
        <v>15.215589721391465</v>
      </c>
      <c r="P7" s="19">
        <v>3.189111935089862</v>
      </c>
      <c r="Q7" s="1">
        <v>1</v>
      </c>
      <c r="R7" s="3" t="s">
        <v>52</v>
      </c>
      <c r="S7" s="16" t="s">
        <v>76</v>
      </c>
    </row>
    <row r="8" spans="1:19" ht="32">
      <c r="A8" s="1" t="s">
        <v>14</v>
      </c>
      <c r="B8" s="3" t="s">
        <v>15</v>
      </c>
      <c r="C8" s="4">
        <v>42619</v>
      </c>
      <c r="D8" s="5">
        <v>0.3263888888888889</v>
      </c>
      <c r="E8" s="6">
        <v>26.1</v>
      </c>
      <c r="F8" s="6">
        <v>35.5</v>
      </c>
      <c r="G8" s="8">
        <v>6.42</v>
      </c>
      <c r="H8" s="6">
        <v>96.7</v>
      </c>
      <c r="I8" s="34">
        <v>8.15</v>
      </c>
      <c r="J8" s="19">
        <f>AVERAGE(5.79,6.54,6.16)</f>
        <v>6.163333333333334</v>
      </c>
      <c r="K8" s="19">
        <v>66.506809758835232</v>
      </c>
      <c r="L8" s="43">
        <v>16.191205357521888</v>
      </c>
      <c r="M8" s="43">
        <v>6.7531518498791101</v>
      </c>
      <c r="N8" s="43">
        <v>144.16229018612574</v>
      </c>
      <c r="O8" s="19">
        <v>4.1487931948160961</v>
      </c>
      <c r="P8" s="19">
        <v>1.6541506892339903</v>
      </c>
      <c r="Q8" s="1">
        <v>2</v>
      </c>
      <c r="R8" s="3" t="s">
        <v>51</v>
      </c>
      <c r="S8" s="16" t="s">
        <v>73</v>
      </c>
    </row>
    <row r="9" spans="1:19" ht="64">
      <c r="A9" s="1" t="s">
        <v>14</v>
      </c>
      <c r="B9" s="3" t="s">
        <v>15</v>
      </c>
      <c r="C9" s="4">
        <v>42633</v>
      </c>
      <c r="D9" s="5">
        <v>0.3125</v>
      </c>
      <c r="E9" s="6">
        <v>25.9</v>
      </c>
      <c r="F9" s="6">
        <v>32.4</v>
      </c>
      <c r="G9" s="8">
        <v>6.52</v>
      </c>
      <c r="H9" s="6">
        <v>96.2</v>
      </c>
      <c r="I9" s="34">
        <v>8</v>
      </c>
      <c r="J9" s="19">
        <f>AVERAGE(12.2,11.4,12.6)</f>
        <v>12.066666666666668</v>
      </c>
      <c r="K9" s="19">
        <v>162.42180214457153</v>
      </c>
      <c r="L9" s="43">
        <v>16.76760334337763</v>
      </c>
      <c r="M9" s="43">
        <v>9.0983336590101018</v>
      </c>
      <c r="N9" s="43">
        <v>854.63908888919889</v>
      </c>
      <c r="O9" s="19">
        <v>12.595570045647724</v>
      </c>
      <c r="P9" s="19">
        <v>10.282390996335717</v>
      </c>
      <c r="Q9" s="1">
        <v>1</v>
      </c>
      <c r="R9" s="3" t="s">
        <v>52</v>
      </c>
      <c r="S9" s="16" t="s">
        <v>74</v>
      </c>
    </row>
    <row r="10" spans="1:19" ht="33" customHeight="1">
      <c r="A10" s="1" t="s">
        <v>14</v>
      </c>
      <c r="B10" s="3" t="s">
        <v>15</v>
      </c>
      <c r="C10" s="4">
        <v>42647</v>
      </c>
      <c r="D10" s="5">
        <v>0.33194444444444443</v>
      </c>
      <c r="E10" s="6">
        <v>26.9</v>
      </c>
      <c r="F10" s="6">
        <v>34.4</v>
      </c>
      <c r="G10" s="8">
        <v>6.2</v>
      </c>
      <c r="H10" s="6">
        <v>94.1</v>
      </c>
      <c r="I10" s="34">
        <v>8.08</v>
      </c>
      <c r="J10" s="19">
        <f>AVERAGE(8.08,7.71,7.56,7.69)</f>
        <v>7.76</v>
      </c>
      <c r="K10" s="19">
        <v>69.404113823888835</v>
      </c>
      <c r="L10" s="43">
        <v>16.920069907378178</v>
      </c>
      <c r="M10" s="43">
        <v>6.5834176968425577</v>
      </c>
      <c r="N10" s="43">
        <v>211.97663570276941</v>
      </c>
      <c r="O10" s="19">
        <v>10.532871058292669</v>
      </c>
      <c r="P10" s="19">
        <v>6.1407004100506022</v>
      </c>
      <c r="Q10" s="1">
        <v>2</v>
      </c>
      <c r="R10" s="3" t="s">
        <v>51</v>
      </c>
      <c r="S10" s="16" t="s">
        <v>71</v>
      </c>
    </row>
    <row r="11" spans="1:19" ht="32">
      <c r="A11" s="1" t="s">
        <v>14</v>
      </c>
      <c r="B11" s="3" t="s">
        <v>15</v>
      </c>
      <c r="C11" s="4">
        <v>42661</v>
      </c>
      <c r="D11" s="5">
        <v>0.3347222222222222</v>
      </c>
      <c r="E11" s="6">
        <v>26.1</v>
      </c>
      <c r="F11" s="6">
        <v>35.6</v>
      </c>
      <c r="G11" s="8">
        <v>6.31</v>
      </c>
      <c r="H11" s="6">
        <v>95.2</v>
      </c>
      <c r="I11" s="34">
        <v>7.96</v>
      </c>
      <c r="J11" s="19">
        <f>AVERAGE(6.09,5.72,5.52)</f>
        <v>5.7766666666666664</v>
      </c>
      <c r="K11" s="19">
        <v>73.603916410724324</v>
      </c>
      <c r="L11" s="43">
        <v>10.497251468752525</v>
      </c>
      <c r="M11" s="43">
        <v>8.1275325871840955</v>
      </c>
      <c r="N11" s="43">
        <v>368.36635390377415</v>
      </c>
      <c r="O11" s="19">
        <v>8.2098817146705052</v>
      </c>
      <c r="P11" s="19">
        <v>4.3538335294801609</v>
      </c>
      <c r="Q11" s="1">
        <v>1</v>
      </c>
      <c r="R11" s="3" t="s">
        <v>52</v>
      </c>
      <c r="S11" s="16" t="s">
        <v>71</v>
      </c>
    </row>
    <row r="12" spans="1:19" ht="32">
      <c r="A12" s="1" t="s">
        <v>14</v>
      </c>
      <c r="B12" s="3" t="s">
        <v>15</v>
      </c>
      <c r="C12" s="4">
        <v>42675</v>
      </c>
      <c r="D12" s="5">
        <v>0.33402777777777781</v>
      </c>
      <c r="E12" s="6">
        <v>24.7</v>
      </c>
      <c r="F12" s="6">
        <v>33.5</v>
      </c>
      <c r="G12" s="8">
        <v>6.68</v>
      </c>
      <c r="H12" s="6">
        <v>96.7</v>
      </c>
      <c r="I12" s="34">
        <v>8.08</v>
      </c>
      <c r="J12" s="19">
        <f>AVERAGE(2.76,3.41,3.07)</f>
        <v>3.08</v>
      </c>
      <c r="K12" s="19">
        <v>110.7952359391512</v>
      </c>
      <c r="L12" s="43">
        <v>31.542711937659281</v>
      </c>
      <c r="M12" s="43">
        <v>9.1733166333639122</v>
      </c>
      <c r="N12" s="43">
        <v>500.48360638200762</v>
      </c>
      <c r="O12" s="19">
        <v>4.12838313795109</v>
      </c>
      <c r="P12" s="19">
        <v>10.946629367575373</v>
      </c>
      <c r="Q12" s="1">
        <v>2</v>
      </c>
      <c r="R12" s="3" t="s">
        <v>51</v>
      </c>
      <c r="S12" s="16" t="s">
        <v>36</v>
      </c>
    </row>
    <row r="13" spans="1:19" ht="32">
      <c r="A13" s="1" t="s">
        <v>14</v>
      </c>
      <c r="B13" s="3" t="s">
        <v>15</v>
      </c>
      <c r="C13" s="4">
        <v>42689</v>
      </c>
      <c r="D13" s="5">
        <v>0.33749999999999997</v>
      </c>
      <c r="E13" s="15">
        <v>25.5</v>
      </c>
      <c r="F13" s="15">
        <v>34.299999999999997</v>
      </c>
      <c r="G13" s="43">
        <v>7.96</v>
      </c>
      <c r="H13" s="15">
        <v>96.7</v>
      </c>
      <c r="I13" s="43">
        <v>8.15</v>
      </c>
      <c r="J13" s="43">
        <f>AVERAGE(5.87,5.61,5.54)</f>
        <v>5.6733333333333329</v>
      </c>
      <c r="K13" s="43">
        <v>80.625808971052422</v>
      </c>
      <c r="L13" s="43">
        <v>7.940241584185852</v>
      </c>
      <c r="M13" s="43">
        <v>4.9723057626807723</v>
      </c>
      <c r="N13" s="43">
        <v>232.94334301501669</v>
      </c>
      <c r="O13" s="43">
        <v>4.9053604519024194</v>
      </c>
      <c r="P13" s="43">
        <v>3.5048875874327998</v>
      </c>
      <c r="Q13" s="1">
        <v>2</v>
      </c>
      <c r="R13" s="3" t="s">
        <v>51</v>
      </c>
      <c r="S13" s="16" t="s">
        <v>36</v>
      </c>
    </row>
    <row r="14" spans="1:19" ht="32">
      <c r="A14" s="1" t="s">
        <v>14</v>
      </c>
      <c r="B14" s="3" t="s">
        <v>15</v>
      </c>
      <c r="C14" s="4">
        <v>42703</v>
      </c>
      <c r="D14" s="5">
        <v>0.3354166666666667</v>
      </c>
      <c r="E14" s="15">
        <v>24</v>
      </c>
      <c r="F14" s="15">
        <v>33.9</v>
      </c>
      <c r="G14" s="43">
        <v>6.68</v>
      </c>
      <c r="H14" s="15">
        <v>95.7</v>
      </c>
      <c r="I14" s="43">
        <v>8.07</v>
      </c>
      <c r="J14" s="43">
        <f>AVERAGE(6.64,6.52,5.91)</f>
        <v>6.3566666666666665</v>
      </c>
      <c r="K14" s="43">
        <v>87.028300787660811</v>
      </c>
      <c r="L14" s="43">
        <v>9.4764548128906156</v>
      </c>
      <c r="M14" s="43">
        <v>4.6122899305313041</v>
      </c>
      <c r="N14" s="43">
        <v>308.05962969456658</v>
      </c>
      <c r="O14" s="43">
        <v>4.9000711474811709</v>
      </c>
      <c r="P14" s="43">
        <v>3.0259657964320605</v>
      </c>
      <c r="Q14" s="1">
        <v>2</v>
      </c>
      <c r="R14" s="3" t="s">
        <v>51</v>
      </c>
      <c r="S14" s="16" t="s">
        <v>47</v>
      </c>
    </row>
    <row r="15" spans="1:19" ht="32">
      <c r="A15" s="1" t="s">
        <v>14</v>
      </c>
      <c r="B15" s="3" t="s">
        <v>15</v>
      </c>
      <c r="C15" s="4">
        <v>42717</v>
      </c>
      <c r="D15" s="5">
        <v>0.3354166666666667</v>
      </c>
      <c r="E15" s="15">
        <v>24.3</v>
      </c>
      <c r="F15" s="15">
        <v>32.700000000000003</v>
      </c>
      <c r="G15" s="43">
        <v>6.65</v>
      </c>
      <c r="H15" s="15">
        <v>95.6</v>
      </c>
      <c r="I15" s="43">
        <v>8.07</v>
      </c>
      <c r="J15" s="43">
        <f>AVERAGE(5.88,5.72,5.79)</f>
        <v>5.7966666666666669</v>
      </c>
      <c r="K15" s="43">
        <v>71.931991270948444</v>
      </c>
      <c r="L15" s="43">
        <v>10.870703565272978</v>
      </c>
      <c r="M15" s="43">
        <v>6.4066901426458838</v>
      </c>
      <c r="N15" s="43">
        <v>654.78893448849374</v>
      </c>
      <c r="O15" s="19">
        <v>12.305227983443515</v>
      </c>
      <c r="P15" s="19">
        <v>3.7332268833486557</v>
      </c>
      <c r="Q15" s="1">
        <v>1</v>
      </c>
      <c r="R15" s="3" t="s">
        <v>51</v>
      </c>
      <c r="S15" s="16" t="s">
        <v>47</v>
      </c>
    </row>
    <row r="16" spans="1:19" ht="32">
      <c r="A16" s="1" t="s">
        <v>14</v>
      </c>
      <c r="B16" s="3" t="s">
        <v>15</v>
      </c>
      <c r="C16" s="4">
        <v>42738</v>
      </c>
      <c r="D16" s="5">
        <v>0.38194444444444442</v>
      </c>
      <c r="E16" s="15">
        <v>23</v>
      </c>
      <c r="F16" s="15">
        <v>29.5</v>
      </c>
      <c r="G16" s="43">
        <v>7.07</v>
      </c>
      <c r="H16" s="15">
        <v>97.5</v>
      </c>
      <c r="I16" s="43">
        <v>8.2100000000000009</v>
      </c>
      <c r="J16" s="43">
        <f>AVERAGE(3.81,3.74,3.78)</f>
        <v>3.7766666666666668</v>
      </c>
      <c r="K16" s="43">
        <v>85.831923569649064</v>
      </c>
      <c r="L16" s="43">
        <v>13.883607452446439</v>
      </c>
      <c r="M16" s="43">
        <v>7.7815307706293275</v>
      </c>
      <c r="N16" s="43">
        <v>1253.5827638592896</v>
      </c>
      <c r="O16" s="43">
        <v>11.966588327022935</v>
      </c>
      <c r="P16" s="43">
        <v>3.5651580642775942</v>
      </c>
      <c r="Q16" s="1">
        <v>2</v>
      </c>
      <c r="R16" s="3" t="s">
        <v>51</v>
      </c>
      <c r="S16" s="16" t="s">
        <v>47</v>
      </c>
    </row>
    <row r="17" spans="1:19" ht="32">
      <c r="A17" s="1" t="s">
        <v>14</v>
      </c>
      <c r="B17" s="3" t="s">
        <v>15</v>
      </c>
      <c r="C17" s="4">
        <v>42759</v>
      </c>
      <c r="D17" s="5">
        <v>0.33819444444444446</v>
      </c>
      <c r="E17" s="6">
        <v>23.1</v>
      </c>
      <c r="F17" s="6">
        <v>30.8</v>
      </c>
      <c r="G17" s="8">
        <v>7.01</v>
      </c>
      <c r="H17" s="6">
        <v>97.3</v>
      </c>
      <c r="I17" s="34">
        <v>8.17</v>
      </c>
      <c r="J17" s="19">
        <f>AVERAGE(6.32,6.54,6.07)</f>
        <v>6.31</v>
      </c>
      <c r="K17" s="19">
        <v>87.701655990398791</v>
      </c>
      <c r="L17" s="43">
        <v>20.242153723952274</v>
      </c>
      <c r="M17" s="43">
        <v>19.301603693753744</v>
      </c>
      <c r="N17" s="43">
        <v>662.68280011138825</v>
      </c>
      <c r="O17" s="19">
        <v>9.476108318340561</v>
      </c>
      <c r="P17" s="19">
        <v>6.5411979899892705</v>
      </c>
      <c r="Q17" s="1">
        <v>1</v>
      </c>
      <c r="R17" s="3" t="s">
        <v>48</v>
      </c>
      <c r="S17" s="16" t="s">
        <v>36</v>
      </c>
    </row>
    <row r="18" spans="1:19" ht="32">
      <c r="A18" s="1" t="s">
        <v>14</v>
      </c>
      <c r="B18" s="3" t="s">
        <v>15</v>
      </c>
      <c r="C18" s="4">
        <v>42780</v>
      </c>
      <c r="D18" s="5">
        <v>0.36458333333333331</v>
      </c>
      <c r="E18" s="6">
        <v>24.1</v>
      </c>
      <c r="F18" s="6">
        <v>34.700000000000003</v>
      </c>
      <c r="G18" s="8">
        <v>6.77</v>
      </c>
      <c r="H18" s="6">
        <v>98</v>
      </c>
      <c r="I18" s="34">
        <v>8.14</v>
      </c>
      <c r="J18" s="19">
        <f>AVERAGE(6.65,6.56,6.59)</f>
        <v>6.6000000000000005</v>
      </c>
      <c r="K18" s="19">
        <v>78.014063796381862</v>
      </c>
      <c r="L18" s="43">
        <v>11.835732281243148</v>
      </c>
      <c r="M18" s="43">
        <v>7.7486902901694918</v>
      </c>
      <c r="N18" s="43">
        <v>178.09803879835104</v>
      </c>
      <c r="O18" s="19">
        <v>5.3674476135040701</v>
      </c>
      <c r="P18" s="19">
        <v>6.1857600730369278</v>
      </c>
      <c r="Q18" s="1">
        <v>2</v>
      </c>
      <c r="R18" s="3" t="s">
        <v>26</v>
      </c>
      <c r="S18" s="16" t="s">
        <v>36</v>
      </c>
    </row>
    <row r="19" spans="1:19" ht="32">
      <c r="A19" s="1" t="s">
        <v>14</v>
      </c>
      <c r="B19" s="3" t="s">
        <v>15</v>
      </c>
      <c r="C19" s="4">
        <v>42801</v>
      </c>
      <c r="D19" s="5">
        <v>0.35069444444444442</v>
      </c>
      <c r="E19" s="15">
        <v>24.3</v>
      </c>
      <c r="F19" s="15">
        <v>34.6</v>
      </c>
      <c r="G19" s="43">
        <v>6.82</v>
      </c>
      <c r="H19" s="15">
        <v>99.1</v>
      </c>
      <c r="I19" s="43">
        <v>8.15</v>
      </c>
      <c r="J19" s="43">
        <f>AVERAGE(8.15,8.58,8.47)</f>
        <v>8.4</v>
      </c>
      <c r="K19" s="43">
        <v>71.095216818463172</v>
      </c>
      <c r="L19" s="43">
        <v>9.5077118498863111</v>
      </c>
      <c r="M19" s="43">
        <v>6.5845493200847454</v>
      </c>
      <c r="N19" s="43">
        <v>102.52454105083652</v>
      </c>
      <c r="O19" s="43">
        <v>5.3970951952587534</v>
      </c>
      <c r="P19" s="43">
        <v>5.9554003091387013</v>
      </c>
      <c r="Q19" s="1">
        <v>1</v>
      </c>
      <c r="R19" s="3" t="s">
        <v>28</v>
      </c>
      <c r="S19" s="16" t="s">
        <v>36</v>
      </c>
    </row>
    <row r="20" spans="1:19" ht="32">
      <c r="A20" s="1" t="s">
        <v>14</v>
      </c>
      <c r="B20" s="3" t="s">
        <v>15</v>
      </c>
      <c r="C20" s="4">
        <v>42822</v>
      </c>
      <c r="D20" s="5">
        <v>0.3527777777777778</v>
      </c>
      <c r="E20" s="15">
        <v>24.6</v>
      </c>
      <c r="F20" s="15">
        <v>34.4</v>
      </c>
      <c r="G20" s="43">
        <v>6.62</v>
      </c>
      <c r="H20" s="15">
        <v>96.3</v>
      </c>
      <c r="I20" s="43">
        <v>8.11</v>
      </c>
      <c r="J20" s="43">
        <f>AVERAGE(5.7,4.86,5.15)</f>
        <v>5.2366666666666672</v>
      </c>
      <c r="K20" s="43">
        <v>87.275417505661608</v>
      </c>
      <c r="L20" s="43">
        <v>12.2225648852994</v>
      </c>
      <c r="M20" s="43">
        <v>7.5944055640278139</v>
      </c>
      <c r="N20" s="43">
        <v>154.01695747484445</v>
      </c>
      <c r="O20" s="43">
        <v>9.232480320764175</v>
      </c>
      <c r="P20" s="43">
        <v>7.9599466144450961</v>
      </c>
      <c r="Q20" s="1">
        <v>1</v>
      </c>
      <c r="R20" s="3" t="s">
        <v>28</v>
      </c>
      <c r="S20" s="16" t="s">
        <v>36</v>
      </c>
    </row>
    <row r="21" spans="1:19" ht="32">
      <c r="A21" s="1" t="s">
        <v>14</v>
      </c>
      <c r="B21" s="3" t="s">
        <v>15</v>
      </c>
      <c r="C21" s="4">
        <v>42843</v>
      </c>
      <c r="D21" s="5">
        <v>0.35694444444444445</v>
      </c>
      <c r="E21" s="15">
        <v>24.1</v>
      </c>
      <c r="F21" s="15">
        <v>24.4</v>
      </c>
      <c r="G21" s="43">
        <v>7.26</v>
      </c>
      <c r="H21" s="15">
        <v>98.6</v>
      </c>
      <c r="I21" s="43">
        <v>8.2200000000000006</v>
      </c>
      <c r="J21" s="43">
        <f>AVERAGE(2.48,2.72,2.58)</f>
        <v>2.5933333333333333</v>
      </c>
      <c r="K21" s="43">
        <v>146.45979291366331</v>
      </c>
      <c r="L21" s="43">
        <v>11.185845669325838</v>
      </c>
      <c r="M21" s="43">
        <v>7.9399498187987341</v>
      </c>
      <c r="N21" s="43">
        <v>1203.2353279675499</v>
      </c>
      <c r="O21" s="43">
        <v>16.135427829867904</v>
      </c>
      <c r="P21" s="43">
        <v>7.7440955482885352</v>
      </c>
      <c r="Q21" s="1">
        <v>1</v>
      </c>
      <c r="R21" s="3" t="s">
        <v>28</v>
      </c>
      <c r="S21" s="16" t="s">
        <v>36</v>
      </c>
    </row>
    <row r="22" spans="1:19" ht="32">
      <c r="A22" s="1" t="s">
        <v>14</v>
      </c>
      <c r="B22" s="3" t="s">
        <v>15</v>
      </c>
      <c r="C22" s="4">
        <v>42864</v>
      </c>
      <c r="D22" s="5">
        <v>0.34861111111111115</v>
      </c>
      <c r="E22" s="15">
        <v>25.5</v>
      </c>
      <c r="F22" s="15">
        <v>34</v>
      </c>
      <c r="G22" s="43">
        <v>6.88</v>
      </c>
      <c r="H22" s="15">
        <v>101.6</v>
      </c>
      <c r="I22" s="43">
        <v>8.14</v>
      </c>
      <c r="J22" s="43">
        <f>AVERAGE(2.41,2.48,2.89)</f>
        <v>2.5933333333333337</v>
      </c>
      <c r="K22" s="43">
        <v>117.85139541605145</v>
      </c>
      <c r="L22" s="43">
        <v>10.05480208211395</v>
      </c>
      <c r="M22" s="43">
        <v>7.0617383723317726</v>
      </c>
      <c r="N22" s="43">
        <v>300.10450875949783</v>
      </c>
      <c r="O22" s="43">
        <v>9.8361380950713819</v>
      </c>
      <c r="P22" s="43">
        <v>7.6772810792608235</v>
      </c>
      <c r="Q22" s="1">
        <v>1</v>
      </c>
      <c r="R22" s="3" t="s">
        <v>27</v>
      </c>
      <c r="S22" s="16" t="s">
        <v>36</v>
      </c>
    </row>
    <row r="23" spans="1:19" ht="32">
      <c r="A23" s="1" t="s">
        <v>14</v>
      </c>
      <c r="B23" s="3" t="s">
        <v>15</v>
      </c>
      <c r="C23" s="4">
        <v>42885</v>
      </c>
      <c r="D23" s="5">
        <v>0.34930555555555554</v>
      </c>
      <c r="E23" s="15">
        <v>26</v>
      </c>
      <c r="F23" s="15">
        <v>34.5</v>
      </c>
      <c r="G23" s="43">
        <v>6.83</v>
      </c>
      <c r="H23" s="15">
        <v>101.8</v>
      </c>
      <c r="I23" s="43">
        <v>8.09</v>
      </c>
      <c r="J23" s="43">
        <f>AVERAGE(2.84,2.78,2.78)</f>
        <v>2.7999999999999994</v>
      </c>
      <c r="K23" s="43">
        <v>72.950102662064637</v>
      </c>
      <c r="L23" s="43">
        <v>8.7564120594563839</v>
      </c>
      <c r="M23" s="43">
        <v>5.7024368569215733</v>
      </c>
      <c r="N23" s="43">
        <v>146.12634920409491</v>
      </c>
      <c r="O23" s="43">
        <v>7.6370632396669453</v>
      </c>
      <c r="P23" s="43">
        <v>3.3875935016769647</v>
      </c>
      <c r="Q23" s="1">
        <v>1</v>
      </c>
      <c r="R23" s="3" t="s">
        <v>78</v>
      </c>
      <c r="S23" s="16" t="s">
        <v>36</v>
      </c>
    </row>
    <row r="24" spans="1:19" ht="32">
      <c r="A24" s="1" t="s">
        <v>14</v>
      </c>
      <c r="B24" s="3" t="s">
        <v>15</v>
      </c>
      <c r="C24" s="4">
        <v>42906</v>
      </c>
      <c r="D24" s="5">
        <v>0.3527777777777778</v>
      </c>
      <c r="E24" s="6">
        <v>26.3</v>
      </c>
      <c r="F24" s="6">
        <v>34.4</v>
      </c>
      <c r="G24" s="8">
        <v>6.7</v>
      </c>
      <c r="H24" s="6">
        <v>100.4</v>
      </c>
      <c r="I24" s="34">
        <v>8.1199999999999992</v>
      </c>
      <c r="J24" s="19">
        <f>AVERAGE(4.55,5.52,5.43)</f>
        <v>5.166666666666667</v>
      </c>
      <c r="K24" s="43">
        <v>78.428888534797466</v>
      </c>
      <c r="L24" s="43">
        <v>14.596442511272359</v>
      </c>
      <c r="M24" s="43">
        <v>7.1489626980403207</v>
      </c>
      <c r="N24" s="43">
        <v>151.57702547754687</v>
      </c>
      <c r="O24" s="43">
        <v>4.2930254511317409</v>
      </c>
      <c r="P24" s="43">
        <v>3.8525275776971646</v>
      </c>
      <c r="Q24" s="1">
        <v>2</v>
      </c>
      <c r="R24" s="3" t="s">
        <v>25</v>
      </c>
      <c r="S24" s="16" t="s">
        <v>36</v>
      </c>
    </row>
    <row r="25" spans="1:19" ht="32">
      <c r="A25" s="1" t="s">
        <v>14</v>
      </c>
      <c r="B25" s="3" t="s">
        <v>15</v>
      </c>
      <c r="C25" s="4">
        <v>42927</v>
      </c>
      <c r="D25" s="5">
        <v>0.36319444444444443</v>
      </c>
      <c r="E25" s="15">
        <v>26.6</v>
      </c>
      <c r="F25" s="15">
        <v>34.1</v>
      </c>
      <c r="G25" s="43">
        <v>5.82</v>
      </c>
      <c r="H25" s="15">
        <v>86.7</v>
      </c>
      <c r="I25" s="43">
        <v>8.07</v>
      </c>
      <c r="J25" s="43">
        <f>AVERAGE(1.81,1.94,2.21)</f>
        <v>1.9866666666666666</v>
      </c>
      <c r="K25" s="43">
        <v>76.710769983244816</v>
      </c>
      <c r="L25" s="43">
        <v>12.283131222116907</v>
      </c>
      <c r="M25" s="43">
        <v>6.3286222123401883</v>
      </c>
      <c r="N25" s="43">
        <v>263.19380197129584</v>
      </c>
      <c r="O25" s="43">
        <v>16.233795542880223</v>
      </c>
      <c r="P25" s="43">
        <v>5.5947245362255584</v>
      </c>
      <c r="Q25" s="1">
        <v>2</v>
      </c>
      <c r="R25" s="3" t="s">
        <v>75</v>
      </c>
      <c r="S25" s="16" t="s">
        <v>36</v>
      </c>
    </row>
    <row r="26" spans="1:19" ht="32">
      <c r="A26" s="1" t="s">
        <v>14</v>
      </c>
      <c r="B26" s="3" t="s">
        <v>15</v>
      </c>
      <c r="C26" s="4">
        <v>42948</v>
      </c>
      <c r="D26" s="5">
        <v>0.36944444444444446</v>
      </c>
      <c r="E26" s="15">
        <v>26.9</v>
      </c>
      <c r="F26" s="15">
        <v>34.1</v>
      </c>
      <c r="G26" s="43">
        <v>5.88</v>
      </c>
      <c r="H26" s="15">
        <v>88.9</v>
      </c>
      <c r="I26" s="43">
        <v>8.07</v>
      </c>
      <c r="J26" s="43">
        <f>AVERAGE(3.25,2.97,3.29)</f>
        <v>3.1700000000000004</v>
      </c>
      <c r="K26" s="43">
        <v>82.808855460873914</v>
      </c>
      <c r="L26" s="43">
        <v>12.817767984631653</v>
      </c>
      <c r="M26" s="43">
        <v>6.7433411470370928</v>
      </c>
      <c r="N26" s="43">
        <v>171.64723986948945</v>
      </c>
      <c r="O26" s="43">
        <v>8.0011349560468812</v>
      </c>
      <c r="P26" s="43">
        <v>3.6225798852387108</v>
      </c>
      <c r="Q26" s="1">
        <v>2</v>
      </c>
      <c r="R26" s="3" t="s">
        <v>11</v>
      </c>
      <c r="S26" s="16" t="s">
        <v>36</v>
      </c>
    </row>
    <row r="27" spans="1:19" ht="32">
      <c r="A27" s="1" t="s">
        <v>14</v>
      </c>
      <c r="B27" s="3" t="s">
        <v>15</v>
      </c>
      <c r="C27" s="4">
        <v>42969</v>
      </c>
      <c r="D27" s="5">
        <v>0.36319444444444443</v>
      </c>
      <c r="E27" s="15">
        <v>26.5</v>
      </c>
      <c r="F27" s="15">
        <v>31.1</v>
      </c>
      <c r="G27" s="43">
        <v>6.42</v>
      </c>
      <c r="H27" s="15">
        <v>94.9</v>
      </c>
      <c r="I27" s="43">
        <v>8.11</v>
      </c>
      <c r="J27" s="43">
        <f>AVERAGE(2.64,3.06,3.08)</f>
        <v>2.9266666666666672</v>
      </c>
      <c r="K27" s="43">
        <v>156.05416478610439</v>
      </c>
      <c r="L27" s="43">
        <v>13.094564889929112</v>
      </c>
      <c r="M27" s="43">
        <v>8.3851458906398584</v>
      </c>
      <c r="N27" s="43">
        <v>669.41445026194913</v>
      </c>
      <c r="O27" s="43">
        <v>19.85825261387853</v>
      </c>
      <c r="P27" s="43">
        <v>10.881979465799857</v>
      </c>
      <c r="Q27" s="1">
        <v>1</v>
      </c>
      <c r="R27" s="3" t="s">
        <v>0</v>
      </c>
      <c r="S27" s="16" t="s">
        <v>36</v>
      </c>
    </row>
    <row r="28" spans="1:19" ht="32">
      <c r="A28" s="1" t="s">
        <v>14</v>
      </c>
      <c r="B28" s="3" t="s">
        <v>15</v>
      </c>
      <c r="C28" s="4">
        <v>42990</v>
      </c>
      <c r="D28" s="51">
        <v>0.36249999999999999</v>
      </c>
      <c r="E28" s="15">
        <v>27.4</v>
      </c>
      <c r="F28" s="15">
        <v>34.5</v>
      </c>
      <c r="G28" s="43">
        <v>6.07</v>
      </c>
      <c r="H28" s="15">
        <v>93</v>
      </c>
      <c r="I28" s="43">
        <v>8.08</v>
      </c>
      <c r="J28" s="43">
        <f>AVERAGE(6.42,6.53,6.51)</f>
        <v>6.4866666666666672</v>
      </c>
      <c r="K28" s="43">
        <v>64.275967998085051</v>
      </c>
      <c r="L28" s="43">
        <v>16.027427764383862</v>
      </c>
      <c r="M28" s="43">
        <v>8.6051055901794147</v>
      </c>
      <c r="N28" s="43">
        <v>235.46090419166214</v>
      </c>
      <c r="O28" s="43">
        <v>6.3038813288592266</v>
      </c>
      <c r="P28" s="43">
        <v>5.837870763456678</v>
      </c>
      <c r="Q28" s="1">
        <v>2</v>
      </c>
      <c r="R28" s="3" t="s">
        <v>60</v>
      </c>
      <c r="S28" s="16" t="s">
        <v>36</v>
      </c>
    </row>
    <row r="29" spans="1:19" ht="32">
      <c r="A29" s="1" t="s">
        <v>14</v>
      </c>
      <c r="B29" s="3" t="s">
        <v>15</v>
      </c>
      <c r="C29" s="4">
        <v>43011</v>
      </c>
      <c r="D29" s="51">
        <v>0.37361111111111112</v>
      </c>
      <c r="E29" s="15">
        <v>27.1</v>
      </c>
      <c r="F29" s="15">
        <v>34.200000000000003</v>
      </c>
      <c r="G29" s="43">
        <v>6.41</v>
      </c>
      <c r="H29" s="15">
        <v>97.8</v>
      </c>
      <c r="I29" s="43">
        <v>8.11</v>
      </c>
      <c r="J29" s="43">
        <f>AVERAGE(3.05,3.22,3.39)</f>
        <v>3.22</v>
      </c>
      <c r="K29" s="43">
        <v>65.161807347996231</v>
      </c>
      <c r="L29" s="43">
        <v>9.2110853317137948</v>
      </c>
      <c r="M29" s="43">
        <v>6.6879548955252863</v>
      </c>
      <c r="N29" s="43">
        <v>160.42745724516814</v>
      </c>
      <c r="O29" s="43">
        <v>5.7877125098485518</v>
      </c>
      <c r="P29" s="43">
        <v>2.5861674910981423</v>
      </c>
      <c r="Q29" s="1">
        <v>1</v>
      </c>
      <c r="R29" s="3" t="s">
        <v>20</v>
      </c>
      <c r="S29" s="16" t="s">
        <v>36</v>
      </c>
    </row>
    <row r="30" spans="1:19" ht="32">
      <c r="A30" s="1" t="s">
        <v>14</v>
      </c>
      <c r="B30" s="3" t="s">
        <v>15</v>
      </c>
      <c r="C30" s="4">
        <v>43032</v>
      </c>
      <c r="D30" s="51">
        <v>0.3840277777777778</v>
      </c>
      <c r="E30" s="6">
        <v>26.7</v>
      </c>
      <c r="F30" s="6">
        <v>33.200000000000003</v>
      </c>
      <c r="G30" s="8">
        <v>6.6</v>
      </c>
      <c r="H30" s="6">
        <v>99.5</v>
      </c>
      <c r="I30" s="34">
        <v>8.16</v>
      </c>
      <c r="J30" s="19">
        <f>AVERAGE(5.48,5.43,5.47)</f>
        <v>5.46</v>
      </c>
      <c r="K30" s="43">
        <v>75.267405355618948</v>
      </c>
      <c r="L30" s="43">
        <v>13.798119762400855</v>
      </c>
      <c r="M30" s="43">
        <v>11.098286558028265</v>
      </c>
      <c r="N30" s="43">
        <v>271.88039617648485</v>
      </c>
      <c r="O30" s="43">
        <v>20.388198284163529</v>
      </c>
      <c r="P30" s="43">
        <v>12.392559823685147</v>
      </c>
      <c r="Q30" s="1">
        <v>3</v>
      </c>
      <c r="R30" s="3" t="s">
        <v>70</v>
      </c>
      <c r="S30" s="16" t="s">
        <v>69</v>
      </c>
    </row>
    <row r="31" spans="1:19" ht="32">
      <c r="A31" s="1" t="s">
        <v>14</v>
      </c>
      <c r="B31" s="3" t="s">
        <v>15</v>
      </c>
      <c r="C31" s="4">
        <v>43053</v>
      </c>
      <c r="D31" s="51">
        <v>0.38194444444444442</v>
      </c>
      <c r="E31" s="15">
        <v>26.1</v>
      </c>
      <c r="F31" s="15">
        <v>34.799999999999997</v>
      </c>
      <c r="G31" s="43">
        <v>6.73</v>
      </c>
      <c r="H31" s="15">
        <v>101</v>
      </c>
      <c r="I31" s="43">
        <v>8.18</v>
      </c>
      <c r="J31" s="43">
        <f>AVERAGE(2.84,2.7,2.83)</f>
        <v>2.7900000000000005</v>
      </c>
      <c r="K31" s="43">
        <v>83.637897870296655</v>
      </c>
      <c r="L31" s="43">
        <v>10.242080674542162</v>
      </c>
      <c r="M31" s="43">
        <v>5.5572714393393987</v>
      </c>
      <c r="N31" s="43">
        <v>173.5063876786808</v>
      </c>
      <c r="O31" s="43">
        <v>3.5891261497128277</v>
      </c>
      <c r="P31" s="43">
        <v>22.114185404019917</v>
      </c>
      <c r="Q31" s="1">
        <v>1</v>
      </c>
      <c r="R31" s="3" t="s">
        <v>72</v>
      </c>
      <c r="S31" s="16" t="s">
        <v>69</v>
      </c>
    </row>
    <row r="32" spans="1:19" ht="32">
      <c r="A32" s="1" t="s">
        <v>14</v>
      </c>
      <c r="B32" s="3" t="s">
        <v>15</v>
      </c>
      <c r="C32" s="4">
        <v>43074</v>
      </c>
      <c r="D32" s="51">
        <v>0.36944444444444446</v>
      </c>
      <c r="E32" s="15">
        <v>23.5</v>
      </c>
      <c r="F32" s="15">
        <v>34</v>
      </c>
      <c r="G32" s="43">
        <v>7.01</v>
      </c>
      <c r="H32" s="15">
        <v>99.8</v>
      </c>
      <c r="I32" s="43">
        <v>8.17</v>
      </c>
      <c r="J32" s="43">
        <f>AVERAGE(10.1,9.83,10.4)</f>
        <v>10.11</v>
      </c>
      <c r="K32" s="43"/>
      <c r="O32" s="43"/>
      <c r="P32" s="43"/>
      <c r="Q32" s="1">
        <v>3</v>
      </c>
      <c r="R32" s="3" t="s">
        <v>61</v>
      </c>
      <c r="S32" s="16" t="s">
        <v>69</v>
      </c>
    </row>
    <row r="33" spans="1:19" ht="32">
      <c r="A33" s="1" t="s">
        <v>14</v>
      </c>
      <c r="B33" s="3" t="s">
        <v>15</v>
      </c>
      <c r="C33" s="4">
        <v>43088</v>
      </c>
      <c r="D33" s="51">
        <v>0.38958333333333334</v>
      </c>
      <c r="E33" s="15">
        <v>24.9</v>
      </c>
      <c r="F33" s="15">
        <v>34.9</v>
      </c>
      <c r="G33" s="43">
        <v>6.68</v>
      </c>
      <c r="H33" s="15">
        <v>98.4</v>
      </c>
      <c r="I33" s="43">
        <v>8.18</v>
      </c>
      <c r="J33" s="43">
        <f>AVERAGE(26.2,25.5,24.9)</f>
        <v>25.533333333333331</v>
      </c>
      <c r="K33" s="43"/>
      <c r="O33" s="43"/>
      <c r="P33" s="43"/>
      <c r="Q33" s="1">
        <v>1</v>
      </c>
      <c r="R33" s="3" t="s">
        <v>13</v>
      </c>
      <c r="S33" s="16" t="s">
        <v>69</v>
      </c>
    </row>
    <row r="34" spans="1:19" ht="32">
      <c r="A34" s="1" t="s">
        <v>14</v>
      </c>
      <c r="B34" s="3" t="s">
        <v>15</v>
      </c>
      <c r="C34" s="4">
        <v>43109</v>
      </c>
      <c r="D34" s="51">
        <v>0.38125000000000003</v>
      </c>
      <c r="E34" s="15">
        <v>23.7</v>
      </c>
      <c r="F34" s="15">
        <v>34.5</v>
      </c>
      <c r="G34" s="43">
        <v>6.97</v>
      </c>
      <c r="H34" s="15">
        <v>99.8</v>
      </c>
      <c r="I34" s="43">
        <v>8.15</v>
      </c>
      <c r="J34" s="43">
        <f>AVERAGE(11.9,12.7,12.6)</f>
        <v>12.4</v>
      </c>
      <c r="K34" s="43"/>
      <c r="O34" s="43"/>
      <c r="P34" s="43"/>
      <c r="Q34" s="1">
        <v>3</v>
      </c>
      <c r="R34" s="3" t="s">
        <v>37</v>
      </c>
      <c r="S34" s="16" t="s">
        <v>69</v>
      </c>
    </row>
    <row r="35" spans="1:19" ht="32">
      <c r="A35" s="1" t="s">
        <v>14</v>
      </c>
      <c r="B35" s="3" t="s">
        <v>15</v>
      </c>
      <c r="C35" s="4">
        <v>43130</v>
      </c>
      <c r="D35" s="51">
        <v>0.38194444444444442</v>
      </c>
      <c r="E35" s="54">
        <v>23.9</v>
      </c>
      <c r="F35" s="54">
        <v>34.6</v>
      </c>
      <c r="G35" s="43">
        <v>6.84</v>
      </c>
      <c r="H35" s="54">
        <v>99.5</v>
      </c>
      <c r="I35" s="43">
        <v>8.18</v>
      </c>
      <c r="J35" s="43">
        <f>AVERAGE(6.4,6.76,6.52)</f>
        <v>6.56</v>
      </c>
      <c r="K35" s="43"/>
      <c r="O35" s="43"/>
      <c r="P35" s="43"/>
      <c r="Q35" s="1">
        <v>1</v>
      </c>
      <c r="R35" s="3" t="s">
        <v>54</v>
      </c>
      <c r="S35" s="16" t="s">
        <v>69</v>
      </c>
    </row>
    <row r="36" spans="1:19">
      <c r="E36" s="54"/>
      <c r="F36" s="54"/>
      <c r="G36" s="43"/>
      <c r="H36" s="54"/>
      <c r="I36" s="43"/>
      <c r="J36" s="43"/>
      <c r="K36" s="43"/>
      <c r="O36" s="43"/>
      <c r="P36" s="43"/>
    </row>
    <row r="37" spans="1:19">
      <c r="E37" s="54"/>
      <c r="F37" s="54"/>
      <c r="G37" s="43"/>
      <c r="H37" s="54"/>
      <c r="I37" s="43"/>
      <c r="J37" s="43"/>
      <c r="K37" s="43"/>
      <c r="O37" s="43"/>
      <c r="P37" s="43"/>
    </row>
    <row r="39" spans="1:19">
      <c r="E39" s="54"/>
      <c r="F39" s="54"/>
      <c r="G39" s="43"/>
      <c r="H39" s="54"/>
      <c r="I39" s="43"/>
      <c r="J39" s="43"/>
      <c r="K39" s="43"/>
      <c r="O39" s="43"/>
      <c r="P39" s="43"/>
    </row>
    <row r="42" spans="1:19">
      <c r="J42" s="21">
        <f>GEOMEAN(J2:J38)</f>
        <v>5.676248682489283</v>
      </c>
      <c r="K42" s="19">
        <f>GEOMEAN(K2:K38)</f>
        <v>85.107050624673036</v>
      </c>
      <c r="L42" s="43">
        <f t="shared" ref="L42:N42" si="0">GEOMEAN(L2:L38)</f>
        <v>13.10196799070002</v>
      </c>
      <c r="M42" s="31">
        <f t="shared" si="0"/>
        <v>7.4686254220880999</v>
      </c>
      <c r="N42" s="43">
        <f t="shared" si="0"/>
        <v>331.92097430101251</v>
      </c>
      <c r="O42" s="41">
        <f t="shared" ref="O42:P42" si="1">GEOMEAN(O2:O38)</f>
        <v>7.6860567418360146</v>
      </c>
      <c r="P42" s="21">
        <f t="shared" si="1"/>
        <v>5.1953325981415306</v>
      </c>
      <c r="S42" s="16" t="s">
        <v>43</v>
      </c>
    </row>
    <row r="43" spans="1:19">
      <c r="D43" s="48">
        <f>AVERAGE(D2:D38)</f>
        <v>0.3513480392156863</v>
      </c>
      <c r="E43" s="43">
        <f>AVERAGE(E2:E38)</f>
        <v>25.35588235294118</v>
      </c>
      <c r="F43" s="43">
        <f t="shared" ref="F43:H43" si="2">AVERAGE(F2:F38)</f>
        <v>32.929411764705883</v>
      </c>
      <c r="G43" s="43">
        <f t="shared" si="2"/>
        <v>6.6564705882352921</v>
      </c>
      <c r="H43" s="43">
        <f t="shared" si="2"/>
        <v>97.170588235294133</v>
      </c>
      <c r="I43" s="30">
        <f>AVERAGE(I2:I38)</f>
        <v>8.1111764705882337</v>
      </c>
      <c r="J43" s="19">
        <f>AVERAGE(J2:J38)</f>
        <v>6.7614705882352952</v>
      </c>
      <c r="K43" s="19">
        <f>AVERAGE(K2:K38)</f>
        <v>87.932083439638504</v>
      </c>
      <c r="L43" s="43">
        <f t="shared" ref="L43:N43" si="3">AVERAGE(L2:L38)</f>
        <v>13.67413591088752</v>
      </c>
      <c r="M43" s="43">
        <f t="shared" si="3"/>
        <v>7.7548697873201258</v>
      </c>
      <c r="N43" s="43">
        <f t="shared" si="3"/>
        <v>471.32186725112757</v>
      </c>
      <c r="O43" s="19">
        <f t="shared" ref="O43:P43" si="4">AVERAGE(O2:O38)</f>
        <v>8.8520808167543859</v>
      </c>
      <c r="P43" s="19">
        <f t="shared" si="4"/>
        <v>6.110643373367564</v>
      </c>
      <c r="S43" s="16" t="s">
        <v>44</v>
      </c>
    </row>
    <row r="44" spans="1:19">
      <c r="E44" s="43">
        <f>STDEV(E2:E38)</f>
        <v>1.2687839982535027</v>
      </c>
      <c r="F44" s="43">
        <f t="shared" ref="F44:H44" si="5">STDEV(F2:F38)</f>
        <v>3.6146611737575181</v>
      </c>
      <c r="G44" s="43">
        <f t="shared" si="5"/>
        <v>0.39802453368073798</v>
      </c>
      <c r="H44" s="43">
        <f t="shared" si="5"/>
        <v>3.3842352353724761</v>
      </c>
      <c r="I44" s="30">
        <f>STDEV(I2:I38)</f>
        <v>5.9123122989542552E-2</v>
      </c>
      <c r="J44" s="19">
        <f>STDEV(J2:J38)</f>
        <v>4.6830907368186958</v>
      </c>
      <c r="K44" s="19">
        <f>STDEV(K2:K38)</f>
        <v>25.754553141323719</v>
      </c>
      <c r="L44" s="43">
        <f t="shared" ref="L44:N44" si="6">STDEV(L2:L38)</f>
        <v>4.5313653796174069</v>
      </c>
      <c r="M44" s="43">
        <f t="shared" si="6"/>
        <v>2.5779270914176764</v>
      </c>
      <c r="N44" s="43">
        <f t="shared" si="6"/>
        <v>429.94736770807248</v>
      </c>
      <c r="O44" s="19">
        <f t="shared" ref="O44:P44" si="7">STDEV(O2:O38)</f>
        <v>4.8796157868235968</v>
      </c>
      <c r="P44" s="19">
        <f t="shared" si="7"/>
        <v>4.0961896906308262</v>
      </c>
      <c r="S44" s="16" t="s">
        <v>45</v>
      </c>
    </row>
    <row r="46" spans="1:19">
      <c r="J46" s="19">
        <f>J42/0.2</f>
        <v>28.381243412446413</v>
      </c>
      <c r="K46" s="19">
        <f>K42/110</f>
        <v>0.77370046022430028</v>
      </c>
      <c r="L46" s="43">
        <f>L42/16</f>
        <v>0.81887299941875125</v>
      </c>
      <c r="M46" s="43">
        <f>M42/6</f>
        <v>1.2447709036813499</v>
      </c>
      <c r="N46" s="43">
        <f>N42</f>
        <v>331.92097430101251</v>
      </c>
      <c r="O46" s="19">
        <f>O42/3.5</f>
        <v>2.1960162119531472</v>
      </c>
      <c r="P46" s="19">
        <f>P42/2</f>
        <v>2.5976662990707653</v>
      </c>
      <c r="S46" s="16" t="s">
        <v>46</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D32" activePane="bottomRight" state="frozen"/>
      <selection pane="topRight" activeCell="D1" sqref="D1"/>
      <selection pane="bottomLeft" activeCell="A2" sqref="A2"/>
      <selection pane="bottomRight" activeCell="J35" sqref="J35"/>
    </sheetView>
  </sheetViews>
  <sheetFormatPr baseColWidth="10" defaultRowHeight="16"/>
  <cols>
    <col min="1" max="1" width="15.42578125" style="1" customWidth="1"/>
    <col min="2" max="2" width="10.7109375" style="3"/>
    <col min="3" max="4" width="10.7109375" style="1"/>
    <col min="5" max="5" width="13.140625" style="11" customWidth="1"/>
    <col min="6" max="6" width="10.7109375" style="11"/>
    <col min="7" max="7" width="10.7109375" style="10"/>
    <col min="8" max="8" width="10.7109375" style="11"/>
    <col min="9" max="9" width="10.7109375" style="10"/>
    <col min="10" max="11" width="10.7109375" style="23"/>
    <col min="12" max="12" width="10.7109375" style="43"/>
    <col min="13" max="13" width="12.140625" style="43" customWidth="1"/>
    <col min="14" max="14" width="10.7109375" style="43"/>
    <col min="15" max="16" width="10.7109375" style="23"/>
    <col min="17" max="17" width="12" style="1" customWidth="1"/>
    <col min="18" max="18" width="12.7109375" style="3" customWidth="1"/>
    <col min="19" max="19" width="51.42578125" style="16" customWidth="1"/>
    <col min="20" max="16384" width="10.7109375" style="1"/>
  </cols>
  <sheetData>
    <row r="1" spans="1:19" s="2" customFormat="1" ht="32">
      <c r="A1" s="2" t="s">
        <v>83</v>
      </c>
      <c r="B1" s="2" t="s">
        <v>9</v>
      </c>
      <c r="C1" s="2" t="s">
        <v>1</v>
      </c>
      <c r="D1" s="2" t="s">
        <v>2</v>
      </c>
      <c r="E1" s="14" t="s">
        <v>3</v>
      </c>
      <c r="F1" s="14" t="s">
        <v>4</v>
      </c>
      <c r="G1" s="12" t="s">
        <v>5</v>
      </c>
      <c r="H1" s="14" t="s">
        <v>6</v>
      </c>
      <c r="I1" s="12" t="s">
        <v>7</v>
      </c>
      <c r="J1" s="22" t="s">
        <v>8</v>
      </c>
      <c r="K1" s="22" t="s">
        <v>34</v>
      </c>
      <c r="L1" s="42" t="s">
        <v>40</v>
      </c>
      <c r="M1" s="42" t="s">
        <v>41</v>
      </c>
      <c r="N1" s="42" t="s">
        <v>42</v>
      </c>
      <c r="O1" s="22" t="s">
        <v>38</v>
      </c>
      <c r="P1" s="22" t="s">
        <v>39</v>
      </c>
      <c r="Q1" s="2" t="s">
        <v>67</v>
      </c>
      <c r="R1" s="2" t="s">
        <v>68</v>
      </c>
      <c r="S1" s="2" t="s">
        <v>33</v>
      </c>
    </row>
    <row r="2" spans="1:19" ht="32">
      <c r="A2" s="1" t="s">
        <v>16</v>
      </c>
      <c r="B2" s="3" t="s">
        <v>17</v>
      </c>
      <c r="C2" s="4">
        <v>42535</v>
      </c>
      <c r="D2" s="5">
        <v>0.38541666666666669</v>
      </c>
      <c r="E2" s="11">
        <v>26.8</v>
      </c>
      <c r="F2" s="11">
        <v>35</v>
      </c>
      <c r="G2" s="10">
        <v>6.72</v>
      </c>
      <c r="H2" s="11">
        <v>101.6</v>
      </c>
      <c r="I2" s="10">
        <v>8.06</v>
      </c>
      <c r="J2" s="23">
        <v>2.62</v>
      </c>
      <c r="K2" s="23">
        <v>91.26</v>
      </c>
      <c r="L2" s="43">
        <v>10.73</v>
      </c>
      <c r="M2" s="43">
        <v>8.4600000000000009</v>
      </c>
      <c r="N2" s="43">
        <v>604.37</v>
      </c>
      <c r="O2" s="23">
        <v>24.72</v>
      </c>
      <c r="P2" s="23">
        <v>1.88</v>
      </c>
      <c r="Q2" s="1">
        <v>1</v>
      </c>
      <c r="R2" s="3" t="s">
        <v>52</v>
      </c>
      <c r="S2" s="16" t="s">
        <v>63</v>
      </c>
    </row>
    <row r="3" spans="1:19" ht="32">
      <c r="A3" s="1" t="s">
        <v>16</v>
      </c>
      <c r="B3" s="3" t="s">
        <v>17</v>
      </c>
      <c r="C3" s="4">
        <v>42549</v>
      </c>
      <c r="D3" s="5">
        <v>0.34861111111111115</v>
      </c>
      <c r="E3" s="11">
        <v>26.4</v>
      </c>
      <c r="F3" s="11">
        <v>27.6</v>
      </c>
      <c r="G3" s="10">
        <v>6.59</v>
      </c>
      <c r="H3" s="11">
        <v>99.3</v>
      </c>
      <c r="I3" s="10">
        <v>8.1</v>
      </c>
      <c r="J3" s="23">
        <v>1.77</v>
      </c>
      <c r="K3" s="23">
        <v>90.93</v>
      </c>
      <c r="L3" s="43">
        <v>16.97</v>
      </c>
      <c r="M3" s="43">
        <v>8.2799999999999994</v>
      </c>
      <c r="N3" s="43">
        <v>510.71</v>
      </c>
      <c r="O3" s="23">
        <v>26.44</v>
      </c>
      <c r="P3" s="23">
        <v>2.59</v>
      </c>
      <c r="Q3" s="1">
        <v>1</v>
      </c>
      <c r="R3" s="3" t="s">
        <v>52</v>
      </c>
      <c r="S3" s="16" t="s">
        <v>63</v>
      </c>
    </row>
    <row r="4" spans="1:19" ht="32">
      <c r="A4" s="1" t="s">
        <v>16</v>
      </c>
      <c r="B4" s="3" t="s">
        <v>17</v>
      </c>
      <c r="C4" s="4">
        <v>42563</v>
      </c>
      <c r="D4" s="5">
        <v>0.3444444444444445</v>
      </c>
      <c r="E4" s="11">
        <v>27</v>
      </c>
      <c r="F4" s="11">
        <v>36.299999999999997</v>
      </c>
      <c r="G4" s="10">
        <v>6.46</v>
      </c>
      <c r="H4" s="11">
        <v>99.5</v>
      </c>
      <c r="I4" s="10">
        <v>8.09</v>
      </c>
      <c r="J4" s="23">
        <v>0.94</v>
      </c>
      <c r="K4" s="23">
        <v>79.38210719346668</v>
      </c>
      <c r="L4" s="43">
        <v>16.451388053435348</v>
      </c>
      <c r="M4" s="43">
        <v>7.040267657377953</v>
      </c>
      <c r="N4" s="43">
        <v>331.02809099155826</v>
      </c>
      <c r="O4" s="23">
        <v>15.442566608724157</v>
      </c>
      <c r="P4" s="23">
        <v>1.5795660614694473</v>
      </c>
      <c r="Q4" s="1">
        <v>1</v>
      </c>
      <c r="R4" s="3" t="s">
        <v>52</v>
      </c>
      <c r="S4" s="16" t="s">
        <v>66</v>
      </c>
    </row>
    <row r="5" spans="1:19" ht="48">
      <c r="A5" s="1" t="s">
        <v>16</v>
      </c>
      <c r="B5" s="3" t="s">
        <v>17</v>
      </c>
      <c r="C5" s="4">
        <v>42577</v>
      </c>
      <c r="D5" s="5">
        <v>0.34166666666666662</v>
      </c>
      <c r="E5" s="11">
        <v>27.2</v>
      </c>
      <c r="F5" s="11">
        <v>35.299999999999997</v>
      </c>
      <c r="G5" s="10">
        <v>6.48</v>
      </c>
      <c r="H5" s="11">
        <v>99.1</v>
      </c>
      <c r="I5" s="10">
        <v>8.14</v>
      </c>
      <c r="J5" s="23">
        <v>1.5</v>
      </c>
      <c r="K5" s="23">
        <v>87.423059330496187</v>
      </c>
      <c r="L5" s="43">
        <v>13.386561823023269</v>
      </c>
      <c r="M5" s="43">
        <v>6.8220597686419504</v>
      </c>
      <c r="N5" s="43">
        <v>267.62525739329539</v>
      </c>
      <c r="O5" s="23">
        <v>16.56469172949468</v>
      </c>
      <c r="P5" s="23">
        <v>6.0178648878196528</v>
      </c>
      <c r="Q5" s="1">
        <v>1</v>
      </c>
      <c r="R5" s="3" t="s">
        <v>55</v>
      </c>
      <c r="S5" s="16" t="s">
        <v>79</v>
      </c>
    </row>
    <row r="6" spans="1:19" ht="32">
      <c r="A6" s="1" t="s">
        <v>16</v>
      </c>
      <c r="B6" s="3" t="s">
        <v>17</v>
      </c>
      <c r="C6" s="4">
        <v>42591</v>
      </c>
      <c r="D6" s="5">
        <v>0.34097222222222223</v>
      </c>
      <c r="E6" s="11">
        <v>27.1</v>
      </c>
      <c r="F6" s="11">
        <v>35.4</v>
      </c>
      <c r="G6" s="10">
        <v>6.27</v>
      </c>
      <c r="H6" s="11">
        <v>96.7</v>
      </c>
      <c r="I6" s="10">
        <v>8.1199999999999992</v>
      </c>
      <c r="J6" s="23">
        <f>AVERAGE(0.4,0.41,0.45)</f>
        <v>0.42</v>
      </c>
      <c r="K6" s="23">
        <v>70.022696438084054</v>
      </c>
      <c r="L6" s="43">
        <v>14.871068035078096</v>
      </c>
      <c r="M6" s="43">
        <v>6.6577358407272955</v>
      </c>
      <c r="N6" s="43">
        <v>322.68902874232703</v>
      </c>
      <c r="O6" s="23">
        <v>22.595349928771434</v>
      </c>
      <c r="P6" s="23">
        <v>2.3790772320130289</v>
      </c>
      <c r="Q6" s="1">
        <v>1</v>
      </c>
      <c r="R6" s="3" t="s">
        <v>55</v>
      </c>
      <c r="S6" s="16" t="s">
        <v>77</v>
      </c>
    </row>
    <row r="7" spans="1:19" ht="32">
      <c r="A7" s="1" t="s">
        <v>16</v>
      </c>
      <c r="B7" s="3" t="s">
        <v>17</v>
      </c>
      <c r="C7" s="4">
        <v>42605</v>
      </c>
      <c r="D7" s="5">
        <v>0.33888888888888885</v>
      </c>
      <c r="E7" s="11">
        <v>27.8</v>
      </c>
      <c r="F7" s="11">
        <v>35.299999999999997</v>
      </c>
      <c r="G7" s="10">
        <v>5.84</v>
      </c>
      <c r="H7" s="11">
        <v>90.7</v>
      </c>
      <c r="I7" s="10">
        <v>8</v>
      </c>
      <c r="J7" s="23">
        <f>AVERAGE(0.43,0.42,0.52)</f>
        <v>0.45666666666666672</v>
      </c>
      <c r="K7" s="23">
        <v>87.240641974375023</v>
      </c>
      <c r="L7" s="43">
        <v>13.115843200730293</v>
      </c>
      <c r="M7" s="43">
        <v>7.3167728924050666</v>
      </c>
      <c r="N7" s="43">
        <v>350.09179065434068</v>
      </c>
      <c r="O7" s="23">
        <v>25.946768954299806</v>
      </c>
      <c r="P7" s="23">
        <v>1.8919457133717208</v>
      </c>
      <c r="Q7" s="1">
        <v>1</v>
      </c>
      <c r="R7" s="3" t="s">
        <v>52</v>
      </c>
      <c r="S7" s="16" t="s">
        <v>76</v>
      </c>
    </row>
    <row r="8" spans="1:19" ht="32">
      <c r="A8" s="1" t="s">
        <v>16</v>
      </c>
      <c r="B8" s="3" t="s">
        <v>17</v>
      </c>
      <c r="C8" s="4">
        <v>42619</v>
      </c>
      <c r="D8" s="5">
        <v>0.34027777777777773</v>
      </c>
      <c r="E8" s="11">
        <v>27.3</v>
      </c>
      <c r="F8" s="11">
        <v>35.299999999999997</v>
      </c>
      <c r="G8" s="10">
        <v>6.41</v>
      </c>
      <c r="H8" s="11">
        <v>98.2</v>
      </c>
      <c r="I8" s="10">
        <v>8.2100000000000009</v>
      </c>
      <c r="J8" s="23">
        <f>AVERAGE(1.42,1.42,1.51)</f>
        <v>1.45</v>
      </c>
      <c r="K8" s="23">
        <v>81.252017947054426</v>
      </c>
      <c r="L8" s="43">
        <v>15.436309930885017</v>
      </c>
      <c r="M8" s="43">
        <v>7.4100618925472945</v>
      </c>
      <c r="N8" s="43">
        <v>368.38173498209244</v>
      </c>
      <c r="O8" s="23">
        <v>26.83480741382024</v>
      </c>
      <c r="P8" s="25">
        <v>1.5</v>
      </c>
      <c r="Q8" s="1">
        <v>2</v>
      </c>
      <c r="R8" s="3" t="s">
        <v>55</v>
      </c>
      <c r="S8" s="16" t="s">
        <v>73</v>
      </c>
    </row>
    <row r="9" spans="1:19" ht="64">
      <c r="A9" s="1" t="s">
        <v>16</v>
      </c>
      <c r="B9" s="3" t="s">
        <v>17</v>
      </c>
      <c r="C9" s="4">
        <v>42633</v>
      </c>
      <c r="D9" s="5">
        <v>0.3263888888888889</v>
      </c>
      <c r="E9" s="11">
        <v>27.1</v>
      </c>
      <c r="F9" s="11">
        <v>35.6</v>
      </c>
      <c r="G9" s="10">
        <v>6.31</v>
      </c>
      <c r="H9" s="11">
        <v>96.6</v>
      </c>
      <c r="I9" s="10">
        <v>8.0299999999999994</v>
      </c>
      <c r="J9" s="23">
        <f>AVERAGE(1.38,1.06,1.36)</f>
        <v>1.2666666666666666</v>
      </c>
      <c r="K9" s="46">
        <v>193.38027214325803</v>
      </c>
      <c r="L9" s="43">
        <v>18.318299860163716</v>
      </c>
      <c r="M9" s="43">
        <v>7.5292645038401398</v>
      </c>
      <c r="N9" s="43">
        <v>364.07931426955611</v>
      </c>
      <c r="O9" s="23">
        <v>17.999743402067264</v>
      </c>
      <c r="P9" s="46">
        <v>9.2286547519339273</v>
      </c>
      <c r="Q9" s="1">
        <v>1</v>
      </c>
      <c r="R9" s="3" t="s">
        <v>52</v>
      </c>
      <c r="S9" s="16" t="s">
        <v>74</v>
      </c>
    </row>
    <row r="10" spans="1:19" ht="32">
      <c r="A10" s="1" t="s">
        <v>16</v>
      </c>
      <c r="B10" s="3" t="s">
        <v>17</v>
      </c>
      <c r="C10" s="4">
        <v>42647</v>
      </c>
      <c r="D10" s="5">
        <v>0.34513888888888888</v>
      </c>
      <c r="E10" s="11">
        <v>27.8</v>
      </c>
      <c r="F10" s="11">
        <v>34.299999999999997</v>
      </c>
      <c r="G10" s="10">
        <v>6.19</v>
      </c>
      <c r="H10" s="11">
        <v>95.2</v>
      </c>
      <c r="I10" s="10">
        <v>8.1199999999999992</v>
      </c>
      <c r="J10" s="23">
        <f>AVERAGE(0.52,0.51,0.53)</f>
        <v>0.52</v>
      </c>
      <c r="K10" s="23">
        <v>85.585039651487236</v>
      </c>
      <c r="L10" s="43">
        <v>17.232440428745161</v>
      </c>
      <c r="M10" s="43">
        <v>5.645344973190161</v>
      </c>
      <c r="N10" s="43">
        <v>317.63738333142072</v>
      </c>
      <c r="O10" s="23">
        <v>24.890921847945851</v>
      </c>
      <c r="P10" s="23">
        <v>4.8356452538823937</v>
      </c>
      <c r="Q10" s="1">
        <v>2</v>
      </c>
      <c r="R10" s="3" t="s">
        <v>56</v>
      </c>
      <c r="S10" s="16" t="s">
        <v>71</v>
      </c>
    </row>
    <row r="11" spans="1:19" ht="32">
      <c r="A11" s="1" t="s">
        <v>16</v>
      </c>
      <c r="B11" s="3" t="s">
        <v>17</v>
      </c>
      <c r="C11" s="4">
        <v>42661</v>
      </c>
      <c r="D11" s="5">
        <v>0.34861111111111115</v>
      </c>
      <c r="E11" s="11">
        <v>26.9</v>
      </c>
      <c r="F11" s="11">
        <v>36.700000000000003</v>
      </c>
      <c r="G11" s="10">
        <v>6.28</v>
      </c>
      <c r="H11" s="11">
        <v>96.3</v>
      </c>
      <c r="I11" s="10">
        <v>7.99</v>
      </c>
      <c r="J11" s="23">
        <f>AVERAGE(0.72,0.64,0.74)</f>
        <v>0.69999999999999984</v>
      </c>
      <c r="K11" s="23">
        <v>87.055442383846511</v>
      </c>
      <c r="L11" s="43">
        <v>9.439882692167016</v>
      </c>
      <c r="M11" s="43">
        <v>7.1038060208864806</v>
      </c>
      <c r="N11" s="43">
        <v>343.83118007730383</v>
      </c>
      <c r="O11" s="23">
        <v>24.670619371920054</v>
      </c>
      <c r="P11" s="23">
        <v>3.4875593658454993</v>
      </c>
      <c r="Q11" s="1">
        <v>1</v>
      </c>
      <c r="R11" s="3" t="s">
        <v>52</v>
      </c>
      <c r="S11" s="16" t="s">
        <v>71</v>
      </c>
    </row>
    <row r="12" spans="1:19" ht="32">
      <c r="A12" s="1" t="s">
        <v>16</v>
      </c>
      <c r="B12" s="3" t="s">
        <v>17</v>
      </c>
      <c r="C12" s="4">
        <v>42675</v>
      </c>
      <c r="D12" s="5">
        <v>0.34583333333333338</v>
      </c>
      <c r="E12" s="11">
        <v>25.5</v>
      </c>
      <c r="F12" s="11">
        <v>34.4</v>
      </c>
      <c r="G12" s="10">
        <v>6.43</v>
      </c>
      <c r="H12" s="11">
        <v>94.7</v>
      </c>
      <c r="I12" s="10">
        <v>8.1</v>
      </c>
      <c r="J12" s="23">
        <f>AVERAGE(1.29,1.34,1.58)</f>
        <v>1.4033333333333333</v>
      </c>
      <c r="K12" s="23">
        <v>84.641538407847875</v>
      </c>
      <c r="L12" s="43">
        <v>20.704681977657813</v>
      </c>
      <c r="M12" s="43">
        <v>8.3416198919231395</v>
      </c>
      <c r="N12" s="43">
        <v>421.28779213200869</v>
      </c>
      <c r="O12" s="23">
        <v>15.5056216675339</v>
      </c>
      <c r="P12" s="23">
        <v>7.1595274624461567</v>
      </c>
      <c r="Q12" s="1">
        <v>2</v>
      </c>
      <c r="R12" s="3" t="s">
        <v>56</v>
      </c>
      <c r="S12" s="16" t="s">
        <v>36</v>
      </c>
    </row>
    <row r="13" spans="1:19" ht="32">
      <c r="A13" s="1" t="s">
        <v>16</v>
      </c>
      <c r="B13" s="3" t="s">
        <v>17</v>
      </c>
      <c r="C13" s="4">
        <v>42689</v>
      </c>
      <c r="D13" s="5">
        <v>0.35347222222222219</v>
      </c>
      <c r="E13" s="15">
        <v>25.8</v>
      </c>
      <c r="F13" s="15">
        <v>34.4</v>
      </c>
      <c r="G13" s="43">
        <v>6.49</v>
      </c>
      <c r="H13" s="15">
        <v>96.2</v>
      </c>
      <c r="I13" s="43">
        <v>8.14</v>
      </c>
      <c r="J13" s="43">
        <f>AVERAGE(1.42,1.38,1.59)</f>
        <v>1.4633333333333332</v>
      </c>
      <c r="K13" s="43">
        <v>67.224343097240691</v>
      </c>
      <c r="L13" s="43">
        <v>8.3572786145440414</v>
      </c>
      <c r="M13" s="43">
        <v>5.8806196293072786</v>
      </c>
      <c r="N13" s="43">
        <v>349.27276885350506</v>
      </c>
      <c r="O13" s="43">
        <v>15.10530346641008</v>
      </c>
      <c r="P13" s="31">
        <v>1.5</v>
      </c>
      <c r="Q13" s="1">
        <v>2</v>
      </c>
      <c r="R13" s="3" t="s">
        <v>56</v>
      </c>
      <c r="S13" s="16" t="s">
        <v>36</v>
      </c>
    </row>
    <row r="14" spans="1:19" ht="32">
      <c r="A14" s="1" t="s">
        <v>16</v>
      </c>
      <c r="B14" s="3" t="s">
        <v>17</v>
      </c>
      <c r="C14" s="4">
        <v>42703</v>
      </c>
      <c r="D14" s="5">
        <v>0.34861111111111115</v>
      </c>
      <c r="E14" s="15">
        <v>25.1</v>
      </c>
      <c r="F14" s="15">
        <v>34.299999999999997</v>
      </c>
      <c r="G14" s="43">
        <v>6.52</v>
      </c>
      <c r="H14" s="15">
        <v>95.2</v>
      </c>
      <c r="I14" s="43">
        <v>8.14</v>
      </c>
      <c r="J14" s="43">
        <f>AVERAGE(1.57,1.57,1.53)</f>
        <v>1.5566666666666666</v>
      </c>
      <c r="K14" s="43">
        <v>83.383159336948864</v>
      </c>
      <c r="L14" s="43">
        <v>5.7690654231055172</v>
      </c>
      <c r="M14" s="43">
        <v>4.0636111905613461</v>
      </c>
      <c r="N14" s="43">
        <v>386.56803573352369</v>
      </c>
      <c r="O14" s="43">
        <v>21.249054494279534</v>
      </c>
      <c r="P14" s="43">
        <v>1.6398577743767033</v>
      </c>
      <c r="Q14" s="1">
        <v>2</v>
      </c>
      <c r="R14" s="3" t="s">
        <v>56</v>
      </c>
      <c r="S14" s="16" t="s">
        <v>36</v>
      </c>
    </row>
    <row r="15" spans="1:19" ht="32">
      <c r="A15" s="1" t="s">
        <v>16</v>
      </c>
      <c r="B15" s="3" t="s">
        <v>17</v>
      </c>
      <c r="C15" s="4">
        <v>42717</v>
      </c>
      <c r="D15" s="5">
        <v>0.35000000000000003</v>
      </c>
      <c r="E15" s="15">
        <v>25.3</v>
      </c>
      <c r="F15" s="15">
        <v>34.700000000000003</v>
      </c>
      <c r="G15" s="43">
        <v>6.6</v>
      </c>
      <c r="H15" s="15">
        <v>97.4</v>
      </c>
      <c r="I15" s="43">
        <v>8.02</v>
      </c>
      <c r="J15" s="43">
        <f>AVERAGE(1.17,1.17,1.3)</f>
        <v>1.2133333333333332</v>
      </c>
      <c r="K15" s="43">
        <v>62.360374549948766</v>
      </c>
      <c r="L15" s="43">
        <v>13.424246087021924</v>
      </c>
      <c r="M15" s="43">
        <v>4.7792404757658655</v>
      </c>
      <c r="N15" s="43">
        <v>343.80319345119051</v>
      </c>
      <c r="O15" s="43">
        <v>18.566475609048002</v>
      </c>
      <c r="P15" s="31">
        <v>1.5</v>
      </c>
      <c r="Q15" s="1">
        <v>1</v>
      </c>
      <c r="R15" s="3" t="s">
        <v>56</v>
      </c>
      <c r="S15" s="16" t="s">
        <v>36</v>
      </c>
    </row>
    <row r="16" spans="1:19" ht="32">
      <c r="A16" s="1" t="s">
        <v>35</v>
      </c>
      <c r="B16" s="3" t="s">
        <v>17</v>
      </c>
      <c r="C16" s="4">
        <v>42738</v>
      </c>
      <c r="D16" s="5">
        <v>0.39583333333333331</v>
      </c>
      <c r="E16" s="11">
        <v>24.4</v>
      </c>
      <c r="F16" s="11">
        <v>34.6</v>
      </c>
      <c r="G16" s="10">
        <v>6.57</v>
      </c>
      <c r="H16" s="11">
        <v>95.5</v>
      </c>
      <c r="I16" s="10">
        <v>8.18</v>
      </c>
      <c r="J16" s="23">
        <f>AVERAGE(2.62,2.52,2.34)</f>
        <v>2.4933333333333336</v>
      </c>
      <c r="K16" s="23">
        <v>82.423480456467331</v>
      </c>
      <c r="L16" s="43">
        <v>12.879840217050992</v>
      </c>
      <c r="M16" s="43">
        <v>7.5648835064550939</v>
      </c>
      <c r="N16" s="43">
        <v>314.67742159778504</v>
      </c>
      <c r="O16" s="23">
        <v>15.245448720902974</v>
      </c>
      <c r="P16" s="23">
        <v>1.6258708078604687</v>
      </c>
      <c r="Q16" s="1">
        <v>2</v>
      </c>
      <c r="R16" s="3" t="s">
        <v>56</v>
      </c>
      <c r="S16" s="16" t="s">
        <v>36</v>
      </c>
    </row>
    <row r="17" spans="1:19" ht="32">
      <c r="A17" s="1" t="s">
        <v>35</v>
      </c>
      <c r="B17" s="3" t="s">
        <v>17</v>
      </c>
      <c r="C17" s="4">
        <v>42759</v>
      </c>
      <c r="D17" s="5">
        <v>0.35347222222222219</v>
      </c>
      <c r="E17" s="15">
        <v>24.1</v>
      </c>
      <c r="F17" s="52">
        <v>37.200000000000003</v>
      </c>
      <c r="G17" s="43">
        <v>6.46</v>
      </c>
      <c r="H17" s="15">
        <v>94.5</v>
      </c>
      <c r="I17" s="43">
        <v>8.16</v>
      </c>
      <c r="J17" s="43">
        <f>AVERAGE(4.36,3.94,3.95)</f>
        <v>4.083333333333333</v>
      </c>
      <c r="K17" s="43">
        <v>79.745283572024988</v>
      </c>
      <c r="L17" s="43">
        <v>23.244421445356263</v>
      </c>
      <c r="M17" s="43">
        <v>18.895324706551438</v>
      </c>
      <c r="N17" s="43">
        <v>237.48089863862003</v>
      </c>
      <c r="O17" s="43">
        <v>13.922010265636573</v>
      </c>
      <c r="P17" s="43">
        <v>4.4868568142875063</v>
      </c>
      <c r="Q17" s="1">
        <v>1</v>
      </c>
      <c r="R17" s="3" t="s">
        <v>53</v>
      </c>
      <c r="S17" s="16" t="s">
        <v>36</v>
      </c>
    </row>
    <row r="18" spans="1:19" ht="32">
      <c r="A18" s="1" t="s">
        <v>35</v>
      </c>
      <c r="B18" s="3" t="s">
        <v>17</v>
      </c>
      <c r="C18" s="4">
        <v>42780</v>
      </c>
      <c r="D18" s="5">
        <v>0.3840277777777778</v>
      </c>
      <c r="E18" s="15">
        <v>24.5</v>
      </c>
      <c r="F18" s="15">
        <v>34.6</v>
      </c>
      <c r="G18" s="43">
        <v>6.81</v>
      </c>
      <c r="H18" s="15">
        <v>99.1</v>
      </c>
      <c r="I18" s="43">
        <v>8.19</v>
      </c>
      <c r="J18" s="43">
        <f>AVERAGE(5.23,5.24,5.27)</f>
        <v>5.246666666666667</v>
      </c>
      <c r="K18" s="43">
        <v>95.145297813198837</v>
      </c>
      <c r="L18" s="43">
        <v>14.977506298457381</v>
      </c>
      <c r="M18" s="43">
        <v>10.479893625847458</v>
      </c>
      <c r="N18" s="43">
        <v>381.69273235490857</v>
      </c>
      <c r="O18" s="43">
        <v>23.454943115673615</v>
      </c>
      <c r="P18" s="43">
        <v>6.2235534718014813</v>
      </c>
      <c r="Q18" s="1">
        <v>2</v>
      </c>
      <c r="R18" s="3" t="s">
        <v>26</v>
      </c>
      <c r="S18" s="16" t="s">
        <v>36</v>
      </c>
    </row>
    <row r="19" spans="1:19" ht="32">
      <c r="A19" s="1" t="s">
        <v>35</v>
      </c>
      <c r="B19" s="3" t="s">
        <v>17</v>
      </c>
      <c r="C19" s="4">
        <v>42801</v>
      </c>
      <c r="D19" s="5">
        <v>0.36458333333333331</v>
      </c>
      <c r="E19" s="15">
        <v>24.5</v>
      </c>
      <c r="F19" s="15">
        <v>34.200000000000003</v>
      </c>
      <c r="G19" s="43">
        <v>6.7</v>
      </c>
      <c r="H19" s="15">
        <v>97.5</v>
      </c>
      <c r="I19" s="43">
        <v>8.15</v>
      </c>
      <c r="J19" s="43">
        <f>AVERAGE(7.01,7.43,7.15)</f>
        <v>7.1966666666666663</v>
      </c>
      <c r="K19" s="43">
        <v>74.756716483325121</v>
      </c>
      <c r="L19" s="43">
        <v>13.159367796293031</v>
      </c>
      <c r="M19" s="43">
        <v>10.30271320762712</v>
      </c>
      <c r="N19" s="43">
        <v>263.04732527028426</v>
      </c>
      <c r="O19" s="43">
        <v>11.250021959995763</v>
      </c>
      <c r="P19" s="43">
        <v>6.2298523715955731</v>
      </c>
      <c r="Q19" s="1">
        <v>1</v>
      </c>
      <c r="R19" s="3" t="s">
        <v>28</v>
      </c>
      <c r="S19" s="16" t="s">
        <v>36</v>
      </c>
    </row>
    <row r="20" spans="1:19" ht="32">
      <c r="A20" s="1" t="s">
        <v>35</v>
      </c>
      <c r="B20" s="3" t="s">
        <v>17</v>
      </c>
      <c r="C20" s="4">
        <v>42822</v>
      </c>
      <c r="D20" s="5">
        <v>0.36319444444444443</v>
      </c>
      <c r="E20" s="15">
        <v>25.4</v>
      </c>
      <c r="F20" s="15">
        <v>34</v>
      </c>
      <c r="G20" s="43">
        <v>6.71</v>
      </c>
      <c r="H20" s="15">
        <v>98.4</v>
      </c>
      <c r="I20" s="43">
        <v>8.18</v>
      </c>
      <c r="J20" s="43">
        <f>AVERAGE(1.59,1.98,2.07)</f>
        <v>1.8800000000000001</v>
      </c>
      <c r="K20" s="43">
        <v>86.994539080831956</v>
      </c>
      <c r="L20" s="43">
        <v>14.490850109635986</v>
      </c>
      <c r="M20" s="43">
        <v>8.8670634442397418</v>
      </c>
      <c r="N20" s="43">
        <v>303.09415681138847</v>
      </c>
      <c r="O20" s="43">
        <v>19.080852619475809</v>
      </c>
      <c r="P20" s="43">
        <v>6.920256234969373</v>
      </c>
      <c r="Q20" s="1">
        <v>1</v>
      </c>
      <c r="R20" s="3" t="s">
        <v>28</v>
      </c>
      <c r="S20" s="16" t="s">
        <v>36</v>
      </c>
    </row>
    <row r="21" spans="1:19" ht="32">
      <c r="A21" s="1" t="s">
        <v>35</v>
      </c>
      <c r="B21" s="3" t="s">
        <v>17</v>
      </c>
      <c r="C21" s="4">
        <v>42843</v>
      </c>
      <c r="D21" s="5">
        <v>0.37013888888888885</v>
      </c>
      <c r="E21" s="15">
        <v>26.1</v>
      </c>
      <c r="F21" s="15">
        <v>33.5</v>
      </c>
      <c r="G21" s="43">
        <v>6.53</v>
      </c>
      <c r="H21" s="15">
        <v>96.9</v>
      </c>
      <c r="I21" s="43">
        <v>8.16</v>
      </c>
      <c r="J21" s="43">
        <f>AVERAGE(0.95,0.9,1.02)</f>
        <v>0.95666666666666667</v>
      </c>
      <c r="K21" s="43">
        <v>128.52977391565571</v>
      </c>
      <c r="L21" s="43">
        <v>13.352945913701735</v>
      </c>
      <c r="M21" s="43">
        <v>9.0750739293964831</v>
      </c>
      <c r="N21" s="43">
        <v>619.74461955894617</v>
      </c>
      <c r="O21" s="43">
        <v>35.002317355286742</v>
      </c>
      <c r="P21" s="43">
        <v>3.8821088907562773</v>
      </c>
      <c r="Q21" s="1">
        <v>1</v>
      </c>
      <c r="R21" s="3" t="s">
        <v>28</v>
      </c>
      <c r="S21" s="16" t="s">
        <v>36</v>
      </c>
    </row>
    <row r="22" spans="1:19" ht="32">
      <c r="A22" s="1" t="s">
        <v>35</v>
      </c>
      <c r="B22" s="3" t="s">
        <v>17</v>
      </c>
      <c r="C22" s="4">
        <v>42864</v>
      </c>
      <c r="D22" s="5">
        <v>0.36458333333333331</v>
      </c>
      <c r="E22" s="15">
        <v>26.1</v>
      </c>
      <c r="F22" s="15">
        <v>33.6</v>
      </c>
      <c r="G22" s="43">
        <v>6.96</v>
      </c>
      <c r="H22" s="15">
        <v>103.7</v>
      </c>
      <c r="I22" s="43">
        <v>8.1999999999999993</v>
      </c>
      <c r="J22" s="43">
        <f>AVERAGE(1.31,1.35,1.77)</f>
        <v>1.4766666666666666</v>
      </c>
      <c r="K22" s="43">
        <v>116.75038761800428</v>
      </c>
      <c r="L22" s="43">
        <v>12.280613549526921</v>
      </c>
      <c r="M22" s="43">
        <v>8.4859453084003906</v>
      </c>
      <c r="N22" s="43">
        <v>562.56730503328447</v>
      </c>
      <c r="O22" s="43">
        <v>25.12907364924596</v>
      </c>
      <c r="P22" s="43">
        <v>5.9873813142118326</v>
      </c>
      <c r="Q22" s="1">
        <v>1</v>
      </c>
      <c r="R22" s="3" t="s">
        <v>27</v>
      </c>
      <c r="S22" s="16" t="s">
        <v>36</v>
      </c>
    </row>
    <row r="23" spans="1:19" ht="32">
      <c r="A23" s="1" t="s">
        <v>16</v>
      </c>
      <c r="B23" s="3" t="s">
        <v>17</v>
      </c>
      <c r="C23" s="4">
        <v>42885</v>
      </c>
      <c r="D23" s="5">
        <v>0.3659722222222222</v>
      </c>
      <c r="E23" s="15">
        <v>26.5</v>
      </c>
      <c r="F23" s="15">
        <v>34.299999999999997</v>
      </c>
      <c r="G23" s="43">
        <v>6.83</v>
      </c>
      <c r="H23" s="15">
        <v>102.3</v>
      </c>
      <c r="I23" s="43">
        <v>8.16</v>
      </c>
      <c r="J23" s="43">
        <f>AVERAGE(1.26,1.29,1.19)</f>
        <v>1.2466666666666666</v>
      </c>
      <c r="K23" s="43">
        <v>86.465849900334248</v>
      </c>
      <c r="L23" s="43">
        <v>10.506920036432209</v>
      </c>
      <c r="M23" s="43">
        <v>6.2446843573292048</v>
      </c>
      <c r="N23" s="43">
        <v>427.42681372680801</v>
      </c>
      <c r="O23" s="43">
        <v>24.057382460609222</v>
      </c>
      <c r="P23" s="43">
        <v>2.8226950434136442</v>
      </c>
      <c r="Q23" s="1">
        <v>1</v>
      </c>
      <c r="R23" s="3" t="s">
        <v>78</v>
      </c>
      <c r="S23" s="16" t="s">
        <v>36</v>
      </c>
    </row>
    <row r="24" spans="1:19" ht="32">
      <c r="A24" s="1" t="s">
        <v>35</v>
      </c>
      <c r="B24" s="3" t="s">
        <v>17</v>
      </c>
      <c r="C24" s="4">
        <v>42906</v>
      </c>
      <c r="D24" s="5">
        <v>0.36527777777777781</v>
      </c>
      <c r="E24" s="15">
        <v>26.7</v>
      </c>
      <c r="F24" s="15">
        <v>34.200000000000003</v>
      </c>
      <c r="G24" s="43">
        <v>6.64</v>
      </c>
      <c r="H24" s="15">
        <v>100.2</v>
      </c>
      <c r="I24" s="43">
        <v>8.17</v>
      </c>
      <c r="J24" s="43">
        <f>AVERAGE(2.16,2.15,1.97)</f>
        <v>2.0933333333333333</v>
      </c>
      <c r="K24" s="43">
        <v>82.849535017244733</v>
      </c>
      <c r="L24" s="43">
        <v>15.31676904318074</v>
      </c>
      <c r="M24" s="43">
        <v>8.4203184730455884</v>
      </c>
      <c r="N24" s="43">
        <v>366.11879665375966</v>
      </c>
      <c r="O24" s="43">
        <v>19.485416710128298</v>
      </c>
      <c r="P24" s="43">
        <v>1.62048614356971</v>
      </c>
      <c r="Q24" s="1">
        <v>2</v>
      </c>
      <c r="R24" s="3" t="s">
        <v>25</v>
      </c>
      <c r="S24" s="16" t="s">
        <v>36</v>
      </c>
    </row>
    <row r="25" spans="1:19" ht="32">
      <c r="A25" s="1" t="s">
        <v>35</v>
      </c>
      <c r="B25" s="3" t="s">
        <v>17</v>
      </c>
      <c r="C25" s="4">
        <v>42927</v>
      </c>
      <c r="D25" s="5">
        <v>0.37847222222222227</v>
      </c>
      <c r="E25" s="11">
        <v>27.4</v>
      </c>
      <c r="F25" s="11">
        <v>33.4</v>
      </c>
      <c r="G25" s="10">
        <v>6.23</v>
      </c>
      <c r="H25" s="11">
        <v>94.6</v>
      </c>
      <c r="I25" s="10">
        <v>8.16</v>
      </c>
      <c r="J25" s="23">
        <f>AVERAGE(0.32,0.32,0.38)</f>
        <v>0.34</v>
      </c>
      <c r="K25" s="43">
        <v>108.19535325079342</v>
      </c>
      <c r="L25" s="43">
        <v>13.935827570763369</v>
      </c>
      <c r="M25" s="43">
        <v>7.6188177762059359</v>
      </c>
      <c r="N25" s="43">
        <v>673.69263459802255</v>
      </c>
      <c r="O25" s="43">
        <v>47.014409595679169</v>
      </c>
      <c r="P25" s="43">
        <v>2.8073796511586302</v>
      </c>
      <c r="Q25" s="1">
        <v>2</v>
      </c>
      <c r="R25" s="3" t="s">
        <v>75</v>
      </c>
      <c r="S25" s="16" t="s">
        <v>36</v>
      </c>
    </row>
    <row r="26" spans="1:19" ht="32">
      <c r="A26" s="1" t="s">
        <v>35</v>
      </c>
      <c r="B26" s="3" t="s">
        <v>17</v>
      </c>
      <c r="C26" s="4">
        <v>42948</v>
      </c>
      <c r="D26" s="5">
        <v>0.38472222222222219</v>
      </c>
      <c r="E26" s="15">
        <v>27.5</v>
      </c>
      <c r="F26" s="15">
        <v>34</v>
      </c>
      <c r="G26" s="43">
        <v>6.41</v>
      </c>
      <c r="H26" s="15">
        <v>98</v>
      </c>
      <c r="I26" s="43">
        <v>8.15</v>
      </c>
      <c r="J26" s="43">
        <f>AVERAGE(0.35,0.34,0.36)</f>
        <v>0.34999999999999992</v>
      </c>
      <c r="K26" s="43">
        <v>96.286230282714939</v>
      </c>
      <c r="L26" s="43">
        <v>12.710438572373455</v>
      </c>
      <c r="M26" s="43">
        <v>7.9561028391757223</v>
      </c>
      <c r="N26" s="43">
        <v>326.92471975516469</v>
      </c>
      <c r="O26" s="43">
        <v>25.418936467767715</v>
      </c>
      <c r="P26" s="43">
        <v>2.5879542046429398</v>
      </c>
      <c r="Q26" s="1">
        <v>2</v>
      </c>
      <c r="R26" s="3" t="s">
        <v>11</v>
      </c>
      <c r="S26" s="16" t="s">
        <v>36</v>
      </c>
    </row>
    <row r="27" spans="1:19" ht="32">
      <c r="A27" s="1" t="s">
        <v>35</v>
      </c>
      <c r="B27" s="3" t="s">
        <v>17</v>
      </c>
      <c r="C27" s="4">
        <v>42969</v>
      </c>
      <c r="D27" s="5">
        <v>0.37708333333333338</v>
      </c>
      <c r="E27" s="15">
        <v>27</v>
      </c>
      <c r="F27" s="15">
        <v>34.5</v>
      </c>
      <c r="G27" s="43">
        <v>6.57</v>
      </c>
      <c r="H27" s="15">
        <v>100</v>
      </c>
      <c r="I27" s="43">
        <v>8.17</v>
      </c>
      <c r="J27" s="43">
        <f>AVERAGE(0.46,0.37,0.4)</f>
        <v>0.41</v>
      </c>
      <c r="K27" s="43">
        <v>127.713612700459</v>
      </c>
      <c r="L27" s="43">
        <v>15.489705458217317</v>
      </c>
      <c r="M27" s="43">
        <v>9.337621464890244</v>
      </c>
      <c r="N27" s="43">
        <v>562.26810428106489</v>
      </c>
      <c r="O27" s="43">
        <v>38.242673315130531</v>
      </c>
      <c r="P27" s="43">
        <v>3.749780618264337</v>
      </c>
      <c r="Q27" s="1">
        <v>1</v>
      </c>
      <c r="R27" s="3" t="s">
        <v>0</v>
      </c>
      <c r="S27" s="16" t="s">
        <v>36</v>
      </c>
    </row>
    <row r="28" spans="1:19" ht="32">
      <c r="A28" s="1" t="s">
        <v>35</v>
      </c>
      <c r="B28" s="3" t="s">
        <v>17</v>
      </c>
      <c r="C28" s="4">
        <v>42990</v>
      </c>
      <c r="D28" s="51">
        <v>0.37638888888888888</v>
      </c>
      <c r="E28" s="11">
        <v>28.1</v>
      </c>
      <c r="F28" s="11">
        <v>34.5</v>
      </c>
      <c r="G28" s="10">
        <v>6.38</v>
      </c>
      <c r="H28" s="11">
        <v>98.8</v>
      </c>
      <c r="I28" s="10">
        <v>8.15</v>
      </c>
      <c r="J28" s="23">
        <f>AVERAGE(0.49,0.55,0.55)</f>
        <v>0.53</v>
      </c>
      <c r="K28" s="43">
        <v>66.065115734095428</v>
      </c>
      <c r="L28" s="43">
        <v>17.702122950099223</v>
      </c>
      <c r="M28" s="43">
        <v>7.5583306704438158</v>
      </c>
      <c r="N28" s="43">
        <v>342.21696742978367</v>
      </c>
      <c r="O28" s="43">
        <v>18.38786221072052</v>
      </c>
      <c r="P28" s="43">
        <v>4.1793001908985383</v>
      </c>
      <c r="Q28" s="1">
        <v>2</v>
      </c>
      <c r="R28" s="3" t="s">
        <v>60</v>
      </c>
      <c r="S28" s="16" t="s">
        <v>36</v>
      </c>
    </row>
    <row r="29" spans="1:19" ht="32">
      <c r="A29" s="1" t="s">
        <v>35</v>
      </c>
      <c r="B29" s="3" t="s">
        <v>17</v>
      </c>
      <c r="C29" s="4">
        <v>43011</v>
      </c>
      <c r="D29" s="51">
        <v>0.38611111111111113</v>
      </c>
      <c r="E29" s="11">
        <v>27.9</v>
      </c>
      <c r="F29" s="11">
        <v>34</v>
      </c>
      <c r="G29" s="10">
        <v>6.49</v>
      </c>
      <c r="H29" s="11">
        <v>100</v>
      </c>
      <c r="I29" s="10">
        <v>8.19</v>
      </c>
      <c r="J29" s="23">
        <f>AVERAGE(0.5,0.79,0.67)</f>
        <v>0.65333333333333332</v>
      </c>
      <c r="K29" s="43">
        <v>82.286025739746563</v>
      </c>
      <c r="L29" s="43">
        <v>9.5247792992317493</v>
      </c>
      <c r="M29" s="43">
        <v>8.51852963082953</v>
      </c>
      <c r="N29" s="43">
        <v>561.15301340931785</v>
      </c>
      <c r="O29" s="43">
        <v>26.419926639236625</v>
      </c>
      <c r="P29" s="43">
        <v>2.8322621111320276</v>
      </c>
      <c r="Q29" s="1">
        <v>1</v>
      </c>
      <c r="R29" s="3" t="s">
        <v>20</v>
      </c>
      <c r="S29" s="16" t="s">
        <v>36</v>
      </c>
    </row>
    <row r="30" spans="1:19" ht="32">
      <c r="A30" s="1" t="s">
        <v>16</v>
      </c>
      <c r="B30" s="3" t="s">
        <v>17</v>
      </c>
      <c r="C30" s="4">
        <v>43032</v>
      </c>
      <c r="D30" s="51">
        <v>0.39930555555555558</v>
      </c>
      <c r="E30" s="15">
        <v>27</v>
      </c>
      <c r="F30" s="15">
        <v>33.6</v>
      </c>
      <c r="G30" s="43">
        <v>6.57</v>
      </c>
      <c r="H30" s="15">
        <v>99.8</v>
      </c>
      <c r="I30" s="43">
        <v>8.18</v>
      </c>
      <c r="J30" s="43">
        <f>AVERAGE(1.81,1.78,1.66)</f>
        <v>1.75</v>
      </c>
      <c r="K30" s="43">
        <v>78.25107860982385</v>
      </c>
      <c r="L30" s="43">
        <v>13.632394647485709</v>
      </c>
      <c r="M30" s="43">
        <v>8.8165619626415719</v>
      </c>
      <c r="N30" s="43">
        <v>378.57586275151482</v>
      </c>
      <c r="O30" s="43">
        <v>33.969703317867463</v>
      </c>
      <c r="P30" s="43">
        <v>2.5113825535613437</v>
      </c>
      <c r="Q30" s="1">
        <v>3</v>
      </c>
      <c r="R30" s="3" t="s">
        <v>70</v>
      </c>
      <c r="S30" s="16" t="s">
        <v>69</v>
      </c>
    </row>
    <row r="31" spans="1:19" ht="32">
      <c r="A31" s="1" t="s">
        <v>16</v>
      </c>
      <c r="B31" s="3" t="s">
        <v>17</v>
      </c>
      <c r="C31" s="4">
        <v>43053</v>
      </c>
      <c r="D31" s="51">
        <v>0.39513888888888887</v>
      </c>
      <c r="E31" s="15">
        <v>26.5</v>
      </c>
      <c r="F31" s="15">
        <v>34.5</v>
      </c>
      <c r="G31" s="43">
        <v>6.61</v>
      </c>
      <c r="H31" s="15">
        <v>99.7</v>
      </c>
      <c r="I31" s="43">
        <v>8.17</v>
      </c>
      <c r="J31" s="43">
        <f>AVERAGE(2.87,2.68,2.36)</f>
        <v>2.6366666666666667</v>
      </c>
      <c r="K31" s="43">
        <v>83.316071254320221</v>
      </c>
      <c r="L31" s="43">
        <v>15.460985567689205</v>
      </c>
      <c r="M31" s="43">
        <v>7.7468659392483232</v>
      </c>
      <c r="N31" s="43">
        <v>429.82904574655686</v>
      </c>
      <c r="O31" s="43">
        <v>16.458268200074016</v>
      </c>
      <c r="P31" s="43">
        <v>8.9806266884579848</v>
      </c>
      <c r="Q31" s="1">
        <v>1</v>
      </c>
      <c r="R31" s="3" t="s">
        <v>72</v>
      </c>
      <c r="S31" s="16" t="s">
        <v>69</v>
      </c>
    </row>
    <row r="32" spans="1:19" ht="32">
      <c r="A32" s="1" t="s">
        <v>16</v>
      </c>
      <c r="B32" s="3" t="s">
        <v>17</v>
      </c>
      <c r="C32" s="4">
        <v>43074</v>
      </c>
      <c r="D32" s="51">
        <v>0.3840277777777778</v>
      </c>
      <c r="E32" s="15">
        <v>24.5</v>
      </c>
      <c r="F32" s="15">
        <v>34.5</v>
      </c>
      <c r="G32" s="43">
        <v>6.82</v>
      </c>
      <c r="H32" s="15">
        <v>99</v>
      </c>
      <c r="I32" s="43">
        <v>8.18</v>
      </c>
      <c r="J32" s="43">
        <f>AVERAGE(6.41,6.78,6.52)</f>
        <v>6.57</v>
      </c>
      <c r="K32" s="43"/>
      <c r="O32" s="43"/>
      <c r="P32" s="43"/>
      <c r="Q32" s="1">
        <v>3</v>
      </c>
      <c r="R32" s="3" t="s">
        <v>61</v>
      </c>
      <c r="S32" s="16" t="s">
        <v>69</v>
      </c>
    </row>
    <row r="33" spans="1:19" ht="32">
      <c r="A33" s="1" t="s">
        <v>16</v>
      </c>
      <c r="B33" s="3" t="s">
        <v>17</v>
      </c>
      <c r="C33" s="4">
        <v>43088</v>
      </c>
      <c r="D33" s="51">
        <v>0.4069444444444445</v>
      </c>
      <c r="E33" s="54">
        <v>25.1</v>
      </c>
      <c r="F33" s="54">
        <v>34.799999999999997</v>
      </c>
      <c r="G33" s="43">
        <v>6.46</v>
      </c>
      <c r="H33" s="54">
        <v>95.4</v>
      </c>
      <c r="I33" s="43">
        <v>8.18</v>
      </c>
      <c r="J33" s="43">
        <f>AVERAGE(5.57,5,4.46)</f>
        <v>5.0100000000000007</v>
      </c>
      <c r="K33" s="43"/>
      <c r="O33" s="43"/>
      <c r="P33" s="43"/>
      <c r="Q33" s="1">
        <v>1</v>
      </c>
      <c r="R33" s="3" t="s">
        <v>13</v>
      </c>
      <c r="S33" s="16" t="s">
        <v>69</v>
      </c>
    </row>
    <row r="34" spans="1:19" ht="32">
      <c r="A34" s="1" t="s">
        <v>16</v>
      </c>
      <c r="B34" s="3" t="s">
        <v>17</v>
      </c>
      <c r="C34" s="4">
        <v>43109</v>
      </c>
      <c r="D34" s="51">
        <v>0.39305555555555555</v>
      </c>
      <c r="E34" s="15">
        <v>24.8</v>
      </c>
      <c r="F34" s="15">
        <v>34.200000000000003</v>
      </c>
      <c r="G34" s="43">
        <v>6.64</v>
      </c>
      <c r="H34" s="15">
        <v>96.8</v>
      </c>
      <c r="I34" s="43">
        <v>8.17</v>
      </c>
      <c r="J34" s="43">
        <f>AVERAGE(1.38,1.32,1.56)</f>
        <v>1.42</v>
      </c>
      <c r="K34" s="43"/>
      <c r="O34" s="43"/>
      <c r="P34" s="43"/>
      <c r="Q34" s="1">
        <v>3</v>
      </c>
      <c r="R34" s="3" t="s">
        <v>37</v>
      </c>
      <c r="S34" s="16" t="s">
        <v>69</v>
      </c>
    </row>
    <row r="35" spans="1:19" ht="32">
      <c r="A35" s="1" t="s">
        <v>16</v>
      </c>
      <c r="B35" s="3" t="s">
        <v>17</v>
      </c>
      <c r="C35" s="4">
        <v>43130</v>
      </c>
      <c r="D35" s="51">
        <v>0.40208333333333335</v>
      </c>
      <c r="E35" s="54">
        <v>24.1</v>
      </c>
      <c r="F35" s="54">
        <v>34.4</v>
      </c>
      <c r="G35" s="43">
        <v>6.83</v>
      </c>
      <c r="H35" s="54">
        <v>99.3</v>
      </c>
      <c r="I35" s="43">
        <v>8.19</v>
      </c>
      <c r="J35" s="43">
        <f>AVERAGE(9.22,7.24,9.87)</f>
        <v>8.7766666666666655</v>
      </c>
      <c r="K35" s="43"/>
      <c r="O35" s="43"/>
      <c r="P35" s="43"/>
      <c r="Q35" s="1">
        <v>1</v>
      </c>
      <c r="R35" s="3" t="s">
        <v>54</v>
      </c>
      <c r="S35" s="16" t="s">
        <v>69</v>
      </c>
    </row>
    <row r="36" spans="1:19">
      <c r="E36" s="54"/>
      <c r="F36" s="54"/>
      <c r="G36" s="43"/>
      <c r="H36" s="54"/>
      <c r="I36" s="43"/>
      <c r="J36" s="43"/>
      <c r="K36" s="43"/>
      <c r="O36" s="43"/>
      <c r="P36" s="43"/>
    </row>
    <row r="37" spans="1:19">
      <c r="E37" s="54"/>
      <c r="F37" s="54"/>
      <c r="G37" s="43"/>
      <c r="H37" s="54"/>
      <c r="I37" s="43"/>
      <c r="J37" s="43"/>
      <c r="K37" s="43"/>
      <c r="O37" s="43"/>
      <c r="P37" s="43"/>
    </row>
    <row r="38" spans="1:19">
      <c r="E38" s="15"/>
      <c r="F38" s="15"/>
      <c r="G38" s="43"/>
      <c r="H38" s="15"/>
      <c r="I38" s="43"/>
      <c r="J38" s="43"/>
      <c r="K38" s="43"/>
      <c r="O38" s="43"/>
      <c r="P38" s="43"/>
    </row>
    <row r="42" spans="1:19">
      <c r="J42" s="24">
        <f>GEOMEAN(J2:J39)</f>
        <v>1.4456952290835554</v>
      </c>
      <c r="K42" s="23">
        <f>GEOMEAN(K2:K39)</f>
        <v>88.443929491067806</v>
      </c>
      <c r="L42" s="43">
        <f t="shared" ref="L42:N42" si="0">GEOMEAN(L2:L39)</f>
        <v>13.620326767373255</v>
      </c>
      <c r="M42" s="31">
        <f t="shared" si="0"/>
        <v>7.7523055165809289</v>
      </c>
      <c r="N42" s="43">
        <f t="shared" si="0"/>
        <v>386.90888008003333</v>
      </c>
      <c r="O42" s="24">
        <f t="shared" ref="O42:P42" si="1">GEOMEAN(O2:O39)</f>
        <v>21.822479872971915</v>
      </c>
      <c r="P42" s="25">
        <f t="shared" si="1"/>
        <v>3.23316459864101</v>
      </c>
      <c r="S42" s="16" t="s">
        <v>43</v>
      </c>
    </row>
    <row r="43" spans="1:19">
      <c r="D43" s="49">
        <f t="shared" ref="D43:N43" si="2">AVERAGE(D2:D39)</f>
        <v>0.36672794117647056</v>
      </c>
      <c r="E43" s="43">
        <f t="shared" si="2"/>
        <v>26.214705882352945</v>
      </c>
      <c r="F43" s="43">
        <f t="shared" si="2"/>
        <v>34.447058823529417</v>
      </c>
      <c r="G43" s="43">
        <f t="shared" si="2"/>
        <v>6.5238235294117635</v>
      </c>
      <c r="H43" s="43">
        <f t="shared" si="2"/>
        <v>97.82941176470591</v>
      </c>
      <c r="I43" s="30">
        <f t="shared" si="2"/>
        <v>8.1382352941176475</v>
      </c>
      <c r="J43" s="23">
        <f t="shared" si="2"/>
        <v>2.1294117647058823</v>
      </c>
      <c r="K43" s="23">
        <f t="shared" si="2"/>
        <v>90.897168129436494</v>
      </c>
      <c r="L43" s="43">
        <f t="shared" si="2"/>
        <v>14.095751820068415</v>
      </c>
      <c r="M43" s="43">
        <f t="shared" si="2"/>
        <v>8.0406378526500539</v>
      </c>
      <c r="N43" s="43">
        <f t="shared" si="2"/>
        <v>401.06286627431115</v>
      </c>
      <c r="O43" s="23">
        <f t="shared" ref="O43:P43" si="3">AVERAGE(O2:O39)</f>
        <v>22.969039036591539</v>
      </c>
      <c r="P43" s="23">
        <f t="shared" si="3"/>
        <v>3.8212481871246733</v>
      </c>
      <c r="S43" s="16" t="s">
        <v>44</v>
      </c>
    </row>
    <row r="44" spans="1:19">
      <c r="E44" s="43">
        <f t="shared" ref="E44:H44" si="4">STDEV(E2:E39)</f>
        <v>1.2190737549320627</v>
      </c>
      <c r="F44" s="43">
        <f t="shared" si="4"/>
        <v>1.4794010446730124</v>
      </c>
      <c r="G44" s="43">
        <f t="shared" si="4"/>
        <v>0.22083882379753672</v>
      </c>
      <c r="H44" s="43">
        <f t="shared" si="4"/>
        <v>2.5909550610419423</v>
      </c>
      <c r="I44" s="30">
        <f t="shared" ref="I44" si="5">STDEV(I2:I39)</f>
        <v>5.796919705760243E-2</v>
      </c>
      <c r="J44" s="23">
        <f>STDEV(J2:J39)</f>
        <v>2.0964313867424034</v>
      </c>
      <c r="K44" s="23">
        <f>STDEV(K2:K39)</f>
        <v>24.881728002732522</v>
      </c>
      <c r="L44" s="43">
        <f t="shared" ref="L44:N44" si="6">STDEV(L2:L39)</f>
        <v>3.570997285834395</v>
      </c>
      <c r="M44" s="43">
        <f t="shared" si="6"/>
        <v>2.4989255237958283</v>
      </c>
      <c r="N44" s="43">
        <f t="shared" si="6"/>
        <v>114.37359359617822</v>
      </c>
      <c r="O44" s="23">
        <f t="shared" ref="O44:P44" si="7">STDEV(O2:O39)</f>
        <v>7.8314932686682939</v>
      </c>
      <c r="P44" s="23">
        <f t="shared" si="7"/>
        <v>2.2920769396199461</v>
      </c>
      <c r="S44" s="16" t="s">
        <v>45</v>
      </c>
    </row>
    <row r="45" spans="1:19">
      <c r="I45" s="30"/>
    </row>
    <row r="46" spans="1:19">
      <c r="J46" s="23">
        <f>J42/0.2</f>
        <v>7.2284761454177771</v>
      </c>
      <c r="K46" s="23">
        <f>K42/110</f>
        <v>0.80403572264607093</v>
      </c>
      <c r="L46" s="43">
        <f>L42/16</f>
        <v>0.85127042296082844</v>
      </c>
      <c r="M46" s="43">
        <f>M42/6</f>
        <v>1.2920509194301548</v>
      </c>
      <c r="N46" s="43">
        <f>N42</f>
        <v>386.90888008003333</v>
      </c>
      <c r="O46" s="23">
        <f>O42/3.5</f>
        <v>6.2349942494205468</v>
      </c>
      <c r="P46" s="23">
        <f>P42/2</f>
        <v>1.616582299320505</v>
      </c>
      <c r="S46" s="16" t="s">
        <v>46</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G28" activePane="bottomRight" state="frozen"/>
      <selection pane="topRight" activeCell="D1" sqref="D1"/>
      <selection pane="bottomLeft" activeCell="A2" sqref="A2"/>
      <selection pane="bottomRight" activeCell="O2" sqref="O2:O31"/>
    </sheetView>
  </sheetViews>
  <sheetFormatPr baseColWidth="10" defaultRowHeight="16"/>
  <cols>
    <col min="1" max="1" width="15.42578125" style="1" customWidth="1"/>
    <col min="2" max="2" width="10.7109375" style="3"/>
    <col min="3" max="4" width="10.7109375" style="1"/>
    <col min="5" max="5" width="13.140625" style="15" customWidth="1"/>
    <col min="6" max="6" width="10.7109375" style="15"/>
    <col min="7" max="7" width="10.7109375" style="13"/>
    <col min="8" max="8" width="10.7109375" style="15"/>
    <col min="9" max="9" width="10.7109375" style="36"/>
    <col min="10" max="11" width="10.7109375" style="27"/>
    <col min="12" max="12" width="10.7109375" style="43"/>
    <col min="13" max="13" width="12.140625" style="43" customWidth="1"/>
    <col min="14" max="14" width="10.7109375" style="43"/>
    <col min="15" max="16" width="10.7109375" style="27"/>
    <col min="17" max="17" width="11.85546875" style="1" customWidth="1"/>
    <col min="18" max="18" width="12.28515625" style="3" customWidth="1"/>
    <col min="19" max="19" width="51.42578125" style="16" customWidth="1"/>
    <col min="20" max="16384" width="10.7109375" style="1"/>
  </cols>
  <sheetData>
    <row r="1" spans="1:19" s="2" customFormat="1" ht="32">
      <c r="A1" s="2" t="s">
        <v>83</v>
      </c>
      <c r="B1" s="2" t="s">
        <v>9</v>
      </c>
      <c r="C1" s="2" t="s">
        <v>1</v>
      </c>
      <c r="D1" s="2" t="s">
        <v>2</v>
      </c>
      <c r="E1" s="14" t="s">
        <v>3</v>
      </c>
      <c r="F1" s="14" t="s">
        <v>4</v>
      </c>
      <c r="G1" s="12" t="s">
        <v>5</v>
      </c>
      <c r="H1" s="14" t="s">
        <v>6</v>
      </c>
      <c r="I1" s="35" t="s">
        <v>7</v>
      </c>
      <c r="J1" s="26" t="s">
        <v>8</v>
      </c>
      <c r="K1" s="26" t="s">
        <v>34</v>
      </c>
      <c r="L1" s="42" t="s">
        <v>40</v>
      </c>
      <c r="M1" s="42" t="s">
        <v>41</v>
      </c>
      <c r="N1" s="42" t="s">
        <v>42</v>
      </c>
      <c r="O1" s="26" t="s">
        <v>38</v>
      </c>
      <c r="P1" s="26" t="s">
        <v>39</v>
      </c>
      <c r="Q1" s="2" t="s">
        <v>67</v>
      </c>
      <c r="R1" s="2" t="s">
        <v>68</v>
      </c>
      <c r="S1" s="2" t="s">
        <v>33</v>
      </c>
    </row>
    <row r="2" spans="1:19" ht="32">
      <c r="A2" s="1" t="s">
        <v>18</v>
      </c>
      <c r="B2" s="3" t="s">
        <v>19</v>
      </c>
      <c r="C2" s="4">
        <v>42535</v>
      </c>
      <c r="D2" s="5">
        <v>0.40972222222222227</v>
      </c>
      <c r="E2" s="15">
        <v>27.2</v>
      </c>
      <c r="F2" s="15">
        <v>34.700000000000003</v>
      </c>
      <c r="G2" s="13">
        <v>6.78</v>
      </c>
      <c r="H2" s="15">
        <v>103.5</v>
      </c>
      <c r="I2" s="36">
        <v>8.06</v>
      </c>
      <c r="J2" s="27">
        <v>5.86</v>
      </c>
      <c r="K2" s="27">
        <v>117.22</v>
      </c>
      <c r="L2" s="43">
        <v>16.68</v>
      </c>
      <c r="M2" s="43">
        <v>9.4</v>
      </c>
      <c r="N2" s="43">
        <v>576.28</v>
      </c>
      <c r="O2" s="27">
        <v>49.04</v>
      </c>
      <c r="P2" s="27">
        <v>2.27</v>
      </c>
      <c r="Q2" s="1">
        <v>1</v>
      </c>
      <c r="R2" s="3" t="s">
        <v>52</v>
      </c>
      <c r="S2" s="16" t="s">
        <v>63</v>
      </c>
    </row>
    <row r="3" spans="1:19" ht="32">
      <c r="A3" s="1" t="s">
        <v>18</v>
      </c>
      <c r="B3" s="3" t="s">
        <v>19</v>
      </c>
      <c r="C3" s="4">
        <v>42549</v>
      </c>
      <c r="D3" s="5">
        <v>0.36527777777777781</v>
      </c>
      <c r="E3" s="15">
        <v>26.6</v>
      </c>
      <c r="F3" s="15">
        <v>28.2</v>
      </c>
      <c r="G3" s="13">
        <v>6.81</v>
      </c>
      <c r="H3" s="15">
        <v>103</v>
      </c>
      <c r="I3" s="36">
        <v>8.09</v>
      </c>
      <c r="J3" s="27">
        <v>3.43</v>
      </c>
      <c r="K3" s="27">
        <v>121.25</v>
      </c>
      <c r="L3" s="43">
        <v>18.89</v>
      </c>
      <c r="M3" s="43">
        <v>9.1300000000000008</v>
      </c>
      <c r="N3" s="43">
        <v>649.57000000000005</v>
      </c>
      <c r="O3" s="27">
        <v>57.28</v>
      </c>
      <c r="P3" s="27">
        <v>3.2</v>
      </c>
      <c r="Q3" s="1">
        <v>1</v>
      </c>
      <c r="R3" s="3" t="s">
        <v>52</v>
      </c>
      <c r="S3" s="16" t="s">
        <v>63</v>
      </c>
    </row>
    <row r="4" spans="1:19" ht="32">
      <c r="A4" s="1" t="s">
        <v>18</v>
      </c>
      <c r="B4" s="3" t="s">
        <v>19</v>
      </c>
      <c r="C4" s="4">
        <v>42563</v>
      </c>
      <c r="D4" s="5">
        <v>0.35972222222222222</v>
      </c>
      <c r="E4" s="15">
        <v>27.2</v>
      </c>
      <c r="F4" s="15">
        <v>35</v>
      </c>
      <c r="G4" s="13">
        <v>6.79</v>
      </c>
      <c r="H4" s="15">
        <v>104</v>
      </c>
      <c r="I4" s="36">
        <v>8.1199999999999992</v>
      </c>
      <c r="J4" s="27">
        <v>2.4300000000000002</v>
      </c>
      <c r="K4" s="27">
        <v>122.69053106760074</v>
      </c>
      <c r="L4" s="43">
        <v>18.542141926879538</v>
      </c>
      <c r="M4" s="43">
        <v>8.4906232262798493</v>
      </c>
      <c r="N4" s="43">
        <v>620.86406030004525</v>
      </c>
      <c r="O4" s="27">
        <v>55.717698661571177</v>
      </c>
      <c r="P4" s="27">
        <v>2.0179216476721633</v>
      </c>
      <c r="Q4" s="1">
        <v>1</v>
      </c>
      <c r="R4" s="3" t="s">
        <v>52</v>
      </c>
      <c r="S4" s="16" t="s">
        <v>66</v>
      </c>
    </row>
    <row r="5" spans="1:19" ht="48">
      <c r="A5" s="1" t="s">
        <v>18</v>
      </c>
      <c r="B5" s="3" t="s">
        <v>19</v>
      </c>
      <c r="C5" s="4">
        <v>42577</v>
      </c>
      <c r="D5" s="5">
        <v>0.35833333333333334</v>
      </c>
      <c r="E5" s="15">
        <v>27.2</v>
      </c>
      <c r="F5" s="15">
        <v>34.6</v>
      </c>
      <c r="G5" s="13">
        <v>6.57</v>
      </c>
      <c r="H5" s="15">
        <v>100.1</v>
      </c>
      <c r="I5" s="36">
        <v>8.1199999999999992</v>
      </c>
      <c r="J5" s="27">
        <v>4.3899999999999997</v>
      </c>
      <c r="K5" s="27">
        <v>111.91548560820397</v>
      </c>
      <c r="L5" s="43">
        <v>14.070284066672306</v>
      </c>
      <c r="M5" s="43">
        <v>9.1411233034404056</v>
      </c>
      <c r="N5" s="43">
        <v>449.68418985204028</v>
      </c>
      <c r="O5" s="27">
        <v>40.029000068378494</v>
      </c>
      <c r="P5" s="27">
        <v>4.677164281377066</v>
      </c>
      <c r="Q5" s="1">
        <v>1</v>
      </c>
      <c r="R5" s="3" t="s">
        <v>56</v>
      </c>
      <c r="S5" s="16" t="s">
        <v>79</v>
      </c>
    </row>
    <row r="6" spans="1:19" ht="32">
      <c r="A6" s="1" t="s">
        <v>18</v>
      </c>
      <c r="B6" s="3" t="s">
        <v>19</v>
      </c>
      <c r="C6" s="4">
        <v>42591</v>
      </c>
      <c r="D6" s="5">
        <v>0.35625000000000001</v>
      </c>
      <c r="E6" s="15">
        <v>27.3</v>
      </c>
      <c r="F6" s="15">
        <v>35.1</v>
      </c>
      <c r="G6" s="13">
        <v>6.57</v>
      </c>
      <c r="H6" s="15">
        <v>100.5</v>
      </c>
      <c r="I6" s="36">
        <v>8.14</v>
      </c>
      <c r="J6" s="27">
        <f>AVERAGE(2.05,2.41,2.44)</f>
        <v>2.3000000000000003</v>
      </c>
      <c r="K6" s="27">
        <v>102.63168837524265</v>
      </c>
      <c r="L6" s="43">
        <v>16.005270523374875</v>
      </c>
      <c r="M6" s="43">
        <v>8.6328831631734122</v>
      </c>
      <c r="N6" s="43">
        <v>509.75783990901607</v>
      </c>
      <c r="O6" s="27">
        <v>55.503348160337964</v>
      </c>
      <c r="P6" s="27">
        <v>5.397158154481474</v>
      </c>
      <c r="Q6" s="1">
        <v>1</v>
      </c>
      <c r="R6" s="3" t="s">
        <v>56</v>
      </c>
      <c r="S6" s="16" t="s">
        <v>77</v>
      </c>
    </row>
    <row r="7" spans="1:19" ht="32">
      <c r="A7" s="1" t="s">
        <v>18</v>
      </c>
      <c r="B7" s="3" t="s">
        <v>19</v>
      </c>
      <c r="C7" s="4">
        <v>42605</v>
      </c>
      <c r="D7" s="5">
        <v>0.3527777777777778</v>
      </c>
      <c r="E7" s="15">
        <v>27.9</v>
      </c>
      <c r="F7" s="15">
        <v>35.299999999999997</v>
      </c>
      <c r="G7" s="13">
        <v>6.36</v>
      </c>
      <c r="H7" s="15">
        <v>99</v>
      </c>
      <c r="I7" s="36">
        <v>8.06</v>
      </c>
      <c r="J7" s="27">
        <f>AVERAGE(0.67,0.65,0.8)</f>
        <v>0.70666666666666667</v>
      </c>
      <c r="K7" s="27">
        <v>94.470967743861451</v>
      </c>
      <c r="L7" s="43">
        <v>14.380200072929982</v>
      </c>
      <c r="M7" s="43">
        <v>7.1962746005546903</v>
      </c>
      <c r="N7" s="43">
        <v>352.83900734308139</v>
      </c>
      <c r="O7" s="27">
        <v>34.431517104779893</v>
      </c>
      <c r="P7" s="27">
        <v>2.0846611120804974</v>
      </c>
      <c r="Q7" s="1">
        <v>1</v>
      </c>
      <c r="R7" s="3" t="s">
        <v>52</v>
      </c>
      <c r="S7" s="16" t="s">
        <v>76</v>
      </c>
    </row>
    <row r="8" spans="1:19" ht="32">
      <c r="A8" s="1" t="s">
        <v>18</v>
      </c>
      <c r="B8" s="3" t="s">
        <v>19</v>
      </c>
      <c r="C8" s="4">
        <v>42619</v>
      </c>
      <c r="D8" s="5">
        <v>0.35486111111111113</v>
      </c>
      <c r="E8" s="15">
        <v>27.7</v>
      </c>
      <c r="F8" s="15">
        <v>35.200000000000003</v>
      </c>
      <c r="G8" s="13">
        <v>6.45</v>
      </c>
      <c r="H8" s="15">
        <v>99.6</v>
      </c>
      <c r="I8" s="36">
        <v>8.23</v>
      </c>
      <c r="J8" s="27">
        <f>AVERAGE(2.17,2.16,2.19)</f>
        <v>2.1733333333333333</v>
      </c>
      <c r="K8" s="27">
        <v>94.076468752860833</v>
      </c>
      <c r="L8" s="43">
        <v>19.794622443290997</v>
      </c>
      <c r="M8" s="43">
        <v>8.4090316024036458</v>
      </c>
      <c r="N8" s="43">
        <v>405.01749923126522</v>
      </c>
      <c r="O8" s="27">
        <v>34.914120074505483</v>
      </c>
      <c r="P8" s="27">
        <v>2.4836157971267374</v>
      </c>
      <c r="Q8" s="1">
        <v>2</v>
      </c>
      <c r="R8" s="3" t="s">
        <v>56</v>
      </c>
      <c r="S8" s="16" t="s">
        <v>73</v>
      </c>
    </row>
    <row r="9" spans="1:19" ht="64">
      <c r="A9" s="1" t="s">
        <v>18</v>
      </c>
      <c r="B9" s="3" t="s">
        <v>19</v>
      </c>
      <c r="C9" s="4">
        <v>42633</v>
      </c>
      <c r="D9" s="5">
        <v>0.34027777777777773</v>
      </c>
      <c r="E9" s="15">
        <v>27.4</v>
      </c>
      <c r="F9" s="15">
        <v>36.1</v>
      </c>
      <c r="G9" s="13">
        <v>6.34</v>
      </c>
      <c r="H9" s="15">
        <v>97.7</v>
      </c>
      <c r="I9" s="36">
        <v>8.02</v>
      </c>
      <c r="J9" s="27">
        <f>AVERAGE(3.29,3.08,2.89)</f>
        <v>3.0866666666666664</v>
      </c>
      <c r="K9" s="27">
        <v>131.43746335958988</v>
      </c>
      <c r="L9" s="43">
        <v>19.709092419583374</v>
      </c>
      <c r="M9" s="43">
        <v>7.2688327117764215</v>
      </c>
      <c r="N9" s="43">
        <v>318.72695740797212</v>
      </c>
      <c r="O9" s="27">
        <v>24.769658665197543</v>
      </c>
      <c r="P9" s="27">
        <v>10.463836488687257</v>
      </c>
      <c r="Q9" s="1">
        <v>1</v>
      </c>
      <c r="R9" s="3" t="s">
        <v>52</v>
      </c>
      <c r="S9" s="16" t="s">
        <v>74</v>
      </c>
    </row>
    <row r="10" spans="1:19" ht="35" customHeight="1">
      <c r="A10" s="1" t="s">
        <v>18</v>
      </c>
      <c r="B10" s="3" t="s">
        <v>19</v>
      </c>
      <c r="C10" s="4">
        <v>42647</v>
      </c>
      <c r="D10" s="5">
        <v>0.3576388888888889</v>
      </c>
      <c r="E10" s="15">
        <v>27.9</v>
      </c>
      <c r="F10" s="15">
        <v>34</v>
      </c>
      <c r="G10" s="13">
        <v>6.42</v>
      </c>
      <c r="H10" s="15">
        <v>98.8</v>
      </c>
      <c r="I10" s="36">
        <v>8.15</v>
      </c>
      <c r="J10" s="27">
        <f>AVERAGE(2.09,1.98,1.91)</f>
        <v>1.9933333333333334</v>
      </c>
      <c r="K10" s="27">
        <v>118.9299051858987</v>
      </c>
      <c r="L10" s="43">
        <v>13.510025049121962</v>
      </c>
      <c r="M10" s="43">
        <v>8.2004270326411639</v>
      </c>
      <c r="N10" s="43">
        <v>583.21408004161628</v>
      </c>
      <c r="O10" s="27">
        <v>64.140996878115317</v>
      </c>
      <c r="P10" s="27">
        <v>7.2902308584889202</v>
      </c>
      <c r="Q10" s="1">
        <v>2</v>
      </c>
      <c r="R10" s="3" t="s">
        <v>56</v>
      </c>
      <c r="S10" s="16" t="s">
        <v>71</v>
      </c>
    </row>
    <row r="11" spans="1:19" ht="32">
      <c r="A11" s="1" t="s">
        <v>18</v>
      </c>
      <c r="B11" s="3" t="s">
        <v>19</v>
      </c>
      <c r="C11" s="4">
        <v>42661</v>
      </c>
      <c r="D11" s="5">
        <v>0.3611111111111111</v>
      </c>
      <c r="E11" s="15">
        <v>27.2</v>
      </c>
      <c r="F11" s="15">
        <v>37.1</v>
      </c>
      <c r="G11" s="13">
        <v>6.22</v>
      </c>
      <c r="H11" s="15">
        <v>96.3</v>
      </c>
      <c r="I11" s="36">
        <v>8.01</v>
      </c>
      <c r="J11" s="27">
        <f>AVERAGE(0.84,0.85,1.09)</f>
        <v>0.92666666666666675</v>
      </c>
      <c r="K11" s="27">
        <v>84.948650872987656</v>
      </c>
      <c r="L11" s="43">
        <v>23.395876604810695</v>
      </c>
      <c r="M11" s="43">
        <v>6.5017665699839551</v>
      </c>
      <c r="N11" s="43">
        <v>270.97103096730478</v>
      </c>
      <c r="O11" s="27">
        <v>15.746934758654467</v>
      </c>
      <c r="P11" s="27">
        <v>12.037629948926204</v>
      </c>
      <c r="Q11" s="1">
        <v>1</v>
      </c>
      <c r="R11" s="3" t="s">
        <v>52</v>
      </c>
      <c r="S11" s="16" t="s">
        <v>71</v>
      </c>
    </row>
    <row r="12" spans="1:19" ht="32">
      <c r="A12" s="1" t="s">
        <v>18</v>
      </c>
      <c r="B12" s="3" t="s">
        <v>19</v>
      </c>
      <c r="C12" s="4">
        <v>42675</v>
      </c>
      <c r="D12" s="5">
        <v>0.35833333333333334</v>
      </c>
      <c r="E12" s="15">
        <v>26</v>
      </c>
      <c r="F12" s="15">
        <v>34</v>
      </c>
      <c r="G12" s="13">
        <v>6.38</v>
      </c>
      <c r="H12" s="15">
        <v>95.8</v>
      </c>
      <c r="I12" s="36">
        <v>8.1199999999999992</v>
      </c>
      <c r="J12" s="27">
        <f>AVERAGE(1.26,1.39,1.49)</f>
        <v>1.38</v>
      </c>
      <c r="K12" s="27">
        <v>96.422372570609681</v>
      </c>
      <c r="L12" s="43">
        <v>21.81937797707025</v>
      </c>
      <c r="M12" s="43">
        <v>6.9442136664446474</v>
      </c>
      <c r="N12" s="43">
        <v>381.22402727612683</v>
      </c>
      <c r="O12" s="27">
        <v>28.692095910746531</v>
      </c>
      <c r="P12" s="27">
        <v>3.1821777132777718</v>
      </c>
      <c r="Q12" s="1">
        <v>2</v>
      </c>
      <c r="R12" s="3" t="s">
        <v>56</v>
      </c>
      <c r="S12" s="16" t="s">
        <v>36</v>
      </c>
    </row>
    <row r="13" spans="1:19" ht="32">
      <c r="A13" s="1" t="s">
        <v>18</v>
      </c>
      <c r="B13" s="3" t="s">
        <v>19</v>
      </c>
      <c r="C13" s="4">
        <v>42689</v>
      </c>
      <c r="D13" s="5">
        <v>0.36736111111111108</v>
      </c>
      <c r="E13" s="15">
        <v>26.5</v>
      </c>
      <c r="F13" s="15">
        <v>34.200000000000003</v>
      </c>
      <c r="G13" s="43">
        <v>6.38</v>
      </c>
      <c r="H13" s="15">
        <v>95.8</v>
      </c>
      <c r="I13" s="43">
        <v>8.14</v>
      </c>
      <c r="J13" s="43">
        <f>AVERAGE(1.59,1.64,1.75)</f>
        <v>1.6600000000000001</v>
      </c>
      <c r="K13" s="43">
        <v>79.760034594278579</v>
      </c>
      <c r="L13" s="43">
        <v>8.3161622876073178</v>
      </c>
      <c r="M13" s="43">
        <v>5.289762106936827</v>
      </c>
      <c r="N13" s="43">
        <v>430.51798871372421</v>
      </c>
      <c r="O13" s="43">
        <v>31.946421360850049</v>
      </c>
      <c r="P13" s="43">
        <v>2.901964737846118</v>
      </c>
      <c r="Q13" s="1">
        <v>2</v>
      </c>
      <c r="R13" s="3" t="s">
        <v>56</v>
      </c>
      <c r="S13" s="16" t="s">
        <v>36</v>
      </c>
    </row>
    <row r="14" spans="1:19" ht="32">
      <c r="A14" s="1" t="s">
        <v>18</v>
      </c>
      <c r="B14" s="3" t="s">
        <v>19</v>
      </c>
      <c r="C14" s="4">
        <v>42703</v>
      </c>
      <c r="D14" s="5">
        <v>0.36249999999999999</v>
      </c>
      <c r="E14" s="15">
        <v>25.4</v>
      </c>
      <c r="F14" s="15">
        <v>33.799999999999997</v>
      </c>
      <c r="G14" s="43">
        <v>6.53</v>
      </c>
      <c r="H14" s="15">
        <v>95.4</v>
      </c>
      <c r="I14" s="43">
        <v>8.0399999999999991</v>
      </c>
      <c r="J14" s="43">
        <f>AVERAGE(1.46,1.47,1.44)</f>
        <v>1.4566666666666663</v>
      </c>
      <c r="K14" s="43">
        <v>137.8535064610399</v>
      </c>
      <c r="L14" s="43">
        <v>9.4531011789392139</v>
      </c>
      <c r="M14" s="43">
        <v>7.0963319219392336</v>
      </c>
      <c r="N14" s="43">
        <v>848.0639726823166</v>
      </c>
      <c r="O14" s="43">
        <v>77.660104506007144</v>
      </c>
      <c r="P14" s="43">
        <v>3.071957939040304</v>
      </c>
      <c r="Q14" s="1">
        <v>2</v>
      </c>
      <c r="R14" s="3" t="s">
        <v>56</v>
      </c>
      <c r="S14" s="16" t="s">
        <v>36</v>
      </c>
    </row>
    <row r="15" spans="1:19" ht="32">
      <c r="A15" s="1" t="s">
        <v>18</v>
      </c>
      <c r="B15" s="3" t="s">
        <v>19</v>
      </c>
      <c r="C15" s="4">
        <v>42717</v>
      </c>
      <c r="D15" s="5">
        <v>0.36527777777777781</v>
      </c>
      <c r="E15" s="15">
        <v>25.3</v>
      </c>
      <c r="F15" s="15">
        <v>34.5</v>
      </c>
      <c r="G15" s="43">
        <v>6.57</v>
      </c>
      <c r="H15" s="15">
        <v>97.1</v>
      </c>
      <c r="I15" s="43">
        <v>8.09</v>
      </c>
      <c r="J15" s="43">
        <f>AVERAGE(3.15,3.19,3.61)</f>
        <v>3.3166666666666664</v>
      </c>
      <c r="K15" s="43">
        <v>78.996469692540529</v>
      </c>
      <c r="L15" s="43">
        <v>13.911740568446723</v>
      </c>
      <c r="M15" s="43">
        <v>6.4442666078843551</v>
      </c>
      <c r="N15" s="43">
        <v>437.29989512699677</v>
      </c>
      <c r="O15" s="43">
        <v>34.536200718332402</v>
      </c>
      <c r="P15" s="43">
        <v>4.2559693310259039</v>
      </c>
      <c r="Q15" s="1">
        <v>1</v>
      </c>
      <c r="R15" s="3" t="s">
        <v>56</v>
      </c>
      <c r="S15" s="16" t="s">
        <v>36</v>
      </c>
    </row>
    <row r="16" spans="1:19" ht="32">
      <c r="A16" s="1" t="s">
        <v>18</v>
      </c>
      <c r="B16" s="3" t="s">
        <v>19</v>
      </c>
      <c r="C16" s="4">
        <v>42738</v>
      </c>
      <c r="D16" s="5">
        <v>0.41319444444444442</v>
      </c>
      <c r="E16" s="15">
        <v>24.9</v>
      </c>
      <c r="F16" s="15">
        <v>34.5</v>
      </c>
      <c r="G16" s="13">
        <v>6.66</v>
      </c>
      <c r="H16" s="15">
        <v>97.6</v>
      </c>
      <c r="I16" s="36">
        <v>8.2100000000000009</v>
      </c>
      <c r="J16" s="27">
        <f>AVERAGE(1.6,1.35,1.3)</f>
        <v>1.4166666666666667</v>
      </c>
      <c r="K16" s="27">
        <v>121.23875612789199</v>
      </c>
      <c r="L16" s="43">
        <v>14.484665677234133</v>
      </c>
      <c r="M16" s="43">
        <v>7.734802929336845</v>
      </c>
      <c r="N16" s="43">
        <v>430.01597625118774</v>
      </c>
      <c r="O16" s="27">
        <v>47.01455635257706</v>
      </c>
      <c r="P16" s="27">
        <v>3.183673916459465</v>
      </c>
      <c r="Q16" s="1">
        <v>2</v>
      </c>
      <c r="R16" s="3" t="s">
        <v>56</v>
      </c>
      <c r="S16" s="16" t="s">
        <v>36</v>
      </c>
    </row>
    <row r="17" spans="1:19" ht="32">
      <c r="A17" s="1" t="s">
        <v>18</v>
      </c>
      <c r="B17" s="3" t="s">
        <v>19</v>
      </c>
      <c r="C17" s="4">
        <v>42759</v>
      </c>
      <c r="D17" s="5">
        <v>0.36805555555555558</v>
      </c>
      <c r="E17" s="15">
        <v>24.5</v>
      </c>
      <c r="F17" s="15">
        <v>36.5</v>
      </c>
      <c r="G17" s="43">
        <v>6.57</v>
      </c>
      <c r="H17" s="15">
        <v>96.3</v>
      </c>
      <c r="I17" s="43">
        <v>8.18</v>
      </c>
      <c r="J17" s="43">
        <f>AVERAGE(0.81,0.81,0.78)</f>
        <v>0.80000000000000016</v>
      </c>
      <c r="K17" s="43">
        <v>113.21754327600999</v>
      </c>
      <c r="L17" s="43">
        <v>19.741775770384944</v>
      </c>
      <c r="M17" s="43">
        <v>16.739337547797895</v>
      </c>
      <c r="N17" s="43">
        <v>327.22550143339987</v>
      </c>
      <c r="O17" s="43">
        <v>46.281110434966671</v>
      </c>
      <c r="P17" s="43">
        <v>7.6767996385813104</v>
      </c>
      <c r="Q17" s="1">
        <v>1</v>
      </c>
      <c r="R17" s="3" t="s">
        <v>53</v>
      </c>
      <c r="S17" s="16" t="s">
        <v>36</v>
      </c>
    </row>
    <row r="18" spans="1:19" ht="32">
      <c r="A18" s="1" t="s">
        <v>18</v>
      </c>
      <c r="B18" s="3" t="s">
        <v>19</v>
      </c>
      <c r="C18" s="4">
        <v>42780</v>
      </c>
      <c r="D18" s="5">
        <v>0.40138888888888885</v>
      </c>
      <c r="E18" s="15">
        <v>24.7</v>
      </c>
      <c r="F18" s="15">
        <v>34.299999999999997</v>
      </c>
      <c r="G18" s="43">
        <v>6.75</v>
      </c>
      <c r="H18" s="15">
        <v>98.6</v>
      </c>
      <c r="I18" s="43">
        <v>8.19</v>
      </c>
      <c r="J18" s="43">
        <f>AVERAGE(1.51,1.43,1.48)</f>
        <v>1.4733333333333334</v>
      </c>
      <c r="K18" s="43">
        <v>136.06723146463773</v>
      </c>
      <c r="L18" s="43">
        <v>16.868335431753287</v>
      </c>
      <c r="M18" s="43">
        <v>10.07959712542373</v>
      </c>
      <c r="N18" s="43">
        <v>457.42951148259164</v>
      </c>
      <c r="O18" s="43">
        <v>71.002252354746545</v>
      </c>
      <c r="P18" s="43">
        <v>6.7418629405724912</v>
      </c>
      <c r="Q18" s="1">
        <v>2</v>
      </c>
      <c r="R18" s="3" t="s">
        <v>31</v>
      </c>
      <c r="S18" s="16" t="s">
        <v>36</v>
      </c>
    </row>
    <row r="19" spans="1:19" ht="32">
      <c r="A19" s="1" t="s">
        <v>18</v>
      </c>
      <c r="B19" s="3" t="s">
        <v>19</v>
      </c>
      <c r="C19" s="4">
        <v>42801</v>
      </c>
      <c r="D19" s="5">
        <v>0.37777777777777777</v>
      </c>
      <c r="E19" s="15">
        <v>24.9</v>
      </c>
      <c r="F19" s="15">
        <v>33.700000000000003</v>
      </c>
      <c r="G19" s="43">
        <v>6.69</v>
      </c>
      <c r="H19" s="15">
        <v>97.6</v>
      </c>
      <c r="I19" s="43">
        <v>8.17</v>
      </c>
      <c r="J19" s="43">
        <f>AVERAGE(3.92,3.7,3.89)</f>
        <v>3.8366666666666664</v>
      </c>
      <c r="K19" s="43">
        <v>122.35621212653032</v>
      </c>
      <c r="L19" s="43">
        <v>10.727253435041227</v>
      </c>
      <c r="M19" s="43">
        <v>8.6398421714406783</v>
      </c>
      <c r="N19" s="43">
        <v>398.69118340614619</v>
      </c>
      <c r="O19" s="43">
        <v>63.576768441104882</v>
      </c>
      <c r="P19" s="43">
        <v>7.3600549632212484</v>
      </c>
      <c r="Q19" s="1">
        <v>1</v>
      </c>
      <c r="R19" s="3" t="s">
        <v>28</v>
      </c>
      <c r="S19" s="16" t="s">
        <v>36</v>
      </c>
    </row>
    <row r="20" spans="1:19" ht="32">
      <c r="A20" s="1" t="s">
        <v>18</v>
      </c>
      <c r="B20" s="3" t="s">
        <v>19</v>
      </c>
      <c r="C20" s="4">
        <v>42822</v>
      </c>
      <c r="D20" s="5">
        <v>0.37638888888888888</v>
      </c>
      <c r="E20" s="15">
        <v>25.6</v>
      </c>
      <c r="F20" s="15">
        <v>33.299999999999997</v>
      </c>
      <c r="G20" s="43">
        <v>6.76</v>
      </c>
      <c r="H20" s="15">
        <v>99.1</v>
      </c>
      <c r="I20" s="43">
        <v>8.18</v>
      </c>
      <c r="J20" s="43">
        <f>AVERAGE(1.81,2.46,2.25)</f>
        <v>2.1733333333333333</v>
      </c>
      <c r="K20" s="43">
        <v>143.93678808119179</v>
      </c>
      <c r="L20" s="43">
        <v>16.306395294852042</v>
      </c>
      <c r="M20" s="43">
        <v>9.4930874622387282</v>
      </c>
      <c r="N20" s="43">
        <v>591.66799095817987</v>
      </c>
      <c r="O20" s="43">
        <v>81.117221026563286</v>
      </c>
      <c r="P20" s="43">
        <v>7.4949453266002273</v>
      </c>
      <c r="Q20" s="1">
        <v>1</v>
      </c>
      <c r="R20" s="3" t="s">
        <v>28</v>
      </c>
      <c r="S20" s="16" t="s">
        <v>36</v>
      </c>
    </row>
    <row r="21" spans="1:19" ht="32">
      <c r="A21" s="1" t="s">
        <v>18</v>
      </c>
      <c r="B21" s="3" t="s">
        <v>19</v>
      </c>
      <c r="C21" s="4">
        <v>42843</v>
      </c>
      <c r="D21" s="5">
        <v>0.38194444444444442</v>
      </c>
      <c r="E21" s="15">
        <v>26.1</v>
      </c>
      <c r="F21" s="15">
        <v>33.1</v>
      </c>
      <c r="G21" s="43">
        <v>6.6</v>
      </c>
      <c r="H21" s="15">
        <v>97.7</v>
      </c>
      <c r="I21" s="43">
        <v>8.16</v>
      </c>
      <c r="J21" s="43">
        <f>AVERAGE(1.13,0.86,1.08)</f>
        <v>1.0233333333333332</v>
      </c>
      <c r="K21" s="43">
        <v>168.36007186461265</v>
      </c>
      <c r="L21" s="43">
        <v>13.705174328076879</v>
      </c>
      <c r="M21" s="43">
        <v>10.407496552844359</v>
      </c>
      <c r="N21" s="43">
        <v>850.36775641706822</v>
      </c>
      <c r="O21" s="43">
        <v>79.706258089311106</v>
      </c>
      <c r="P21" s="43">
        <v>4.9344800515625558</v>
      </c>
      <c r="Q21" s="1">
        <v>1</v>
      </c>
      <c r="R21" s="3" t="s">
        <v>28</v>
      </c>
      <c r="S21" s="16" t="s">
        <v>36</v>
      </c>
    </row>
    <row r="22" spans="1:19" ht="32">
      <c r="A22" s="1" t="s">
        <v>18</v>
      </c>
      <c r="B22" s="3" t="s">
        <v>19</v>
      </c>
      <c r="C22" s="4">
        <v>42864</v>
      </c>
      <c r="D22" s="5">
        <v>0.37638888888888888</v>
      </c>
      <c r="E22" s="15">
        <v>26.2</v>
      </c>
      <c r="F22" s="15">
        <v>32.299999999999997</v>
      </c>
      <c r="G22" s="43">
        <v>6.92</v>
      </c>
      <c r="H22" s="15">
        <v>102.2</v>
      </c>
      <c r="I22" s="43">
        <v>8.19</v>
      </c>
      <c r="J22" s="43">
        <f>AVERAGE(2.51,2.4,2.58)</f>
        <v>2.4966666666666666</v>
      </c>
      <c r="K22" s="43">
        <v>230.56848756561081</v>
      </c>
      <c r="L22" s="43">
        <v>15.596145214527493</v>
      </c>
      <c r="M22" s="43">
        <v>13.618567997232295</v>
      </c>
      <c r="N22" s="43">
        <v>1488.5820208241735</v>
      </c>
      <c r="O22" s="43">
        <v>156.19911855038467</v>
      </c>
      <c r="P22" s="43">
        <v>5.0149257108387948</v>
      </c>
      <c r="Q22" s="1">
        <v>1</v>
      </c>
      <c r="R22" s="3" t="s">
        <v>27</v>
      </c>
      <c r="S22" s="16" t="s">
        <v>36</v>
      </c>
    </row>
    <row r="23" spans="1:19" ht="32">
      <c r="A23" s="1" t="s">
        <v>18</v>
      </c>
      <c r="B23" s="3" t="s">
        <v>19</v>
      </c>
      <c r="C23" s="4">
        <v>42885</v>
      </c>
      <c r="D23" s="5">
        <v>0.37777777777777777</v>
      </c>
      <c r="E23" s="15">
        <v>26.4</v>
      </c>
      <c r="F23" s="15">
        <v>33.9</v>
      </c>
      <c r="G23" s="43">
        <v>6.87</v>
      </c>
      <c r="H23" s="15">
        <v>102.9</v>
      </c>
      <c r="I23" s="43">
        <v>8.16</v>
      </c>
      <c r="J23" s="43">
        <f>AVERAGE(5.46,4.76,4.98)</f>
        <v>5.0666666666666664</v>
      </c>
      <c r="K23" s="43">
        <v>144.84125626017578</v>
      </c>
      <c r="L23" s="43">
        <v>13.367382342393803</v>
      </c>
      <c r="M23" s="43">
        <v>8.1917250144301335</v>
      </c>
      <c r="N23" s="43">
        <v>657.54520914478064</v>
      </c>
      <c r="O23" s="43">
        <v>63.528207645388704</v>
      </c>
      <c r="P23" s="43">
        <v>5.3041786653902534</v>
      </c>
      <c r="Q23" s="1">
        <v>1</v>
      </c>
      <c r="R23" s="3" t="s">
        <v>78</v>
      </c>
      <c r="S23" s="16" t="s">
        <v>36</v>
      </c>
    </row>
    <row r="24" spans="1:19" ht="32">
      <c r="A24" s="1" t="s">
        <v>18</v>
      </c>
      <c r="B24" s="3" t="s">
        <v>19</v>
      </c>
      <c r="C24" s="4">
        <v>42906</v>
      </c>
      <c r="D24" s="5">
        <v>0.37777777777777777</v>
      </c>
      <c r="E24" s="15">
        <v>27</v>
      </c>
      <c r="F24" s="15">
        <v>34</v>
      </c>
      <c r="G24" s="13">
        <v>6.75</v>
      </c>
      <c r="H24" s="15">
        <v>102.1</v>
      </c>
      <c r="I24" s="36">
        <v>8.16</v>
      </c>
      <c r="J24" s="27">
        <f>AVERAGE(6.22,5.97,6.09)</f>
        <v>6.0933333333333337</v>
      </c>
      <c r="K24" s="43">
        <v>150.69684842176153</v>
      </c>
      <c r="L24" s="43">
        <v>16.4880316966903</v>
      </c>
      <c r="M24" s="43">
        <v>11.516443713352535</v>
      </c>
      <c r="N24" s="43">
        <v>847.93382757666973</v>
      </c>
      <c r="O24" s="43">
        <v>84.23631845207052</v>
      </c>
      <c r="P24" s="43">
        <v>3.0093870208238869</v>
      </c>
      <c r="Q24" s="1">
        <v>2</v>
      </c>
      <c r="R24" s="3" t="s">
        <v>25</v>
      </c>
      <c r="S24" s="16" t="s">
        <v>36</v>
      </c>
    </row>
    <row r="25" spans="1:19" ht="32">
      <c r="A25" s="1" t="s">
        <v>18</v>
      </c>
      <c r="B25" s="3" t="s">
        <v>19</v>
      </c>
      <c r="C25" s="4">
        <v>42927</v>
      </c>
      <c r="D25" s="5">
        <v>0.3923611111111111</v>
      </c>
      <c r="E25" s="15">
        <v>27.3</v>
      </c>
      <c r="F25" s="15">
        <v>33</v>
      </c>
      <c r="G25" s="43">
        <v>6.56</v>
      </c>
      <c r="H25" s="15">
        <v>99.3</v>
      </c>
      <c r="I25" s="43">
        <v>8.17</v>
      </c>
      <c r="J25" s="43">
        <f>AVERAGE(0.94,0.83,0.98)</f>
        <v>0.91666666666666663</v>
      </c>
      <c r="K25" s="43">
        <v>182.6341749690024</v>
      </c>
      <c r="L25" s="43">
        <v>15.067168604379399</v>
      </c>
      <c r="M25" s="43">
        <v>10.813391456704194</v>
      </c>
      <c r="N25" s="43">
        <v>1282.2731723919351</v>
      </c>
      <c r="O25" s="43">
        <v>146.96273173994246</v>
      </c>
      <c r="P25" s="43">
        <v>3.224194406089699</v>
      </c>
      <c r="Q25" s="1">
        <v>2</v>
      </c>
      <c r="R25" s="3" t="s">
        <v>75</v>
      </c>
      <c r="S25" s="16" t="s">
        <v>36</v>
      </c>
    </row>
    <row r="26" spans="1:19" ht="32">
      <c r="A26" s="1" t="s">
        <v>18</v>
      </c>
      <c r="B26" s="3" t="s">
        <v>19</v>
      </c>
      <c r="C26" s="4">
        <v>42948</v>
      </c>
      <c r="D26" s="5">
        <v>0.39999999999999997</v>
      </c>
      <c r="E26" s="15">
        <v>27.6</v>
      </c>
      <c r="F26" s="15">
        <v>33.9</v>
      </c>
      <c r="G26" s="43">
        <v>6.67</v>
      </c>
      <c r="H26" s="15">
        <v>102</v>
      </c>
      <c r="I26" s="43">
        <v>8.18</v>
      </c>
      <c r="J26" s="43">
        <f>AVERAGE(4.63,4.74,4.73)</f>
        <v>4.7</v>
      </c>
      <c r="K26" s="43">
        <v>111.86312554238029</v>
      </c>
      <c r="L26" s="43">
        <v>13.264032382968372</v>
      </c>
      <c r="M26" s="43">
        <v>8.3665540250764145</v>
      </c>
      <c r="N26" s="43">
        <v>311.91140856094904</v>
      </c>
      <c r="O26" s="43">
        <v>32.341515633324455</v>
      </c>
      <c r="P26" s="43">
        <v>3.6870760315615634</v>
      </c>
      <c r="Q26" s="1">
        <v>2</v>
      </c>
      <c r="R26" s="3" t="s">
        <v>11</v>
      </c>
      <c r="S26" s="16" t="s">
        <v>36</v>
      </c>
    </row>
    <row r="27" spans="1:19" ht="32">
      <c r="A27" s="1" t="s">
        <v>18</v>
      </c>
      <c r="B27" s="3" t="s">
        <v>19</v>
      </c>
      <c r="C27" s="4">
        <v>42969</v>
      </c>
      <c r="D27" s="5">
        <v>0.39027777777777778</v>
      </c>
      <c r="E27" s="15">
        <v>27</v>
      </c>
      <c r="F27" s="15">
        <v>33.1</v>
      </c>
      <c r="G27" s="43">
        <v>6.92</v>
      </c>
      <c r="H27" s="15">
        <v>104.4</v>
      </c>
      <c r="I27" s="43">
        <v>8.18</v>
      </c>
      <c r="J27" s="43">
        <f>AVERAGE(5.78,5.86, 6.03)</f>
        <v>5.8900000000000006</v>
      </c>
      <c r="K27" s="43">
        <v>274.47187559936788</v>
      </c>
      <c r="L27" s="43">
        <v>23.04230673133366</v>
      </c>
      <c r="M27" s="43">
        <v>13.588007961394968</v>
      </c>
      <c r="N27" s="43">
        <v>1297.6684772158276</v>
      </c>
      <c r="O27" s="43">
        <v>161.27382383790624</v>
      </c>
      <c r="P27" s="43">
        <v>9.2677842481084483</v>
      </c>
      <c r="Q27" s="1">
        <v>1</v>
      </c>
      <c r="R27" s="3" t="s">
        <v>0</v>
      </c>
      <c r="S27" s="16" t="s">
        <v>36</v>
      </c>
    </row>
    <row r="28" spans="1:19" ht="32">
      <c r="A28" s="1" t="s">
        <v>18</v>
      </c>
      <c r="B28" s="3" t="s">
        <v>19</v>
      </c>
      <c r="C28" s="4">
        <v>42990</v>
      </c>
      <c r="D28" s="51">
        <v>0.39027777777777778</v>
      </c>
      <c r="E28" s="15">
        <v>28</v>
      </c>
      <c r="F28" s="15">
        <v>34.700000000000003</v>
      </c>
      <c r="G28" s="43">
        <v>6.6</v>
      </c>
      <c r="H28" s="15">
        <v>102.3</v>
      </c>
      <c r="I28" s="43">
        <v>8.18</v>
      </c>
      <c r="J28" s="43">
        <f>AVERAGE(1.8,1.6,1.69)</f>
        <v>1.6966666666666665</v>
      </c>
      <c r="K28" s="43">
        <v>72.509285860178096</v>
      </c>
      <c r="L28" s="43">
        <v>17.802604661242146</v>
      </c>
      <c r="M28" s="43">
        <v>7.2980363722207917</v>
      </c>
      <c r="N28" s="43">
        <v>362.08606241709924</v>
      </c>
      <c r="O28" s="43">
        <v>21.756021842225827</v>
      </c>
      <c r="P28" s="43">
        <v>6.5742154669060096</v>
      </c>
      <c r="Q28" s="1">
        <v>2</v>
      </c>
      <c r="R28" s="3" t="s">
        <v>60</v>
      </c>
      <c r="S28" s="16" t="s">
        <v>36</v>
      </c>
    </row>
    <row r="29" spans="1:19" ht="32">
      <c r="A29" s="1" t="s">
        <v>18</v>
      </c>
      <c r="B29" s="3" t="s">
        <v>19</v>
      </c>
      <c r="C29" s="4">
        <v>43011</v>
      </c>
      <c r="D29" s="51">
        <v>0.39999999999999997</v>
      </c>
      <c r="E29" s="15">
        <v>28</v>
      </c>
      <c r="F29" s="15">
        <v>33.299999999999997</v>
      </c>
      <c r="G29" s="43">
        <v>6.59</v>
      </c>
      <c r="H29" s="15">
        <v>101.3</v>
      </c>
      <c r="I29" s="43">
        <v>8.19</v>
      </c>
      <c r="J29" s="43">
        <f>AVERAGE(5.65,6.58,6)</f>
        <v>6.0766666666666671</v>
      </c>
      <c r="K29" s="43">
        <v>222.00822356853135</v>
      </c>
      <c r="L29" s="43">
        <v>21.539850130579786</v>
      </c>
      <c r="M29" s="43">
        <v>13.881744482658169</v>
      </c>
      <c r="N29" s="43">
        <v>966.94710742997279</v>
      </c>
      <c r="O29" s="43">
        <v>116.7670998861945</v>
      </c>
      <c r="P29" s="43">
        <v>12.57082624455775</v>
      </c>
      <c r="Q29" s="1">
        <v>1</v>
      </c>
      <c r="R29" s="3" t="s">
        <v>20</v>
      </c>
      <c r="S29" s="16" t="s">
        <v>36</v>
      </c>
    </row>
    <row r="30" spans="1:19" ht="32">
      <c r="A30" s="1" t="s">
        <v>18</v>
      </c>
      <c r="B30" s="3" t="s">
        <v>19</v>
      </c>
      <c r="C30" s="4">
        <v>43032</v>
      </c>
      <c r="D30" s="51">
        <v>0.4145833333333333</v>
      </c>
      <c r="E30" s="15">
        <v>26.9</v>
      </c>
      <c r="F30" s="15">
        <v>33.200000000000003</v>
      </c>
      <c r="G30" s="43">
        <v>6.68</v>
      </c>
      <c r="H30" s="15">
        <v>101.1</v>
      </c>
      <c r="I30" s="43">
        <v>8.17</v>
      </c>
      <c r="J30" s="43">
        <f>AVERAGE(9.88,9.97,9.81)</f>
        <v>9.8866666666666685</v>
      </c>
      <c r="K30" s="43">
        <v>113.85462564930761</v>
      </c>
      <c r="L30" s="43">
        <v>16.355021535377382</v>
      </c>
      <c r="M30" s="43">
        <v>11.691616980076093</v>
      </c>
      <c r="N30" s="43">
        <v>510.19316528524672</v>
      </c>
      <c r="O30" s="43">
        <v>33.405646590212733</v>
      </c>
      <c r="P30" s="43">
        <v>27.771299595060619</v>
      </c>
      <c r="Q30" s="1">
        <v>3</v>
      </c>
      <c r="R30" s="3" t="s">
        <v>70</v>
      </c>
      <c r="S30" s="16" t="s">
        <v>69</v>
      </c>
    </row>
    <row r="31" spans="1:19" ht="32">
      <c r="A31" s="1" t="s">
        <v>18</v>
      </c>
      <c r="B31" s="3" t="s">
        <v>19</v>
      </c>
      <c r="C31" s="4">
        <v>43053</v>
      </c>
      <c r="D31" s="51">
        <v>0.40902777777777777</v>
      </c>
      <c r="E31" s="15">
        <v>27.1</v>
      </c>
      <c r="F31" s="15">
        <v>34.1</v>
      </c>
      <c r="G31" s="13">
        <v>6.44</v>
      </c>
      <c r="H31" s="15">
        <v>98</v>
      </c>
      <c r="I31" s="36">
        <v>8.18</v>
      </c>
      <c r="J31" s="27">
        <f>AVERAGE(4.21,3.5,3.36)</f>
        <v>3.69</v>
      </c>
      <c r="K31" s="43">
        <v>135.88521117939297</v>
      </c>
      <c r="L31" s="43">
        <v>13.907349310190504</v>
      </c>
      <c r="M31" s="43">
        <v>7.945675746602018</v>
      </c>
      <c r="N31" s="43">
        <v>732.9307372417868</v>
      </c>
      <c r="O31" s="43">
        <v>81.557899743670589</v>
      </c>
      <c r="P31" s="43">
        <v>6.0269835730037586</v>
      </c>
      <c r="Q31" s="1">
        <v>1</v>
      </c>
      <c r="R31" s="3" t="s">
        <v>72</v>
      </c>
      <c r="S31" s="16" t="s">
        <v>69</v>
      </c>
    </row>
    <row r="32" spans="1:19" ht="32">
      <c r="A32" s="1" t="s">
        <v>18</v>
      </c>
      <c r="B32" s="3" t="s">
        <v>19</v>
      </c>
      <c r="C32" s="4">
        <v>43074</v>
      </c>
      <c r="D32" s="51">
        <v>0.3979166666666667</v>
      </c>
      <c r="E32" s="15">
        <v>25.5</v>
      </c>
      <c r="F32" s="15">
        <v>34.4</v>
      </c>
      <c r="G32" s="43">
        <v>6.84</v>
      </c>
      <c r="H32" s="15">
        <v>101</v>
      </c>
      <c r="I32" s="43">
        <v>8.1999999999999993</v>
      </c>
      <c r="J32" s="43">
        <f>AVERAGE(2.13,2.1,2.27)</f>
        <v>2.1666666666666665</v>
      </c>
      <c r="K32" s="43"/>
      <c r="O32" s="43"/>
      <c r="P32" s="43"/>
      <c r="Q32" s="1">
        <v>3</v>
      </c>
      <c r="R32" s="3" t="s">
        <v>61</v>
      </c>
      <c r="S32" s="16" t="s">
        <v>69</v>
      </c>
    </row>
    <row r="33" spans="1:19" ht="32">
      <c r="A33" s="1" t="s">
        <v>18</v>
      </c>
      <c r="B33" s="3" t="s">
        <v>19</v>
      </c>
      <c r="C33" s="4">
        <v>43088</v>
      </c>
      <c r="D33" s="51">
        <v>0.4236111111111111</v>
      </c>
      <c r="E33" s="15">
        <v>25.2</v>
      </c>
      <c r="F33" s="15">
        <v>34.200000000000003</v>
      </c>
      <c r="G33" s="43">
        <v>6.64</v>
      </c>
      <c r="H33" s="15">
        <v>97.9</v>
      </c>
      <c r="I33" s="43">
        <v>8.1999999999999993</v>
      </c>
      <c r="J33" s="43">
        <f>AVERAGE(2.03,1.96,2.13)</f>
        <v>2.0399999999999996</v>
      </c>
      <c r="K33" s="43"/>
      <c r="O33" s="43"/>
      <c r="P33" s="43"/>
      <c r="Q33" s="1">
        <v>1</v>
      </c>
      <c r="R33" s="3" t="s">
        <v>13</v>
      </c>
      <c r="S33" s="16" t="s">
        <v>69</v>
      </c>
    </row>
    <row r="34" spans="1:19" ht="32">
      <c r="A34" s="1" t="s">
        <v>18</v>
      </c>
      <c r="B34" s="3" t="s">
        <v>19</v>
      </c>
      <c r="C34" s="4">
        <v>43109</v>
      </c>
      <c r="D34" s="51">
        <v>0.4069444444444445</v>
      </c>
      <c r="E34" s="54">
        <v>25</v>
      </c>
      <c r="F34" s="54">
        <v>34.4</v>
      </c>
      <c r="G34" s="43">
        <v>6.74</v>
      </c>
      <c r="H34" s="54">
        <v>98.7</v>
      </c>
      <c r="I34" s="43">
        <v>8.18</v>
      </c>
      <c r="J34" s="43">
        <f>AVERAGE(7.32,8.02,7.62)</f>
        <v>7.6533333333333333</v>
      </c>
      <c r="K34" s="43"/>
      <c r="O34" s="43"/>
      <c r="P34" s="43"/>
      <c r="Q34" s="1">
        <v>3</v>
      </c>
      <c r="R34" s="3" t="s">
        <v>37</v>
      </c>
      <c r="S34" s="16" t="s">
        <v>69</v>
      </c>
    </row>
    <row r="35" spans="1:19" ht="32">
      <c r="A35" s="1" t="s">
        <v>18</v>
      </c>
      <c r="B35" s="3" t="s">
        <v>19</v>
      </c>
      <c r="C35" s="4">
        <v>43130</v>
      </c>
      <c r="D35" s="51">
        <v>0.41875000000000001</v>
      </c>
      <c r="E35" s="54">
        <v>24.1</v>
      </c>
      <c r="F35" s="54">
        <v>33</v>
      </c>
      <c r="G35" s="43">
        <v>6.89</v>
      </c>
      <c r="H35" s="54">
        <v>99.6</v>
      </c>
      <c r="I35" s="43">
        <v>8.1999999999999993</v>
      </c>
      <c r="J35" s="43">
        <f>AVERAGE(1.42,1.54,1.64)</f>
        <v>1.5333333333333332</v>
      </c>
      <c r="K35" s="43"/>
      <c r="O35" s="43"/>
      <c r="P35" s="43"/>
      <c r="Q35" s="1">
        <v>1</v>
      </c>
      <c r="R35" s="3" t="s">
        <v>54</v>
      </c>
      <c r="S35" s="16" t="s">
        <v>69</v>
      </c>
    </row>
    <row r="36" spans="1:19">
      <c r="E36" s="54"/>
      <c r="F36" s="54"/>
      <c r="G36" s="43"/>
      <c r="H36" s="54"/>
      <c r="I36" s="43"/>
      <c r="J36" s="43"/>
      <c r="K36" s="43"/>
      <c r="O36" s="43"/>
      <c r="P36" s="43"/>
    </row>
    <row r="37" spans="1:19">
      <c r="E37" s="54"/>
      <c r="F37" s="54"/>
      <c r="G37" s="43"/>
      <c r="H37" s="54"/>
      <c r="I37" s="43"/>
      <c r="J37" s="43"/>
      <c r="K37" s="43"/>
      <c r="O37" s="43"/>
      <c r="P37" s="43"/>
    </row>
    <row r="38" spans="1:19">
      <c r="G38" s="43"/>
      <c r="I38" s="43"/>
      <c r="J38" s="43"/>
      <c r="K38" s="43"/>
      <c r="O38" s="43"/>
      <c r="P38" s="43"/>
    </row>
    <row r="42" spans="1:19">
      <c r="J42" s="28">
        <f>GEOMEAN(J2:J39)</f>
        <v>2.4805682270592158</v>
      </c>
      <c r="K42" s="31">
        <f>GEOMEAN(K2:K39)</f>
        <v>124.80342778744605</v>
      </c>
      <c r="L42" s="44">
        <f t="shared" ref="L42:N42" si="0">GEOMEAN(L2:L39)</f>
        <v>15.78681364188826</v>
      </c>
      <c r="M42" s="31">
        <f t="shared" si="0"/>
        <v>8.963398933197313</v>
      </c>
      <c r="N42" s="43">
        <f t="shared" si="0"/>
        <v>550.82260216861914</v>
      </c>
      <c r="O42" s="28">
        <f t="shared" ref="O42:P42" si="1">GEOMEAN(O2:O39)</f>
        <v>53.537656449072628</v>
      </c>
      <c r="P42" s="41">
        <f t="shared" si="1"/>
        <v>5.0370449638786408</v>
      </c>
      <c r="S42" s="16" t="s">
        <v>43</v>
      </c>
    </row>
    <row r="43" spans="1:19">
      <c r="D43" s="50">
        <f>AVERAGE(D2:D39)</f>
        <v>0.38129084967320265</v>
      </c>
      <c r="E43" s="43">
        <f>AVERAGE(E2:E39)</f>
        <v>26.435294117647061</v>
      </c>
      <c r="F43" s="43">
        <f t="shared" ref="F43:H43" si="2">AVERAGE(F2:F39)</f>
        <v>34.079411764705881</v>
      </c>
      <c r="G43" s="43">
        <f t="shared" si="2"/>
        <v>6.6267647058823513</v>
      </c>
      <c r="H43" s="43">
        <f t="shared" si="2"/>
        <v>99.597058823529409</v>
      </c>
      <c r="I43" s="30">
        <f>AVERAGE(I2:I39)</f>
        <v>8.1476470588235284</v>
      </c>
      <c r="J43" s="27">
        <f>AVERAGE(J2:J39)</f>
        <v>3.1100000000000003</v>
      </c>
      <c r="K43" s="27">
        <f>AVERAGE(K2:K39)</f>
        <v>131.23710872804324</v>
      </c>
      <c r="L43" s="43">
        <f t="shared" ref="L43:N43" si="3">AVERAGE(L2:L39)</f>
        <v>16.224712922191756</v>
      </c>
      <c r="M43" s="43">
        <f t="shared" si="3"/>
        <v>9.2717154684096155</v>
      </c>
      <c r="N43" s="43">
        <f t="shared" si="3"/>
        <v>611.58332189628402</v>
      </c>
      <c r="O43" s="27">
        <f t="shared" ref="O43:P43" si="4">AVERAGE(O2:O39)</f>
        <v>63.03782158293555</v>
      </c>
      <c r="P43" s="27">
        <f t="shared" si="4"/>
        <v>6.1725658603122815</v>
      </c>
      <c r="S43" s="16" t="s">
        <v>44</v>
      </c>
    </row>
    <row r="44" spans="1:19">
      <c r="E44" s="43">
        <f>STDEV(E2:E39)</f>
        <v>1.1420031186448403</v>
      </c>
      <c r="F44" s="43">
        <f t="shared" ref="F44:H44" si="5">STDEV(F2:F39)</f>
        <v>1.4528507841720066</v>
      </c>
      <c r="G44" s="43">
        <f t="shared" si="5"/>
        <v>0.18086862113296795</v>
      </c>
      <c r="H44" s="43">
        <f t="shared" si="5"/>
        <v>2.5384898032659819</v>
      </c>
      <c r="I44" s="30">
        <f>STDEV(I2:I39)</f>
        <v>5.6357023359888958E-2</v>
      </c>
      <c r="J44" s="27">
        <f>STDEV(J2:J39)</f>
        <v>2.1880938924449485</v>
      </c>
      <c r="K44" s="27">
        <f>STDEV(K2:K39)</f>
        <v>45.96270214968532</v>
      </c>
      <c r="L44" s="43">
        <f t="shared" ref="L44:N44" si="6">STDEV(L2:L39)</f>
        <v>3.7288890098246594</v>
      </c>
      <c r="M44" s="43">
        <f t="shared" si="6"/>
        <v>2.5808482541035094</v>
      </c>
      <c r="N44" s="43">
        <f t="shared" si="6"/>
        <v>311.55969672757629</v>
      </c>
      <c r="O44" s="27">
        <f t="shared" ref="O44:P44" si="7">STDEV(O2:O39)</f>
        <v>38.567145103264608</v>
      </c>
      <c r="P44" s="27">
        <f t="shared" si="7"/>
        <v>4.989167351593407</v>
      </c>
      <c r="S44" s="16" t="s">
        <v>45</v>
      </c>
    </row>
    <row r="46" spans="1:19">
      <c r="J46" s="27">
        <f>J42/0.2</f>
        <v>12.402841135296079</v>
      </c>
      <c r="K46" s="27">
        <f>K42/110</f>
        <v>1.1345766162495097</v>
      </c>
      <c r="L46" s="43">
        <f>L42/16</f>
        <v>0.98667585261801627</v>
      </c>
      <c r="M46" s="43">
        <f>M42/6</f>
        <v>1.4938998221995521</v>
      </c>
      <c r="N46" s="43">
        <f>N42</f>
        <v>550.82260216861914</v>
      </c>
      <c r="O46" s="27">
        <f>O42/3.5</f>
        <v>15.296473271163608</v>
      </c>
      <c r="P46" s="27">
        <f>P42/2</f>
        <v>2.5185224819393204</v>
      </c>
      <c r="S46" s="16" t="s">
        <v>46</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J11" activePane="bottomRight" state="frozen"/>
      <selection pane="topRight" activeCell="D1" sqref="D1"/>
      <selection pane="bottomLeft" activeCell="A2" sqref="A2"/>
      <selection pane="bottomRight" activeCell="A13" sqref="A13:XFD13"/>
    </sheetView>
  </sheetViews>
  <sheetFormatPr baseColWidth="10" defaultRowHeight="16"/>
  <cols>
    <col min="1" max="1" width="15.42578125" style="1" customWidth="1"/>
    <col min="2" max="2" width="10.7109375" style="3"/>
    <col min="3" max="4" width="10.7109375" style="1"/>
    <col min="5" max="5" width="13.140625" style="15" customWidth="1"/>
    <col min="6" max="6" width="10.7109375" style="15"/>
    <col min="7" max="7" width="10.7109375" style="13"/>
    <col min="8" max="8" width="10.7109375" style="15"/>
    <col min="9" max="9" width="10.7109375" style="38"/>
    <col min="10" max="11" width="10.7109375" style="30"/>
    <col min="12" max="12" width="10.7109375" style="43"/>
    <col min="13" max="13" width="12.140625" style="43" customWidth="1"/>
    <col min="14" max="14" width="10.7109375" style="43"/>
    <col min="15" max="16" width="10.7109375" style="30"/>
    <col min="17" max="17" width="12.28515625" style="1" customWidth="1"/>
    <col min="18" max="18" width="12.5703125" style="3" customWidth="1"/>
    <col min="19" max="19" width="51.42578125" style="16" customWidth="1"/>
    <col min="20" max="16384" width="10.7109375" style="1"/>
  </cols>
  <sheetData>
    <row r="1" spans="1:19" s="2" customFormat="1" ht="32">
      <c r="A1" s="2" t="s">
        <v>83</v>
      </c>
      <c r="B1" s="2" t="s">
        <v>9</v>
      </c>
      <c r="C1" s="2" t="s">
        <v>1</v>
      </c>
      <c r="D1" s="2" t="s">
        <v>2</v>
      </c>
      <c r="E1" s="14" t="s">
        <v>3</v>
      </c>
      <c r="F1" s="14" t="s">
        <v>4</v>
      </c>
      <c r="G1" s="12" t="s">
        <v>5</v>
      </c>
      <c r="H1" s="14" t="s">
        <v>6</v>
      </c>
      <c r="I1" s="37" t="s">
        <v>7</v>
      </c>
      <c r="J1" s="29" t="s">
        <v>8</v>
      </c>
      <c r="K1" s="29" t="s">
        <v>34</v>
      </c>
      <c r="L1" s="42" t="s">
        <v>40</v>
      </c>
      <c r="M1" s="42" t="s">
        <v>41</v>
      </c>
      <c r="N1" s="42" t="s">
        <v>42</v>
      </c>
      <c r="O1" s="29" t="s">
        <v>38</v>
      </c>
      <c r="P1" s="29" t="s">
        <v>39</v>
      </c>
      <c r="Q1" s="2" t="s">
        <v>67</v>
      </c>
      <c r="R1" s="2" t="s">
        <v>68</v>
      </c>
      <c r="S1" s="2" t="s">
        <v>33</v>
      </c>
    </row>
    <row r="2" spans="1:19" ht="32">
      <c r="A2" s="1" t="s">
        <v>21</v>
      </c>
      <c r="B2" s="3" t="s">
        <v>22</v>
      </c>
      <c r="C2" s="4">
        <v>42535</v>
      </c>
      <c r="D2" s="5">
        <v>0.43333333333333335</v>
      </c>
      <c r="E2" s="15">
        <v>27.3</v>
      </c>
      <c r="F2" s="15">
        <v>34.6</v>
      </c>
      <c r="G2" s="13">
        <v>6.66</v>
      </c>
      <c r="H2" s="15">
        <v>101.8</v>
      </c>
      <c r="I2" s="38">
        <v>8.15</v>
      </c>
      <c r="J2" s="30">
        <v>3.47</v>
      </c>
      <c r="K2" s="30">
        <v>84.6</v>
      </c>
      <c r="L2" s="43">
        <v>24.07</v>
      </c>
      <c r="M2" s="43">
        <v>12.38</v>
      </c>
      <c r="N2" s="43">
        <v>822.08</v>
      </c>
      <c r="O2" s="30">
        <v>21.35</v>
      </c>
      <c r="P2" s="31">
        <v>1.5</v>
      </c>
      <c r="Q2" s="1">
        <v>1</v>
      </c>
      <c r="R2" s="3" t="s">
        <v>59</v>
      </c>
      <c r="S2" s="16" t="s">
        <v>82</v>
      </c>
    </row>
    <row r="3" spans="1:19" ht="32">
      <c r="A3" s="1" t="s">
        <v>21</v>
      </c>
      <c r="B3" s="3" t="s">
        <v>22</v>
      </c>
      <c r="C3" s="4">
        <v>42549</v>
      </c>
      <c r="D3" s="5">
        <v>0.37916666666666665</v>
      </c>
      <c r="E3" s="15">
        <v>26.9</v>
      </c>
      <c r="F3" s="15">
        <v>27.9</v>
      </c>
      <c r="G3" s="13">
        <v>6.77</v>
      </c>
      <c r="H3" s="15">
        <v>103</v>
      </c>
      <c r="I3" s="38">
        <v>8.1300000000000008</v>
      </c>
      <c r="J3" s="30">
        <v>3.13</v>
      </c>
      <c r="K3" s="30">
        <v>83.6</v>
      </c>
      <c r="L3" s="43">
        <v>20.43</v>
      </c>
      <c r="M3" s="43">
        <v>10.91</v>
      </c>
      <c r="N3" s="43">
        <v>633.71</v>
      </c>
      <c r="O3" s="30">
        <v>15.03</v>
      </c>
      <c r="P3" s="30">
        <v>3.34</v>
      </c>
      <c r="Q3" s="1">
        <v>1</v>
      </c>
      <c r="R3" s="3" t="s">
        <v>59</v>
      </c>
      <c r="S3" s="16" t="s">
        <v>63</v>
      </c>
    </row>
    <row r="4" spans="1:19" ht="32">
      <c r="A4" s="1" t="s">
        <v>21</v>
      </c>
      <c r="B4" s="3" t="s">
        <v>22</v>
      </c>
      <c r="C4" s="4">
        <v>42563</v>
      </c>
      <c r="D4" s="5">
        <v>0.37638888888888888</v>
      </c>
      <c r="E4" s="15">
        <v>27.4</v>
      </c>
      <c r="F4" s="15">
        <v>35.700000000000003</v>
      </c>
      <c r="G4" s="13">
        <v>6.66</v>
      </c>
      <c r="H4" s="15">
        <v>102.7</v>
      </c>
      <c r="I4" s="38">
        <v>8.16</v>
      </c>
      <c r="J4" s="30">
        <v>3.41</v>
      </c>
      <c r="K4" s="30">
        <v>83.066157107317196</v>
      </c>
      <c r="L4" s="43">
        <v>19.360604629422408</v>
      </c>
      <c r="M4" s="43">
        <v>10.398156094074736</v>
      </c>
      <c r="N4" s="43">
        <v>617.53567296301628</v>
      </c>
      <c r="O4" s="30">
        <v>15.739817890863915</v>
      </c>
      <c r="P4" s="31">
        <v>1.5</v>
      </c>
      <c r="Q4" s="1">
        <v>1</v>
      </c>
      <c r="R4" s="3" t="s">
        <v>59</v>
      </c>
      <c r="S4" s="16" t="s">
        <v>66</v>
      </c>
    </row>
    <row r="5" spans="1:19" ht="48">
      <c r="A5" s="1" t="s">
        <v>21</v>
      </c>
      <c r="B5" s="3" t="s">
        <v>22</v>
      </c>
      <c r="C5" s="4">
        <v>42577</v>
      </c>
      <c r="D5" s="5">
        <v>0.3743055555555555</v>
      </c>
      <c r="E5" s="15">
        <v>27.4</v>
      </c>
      <c r="F5" s="15">
        <v>34.799999999999997</v>
      </c>
      <c r="G5" s="13">
        <v>6.51</v>
      </c>
      <c r="H5" s="15">
        <v>99.8</v>
      </c>
      <c r="I5" s="38">
        <v>8.15</v>
      </c>
      <c r="J5" s="30">
        <v>3.22</v>
      </c>
      <c r="K5" s="30">
        <v>87.806675645689211</v>
      </c>
      <c r="L5" s="43">
        <v>15.669634344213915</v>
      </c>
      <c r="M5" s="43">
        <v>9.7717338702896619</v>
      </c>
      <c r="N5" s="43">
        <v>467.62549788820985</v>
      </c>
      <c r="O5" s="30">
        <v>13.187639045132336</v>
      </c>
      <c r="P5" s="30">
        <v>4.5475406139750838</v>
      </c>
      <c r="Q5" s="1">
        <v>1</v>
      </c>
      <c r="R5" s="3" t="s">
        <v>58</v>
      </c>
      <c r="S5" s="16" t="s">
        <v>79</v>
      </c>
    </row>
    <row r="6" spans="1:19" ht="32">
      <c r="A6" s="1" t="s">
        <v>21</v>
      </c>
      <c r="B6" s="3" t="s">
        <v>22</v>
      </c>
      <c r="C6" s="4">
        <v>42591</v>
      </c>
      <c r="D6" s="5">
        <v>0.36944444444444446</v>
      </c>
      <c r="E6" s="15">
        <v>27.2</v>
      </c>
      <c r="F6" s="15">
        <v>35.299999999999997</v>
      </c>
      <c r="G6" s="13">
        <v>6.58</v>
      </c>
      <c r="H6" s="15">
        <v>100.6</v>
      </c>
      <c r="I6" s="38">
        <v>8.16</v>
      </c>
      <c r="J6" s="30">
        <f>AVERAGE(0.68,0.75,0.77)</f>
        <v>0.73333333333333339</v>
      </c>
      <c r="K6" s="30">
        <v>63.268059013137105</v>
      </c>
      <c r="L6" s="43">
        <v>14.740913651175187</v>
      </c>
      <c r="M6" s="43">
        <v>6.0077049742140209</v>
      </c>
      <c r="N6" s="43">
        <v>268.63295740724197</v>
      </c>
      <c r="O6" s="30">
        <v>7.8878967185734661</v>
      </c>
      <c r="P6" s="30">
        <v>4.7243447449543412</v>
      </c>
      <c r="Q6" s="1">
        <v>1</v>
      </c>
      <c r="R6" s="3" t="s">
        <v>58</v>
      </c>
      <c r="S6" s="16" t="s">
        <v>77</v>
      </c>
    </row>
    <row r="7" spans="1:19" ht="32">
      <c r="A7" s="1" t="s">
        <v>21</v>
      </c>
      <c r="B7" s="3" t="s">
        <v>22</v>
      </c>
      <c r="C7" s="4">
        <v>42605</v>
      </c>
      <c r="D7" s="5">
        <v>0.3659722222222222</v>
      </c>
      <c r="E7" s="15">
        <v>28</v>
      </c>
      <c r="F7" s="15">
        <v>35.700000000000003</v>
      </c>
      <c r="G7" s="13">
        <v>6.23</v>
      </c>
      <c r="H7" s="15">
        <v>97.4</v>
      </c>
      <c r="I7" s="38">
        <v>8.06</v>
      </c>
      <c r="J7" s="30">
        <f>AVERAGE(0.58,0.68,0.64)</f>
        <v>0.6333333333333333</v>
      </c>
      <c r="K7" s="30">
        <v>71.247264847416233</v>
      </c>
      <c r="L7" s="43">
        <v>14.826443674882814</v>
      </c>
      <c r="M7" s="43">
        <v>6.2024876129284632</v>
      </c>
      <c r="N7" s="43">
        <v>224.58589467414205</v>
      </c>
      <c r="O7" s="30">
        <v>10.405483472375254</v>
      </c>
      <c r="P7" s="31">
        <v>1.5</v>
      </c>
      <c r="Q7" s="1">
        <v>1</v>
      </c>
      <c r="R7" s="3" t="s">
        <v>59</v>
      </c>
      <c r="S7" s="16" t="s">
        <v>76</v>
      </c>
    </row>
    <row r="8" spans="1:19" ht="32">
      <c r="A8" s="1" t="s">
        <v>21</v>
      </c>
      <c r="B8" s="3" t="s">
        <v>22</v>
      </c>
      <c r="C8" s="4">
        <v>42619</v>
      </c>
      <c r="D8" s="5">
        <v>0.37083333333333335</v>
      </c>
      <c r="E8" s="15">
        <v>27.8</v>
      </c>
      <c r="F8" s="15">
        <v>35.4</v>
      </c>
      <c r="G8" s="13">
        <v>6.42</v>
      </c>
      <c r="H8" s="15">
        <v>99.3</v>
      </c>
      <c r="I8" s="38">
        <v>8.23</v>
      </c>
      <c r="J8" s="30">
        <f>AVERAGE(3.29,3.33,3.09)</f>
        <v>3.2366666666666668</v>
      </c>
      <c r="K8" s="30">
        <v>68.39523115837909</v>
      </c>
      <c r="L8" s="43">
        <v>21.590752941151145</v>
      </c>
      <c r="M8" s="43">
        <v>9.1475695201962779</v>
      </c>
      <c r="N8" s="43">
        <v>355.63278702654651</v>
      </c>
      <c r="O8" s="30">
        <v>9.9731006086363383</v>
      </c>
      <c r="P8" s="31">
        <v>1.5</v>
      </c>
      <c r="Q8" s="1">
        <v>2</v>
      </c>
      <c r="R8" s="3" t="s">
        <v>58</v>
      </c>
      <c r="S8" s="16" t="s">
        <v>73</v>
      </c>
    </row>
    <row r="9" spans="1:19" ht="64">
      <c r="A9" s="1" t="s">
        <v>21</v>
      </c>
      <c r="B9" s="3" t="s">
        <v>22</v>
      </c>
      <c r="C9" s="4">
        <v>42633</v>
      </c>
      <c r="D9" s="5">
        <v>0.35416666666666669</v>
      </c>
      <c r="E9" s="15">
        <v>27.4</v>
      </c>
      <c r="F9" s="15">
        <v>36.700000000000003</v>
      </c>
      <c r="G9" s="13">
        <v>6.33</v>
      </c>
      <c r="H9" s="15">
        <v>98</v>
      </c>
      <c r="I9" s="38">
        <v>8.0500000000000007</v>
      </c>
      <c r="J9" s="30">
        <f>AVERAGE(3.35,3.12,3.09)</f>
        <v>3.186666666666667</v>
      </c>
      <c r="K9" s="46">
        <v>149.79783443255226</v>
      </c>
      <c r="L9" s="43">
        <v>17.619184883770949</v>
      </c>
      <c r="M9" s="43">
        <v>7.236440697838149</v>
      </c>
      <c r="N9" s="43">
        <v>385.18166347866281</v>
      </c>
      <c r="O9" s="30">
        <v>10.429981085051679</v>
      </c>
      <c r="P9" s="30">
        <v>7.0727216657942185</v>
      </c>
      <c r="Q9" s="1">
        <v>1</v>
      </c>
      <c r="R9" s="3" t="s">
        <v>59</v>
      </c>
      <c r="S9" s="16" t="s">
        <v>74</v>
      </c>
    </row>
    <row r="10" spans="1:19" ht="34" customHeight="1">
      <c r="A10" s="1" t="s">
        <v>21</v>
      </c>
      <c r="B10" s="3" t="s">
        <v>22</v>
      </c>
      <c r="C10" s="4">
        <v>42647</v>
      </c>
      <c r="D10" s="5">
        <v>0.37013888888888885</v>
      </c>
      <c r="E10" s="15">
        <v>27.8</v>
      </c>
      <c r="F10" s="15">
        <v>34.6</v>
      </c>
      <c r="G10" s="13">
        <v>6.35</v>
      </c>
      <c r="H10" s="15">
        <v>97.9</v>
      </c>
      <c r="I10" s="38">
        <v>8.17</v>
      </c>
      <c r="J10" s="30">
        <f>AVERAGE(1.78,1.84,1.91)</f>
        <v>1.8433333333333335</v>
      </c>
      <c r="K10" s="30">
        <v>67.4057500825907</v>
      </c>
      <c r="L10" s="43">
        <v>13.089812323949712</v>
      </c>
      <c r="M10" s="43">
        <v>6.0521886682548747</v>
      </c>
      <c r="N10" s="43">
        <v>319.77928108874403</v>
      </c>
      <c r="O10" s="30">
        <v>10.069866178708219</v>
      </c>
      <c r="P10" s="30">
        <v>1.7612147996277554</v>
      </c>
      <c r="Q10" s="1">
        <v>2</v>
      </c>
      <c r="R10" s="3" t="s">
        <v>58</v>
      </c>
      <c r="S10" s="16" t="s">
        <v>71</v>
      </c>
    </row>
    <row r="11" spans="1:19" ht="32">
      <c r="A11" s="1" t="s">
        <v>21</v>
      </c>
      <c r="B11" s="3" t="s">
        <v>22</v>
      </c>
      <c r="C11" s="4">
        <v>42661</v>
      </c>
      <c r="D11" s="5">
        <v>0.37291666666666662</v>
      </c>
      <c r="E11" s="15">
        <v>27.3</v>
      </c>
      <c r="F11" s="15">
        <v>36.6</v>
      </c>
      <c r="G11" s="13">
        <v>6.2</v>
      </c>
      <c r="H11" s="15">
        <v>95.9</v>
      </c>
      <c r="I11" s="38">
        <v>8.09</v>
      </c>
      <c r="J11" s="30">
        <f>AVERAGE(0.87,0.94,0.89)</f>
        <v>0.9</v>
      </c>
      <c r="K11" s="30">
        <v>78.880108561825679</v>
      </c>
      <c r="L11" s="43">
        <v>20.539070000602251</v>
      </c>
      <c r="M11" s="43">
        <v>9.6248462215408068</v>
      </c>
      <c r="N11" s="43">
        <v>489.05456338436073</v>
      </c>
      <c r="O11" s="30">
        <v>12.568216629426709</v>
      </c>
      <c r="P11" s="30">
        <v>11.059916109656948</v>
      </c>
      <c r="Q11" s="1">
        <v>1</v>
      </c>
      <c r="R11" s="3" t="s">
        <v>59</v>
      </c>
      <c r="S11" s="16" t="s">
        <v>71</v>
      </c>
    </row>
    <row r="12" spans="1:19" ht="32">
      <c r="A12" s="1" t="s">
        <v>21</v>
      </c>
      <c r="B12" s="3" t="s">
        <v>22</v>
      </c>
      <c r="C12" s="4">
        <v>42675</v>
      </c>
      <c r="D12" s="5">
        <v>0.37152777777777773</v>
      </c>
      <c r="E12" s="15">
        <v>26.4</v>
      </c>
      <c r="F12" s="15">
        <v>34.4</v>
      </c>
      <c r="G12" s="18">
        <v>6.38</v>
      </c>
      <c r="H12" s="15">
        <v>95.4</v>
      </c>
      <c r="I12" s="38">
        <v>8.15</v>
      </c>
      <c r="J12" s="30">
        <f>AVERAGE(0.78,1.08,0.87)</f>
        <v>0.91</v>
      </c>
      <c r="K12" s="30">
        <v>79.03980704369836</v>
      </c>
      <c r="L12" s="43">
        <v>21.096418000308471</v>
      </c>
      <c r="M12" s="43">
        <v>7.8693303226806401</v>
      </c>
      <c r="N12" s="43">
        <v>448.86656980024361</v>
      </c>
      <c r="O12" s="30">
        <v>14.069992516298861</v>
      </c>
      <c r="P12" s="30">
        <v>3.1380132827894514</v>
      </c>
      <c r="Q12" s="1">
        <v>2</v>
      </c>
      <c r="R12" s="3" t="s">
        <v>58</v>
      </c>
      <c r="S12" s="16" t="s">
        <v>36</v>
      </c>
    </row>
    <row r="13" spans="1:19" ht="32">
      <c r="A13" s="1" t="s">
        <v>21</v>
      </c>
      <c r="B13" s="3" t="s">
        <v>22</v>
      </c>
      <c r="C13" s="4">
        <v>42689</v>
      </c>
      <c r="D13" s="5">
        <v>0.37847222222222227</v>
      </c>
      <c r="E13" s="15">
        <v>26.4</v>
      </c>
      <c r="F13" s="15">
        <v>33.299999999999997</v>
      </c>
      <c r="G13" s="43">
        <v>6.45</v>
      </c>
      <c r="H13" s="15">
        <v>96.2</v>
      </c>
      <c r="I13" s="43">
        <v>8.1199999999999992</v>
      </c>
      <c r="J13" s="43">
        <f>AVERAGE(1.41,1.44,1.4)</f>
        <v>1.4166666666666667</v>
      </c>
      <c r="K13" s="43">
        <v>88.513975514991841</v>
      </c>
      <c r="L13" s="43">
        <v>16.739135548644523</v>
      </c>
      <c r="M13" s="43">
        <v>15.594783763542543</v>
      </c>
      <c r="N13" s="43">
        <v>1414.9956754306575</v>
      </c>
      <c r="O13" s="43">
        <v>43.330296706122411</v>
      </c>
      <c r="P13" s="31">
        <v>1.5</v>
      </c>
      <c r="Q13" s="1">
        <v>2</v>
      </c>
      <c r="R13" s="3" t="s">
        <v>58</v>
      </c>
      <c r="S13" s="16" t="s">
        <v>36</v>
      </c>
    </row>
    <row r="14" spans="1:19" ht="32">
      <c r="A14" s="1" t="s">
        <v>21</v>
      </c>
      <c r="B14" s="3" t="s">
        <v>22</v>
      </c>
      <c r="C14" s="4">
        <v>42703</v>
      </c>
      <c r="D14" s="5">
        <v>0.3743055555555555</v>
      </c>
      <c r="E14" s="15">
        <v>25.4</v>
      </c>
      <c r="F14" s="15">
        <v>33.6</v>
      </c>
      <c r="G14" s="43">
        <v>6.49</v>
      </c>
      <c r="H14" s="15">
        <v>95</v>
      </c>
      <c r="I14" s="43">
        <v>8.1300000000000008</v>
      </c>
      <c r="J14" s="43">
        <f>AVERAGE(1.59,1.44,1.44)</f>
        <v>1.4900000000000002</v>
      </c>
      <c r="K14" s="43">
        <v>94.785303583098056</v>
      </c>
      <c r="L14" s="43">
        <v>10.293832001189694</v>
      </c>
      <c r="M14" s="43">
        <v>8.9235233552833666</v>
      </c>
      <c r="N14" s="43">
        <v>908.64066570481589</v>
      </c>
      <c r="O14" s="43">
        <v>37.275584686351671</v>
      </c>
      <c r="P14" s="31">
        <v>1.5</v>
      </c>
      <c r="Q14" s="1">
        <v>2</v>
      </c>
      <c r="R14" s="3" t="s">
        <v>58</v>
      </c>
      <c r="S14" s="16" t="s">
        <v>36</v>
      </c>
    </row>
    <row r="15" spans="1:19" ht="32">
      <c r="A15" s="1" t="s">
        <v>21</v>
      </c>
      <c r="B15" s="3" t="s">
        <v>22</v>
      </c>
      <c r="C15" s="4">
        <v>42717</v>
      </c>
      <c r="D15" s="5">
        <v>0.37708333333333338</v>
      </c>
      <c r="E15" s="15">
        <v>25.3</v>
      </c>
      <c r="F15" s="15">
        <v>34.1</v>
      </c>
      <c r="G15" s="43">
        <v>6.59</v>
      </c>
      <c r="H15" s="15">
        <v>97.2</v>
      </c>
      <c r="I15" s="43">
        <v>8.11</v>
      </c>
      <c r="J15" s="43">
        <f>AVERAGE(0.84,0.94,1.14)</f>
        <v>0.97333333333333327</v>
      </c>
      <c r="K15" s="43">
        <v>74.445141892416942</v>
      </c>
      <c r="L15" s="43">
        <v>14.712624359358893</v>
      </c>
      <c r="M15" s="43">
        <v>8.3567791145045032</v>
      </c>
      <c r="N15" s="43">
        <v>760.93173499716818</v>
      </c>
      <c r="O15" s="43">
        <v>28.96509617857113</v>
      </c>
      <c r="P15" s="43">
        <v>2.3625997782705097</v>
      </c>
      <c r="Q15" s="1">
        <v>1</v>
      </c>
      <c r="R15" s="3" t="s">
        <v>58</v>
      </c>
      <c r="S15" s="16" t="s">
        <v>36</v>
      </c>
    </row>
    <row r="16" spans="1:19" ht="32">
      <c r="A16" s="1" t="s">
        <v>21</v>
      </c>
      <c r="B16" s="3" t="s">
        <v>22</v>
      </c>
      <c r="C16" s="4">
        <v>42738</v>
      </c>
      <c r="D16" s="5">
        <v>0.42708333333333331</v>
      </c>
      <c r="E16" s="15">
        <v>24.8</v>
      </c>
      <c r="F16" s="15">
        <v>34.9</v>
      </c>
      <c r="G16" s="13">
        <v>6.49</v>
      </c>
      <c r="H16" s="15">
        <v>95.3</v>
      </c>
      <c r="I16" s="38">
        <v>8.1999999999999993</v>
      </c>
      <c r="J16" s="30">
        <f>AVERAGE(0.92,0.95,0.92)</f>
        <v>0.93</v>
      </c>
      <c r="K16" s="30">
        <v>85.838132027050122</v>
      </c>
      <c r="L16" s="43">
        <v>11.244961845628465</v>
      </c>
      <c r="M16" s="43">
        <v>5.8444493497773644</v>
      </c>
      <c r="N16" s="43">
        <v>223.38004185030306</v>
      </c>
      <c r="O16" s="30">
        <v>10.134611338453162</v>
      </c>
      <c r="P16" s="31">
        <v>1.5</v>
      </c>
      <c r="Q16" s="1">
        <v>2</v>
      </c>
      <c r="R16" s="3" t="s">
        <v>58</v>
      </c>
      <c r="S16" s="16" t="s">
        <v>36</v>
      </c>
    </row>
    <row r="17" spans="1:19" ht="32">
      <c r="A17" s="1" t="s">
        <v>21</v>
      </c>
      <c r="B17" s="3" t="s">
        <v>22</v>
      </c>
      <c r="C17" s="4">
        <v>42759</v>
      </c>
      <c r="D17" s="5">
        <v>0.37986111111111115</v>
      </c>
      <c r="E17" s="15">
        <v>24.5</v>
      </c>
      <c r="F17" s="15">
        <v>34.700000000000003</v>
      </c>
      <c r="G17" s="43">
        <v>6.69</v>
      </c>
      <c r="H17" s="15">
        <v>97.3</v>
      </c>
      <c r="I17" s="43">
        <v>8.1999999999999993</v>
      </c>
      <c r="J17" s="43">
        <f>AVERAGE(1.12,1.19,1.13)</f>
        <v>1.1466666666666667</v>
      </c>
      <c r="K17" s="43">
        <v>117.22890617079284</v>
      </c>
      <c r="L17" s="43">
        <v>34.704690704479006</v>
      </c>
      <c r="M17" s="43">
        <v>30.644913016442004</v>
      </c>
      <c r="N17" s="43">
        <v>953.95959481849059</v>
      </c>
      <c r="O17" s="43">
        <v>56.579939146999678</v>
      </c>
      <c r="P17" s="43">
        <v>4.2501981505951871</v>
      </c>
      <c r="Q17" s="1">
        <v>1</v>
      </c>
      <c r="R17" s="3" t="s">
        <v>57</v>
      </c>
      <c r="S17" s="16" t="s">
        <v>36</v>
      </c>
    </row>
    <row r="18" spans="1:19" ht="32">
      <c r="A18" s="1" t="s">
        <v>21</v>
      </c>
      <c r="B18" s="3" t="s">
        <v>22</v>
      </c>
      <c r="C18" s="4">
        <v>42780</v>
      </c>
      <c r="D18" s="5">
        <v>0.41666666666666669</v>
      </c>
      <c r="E18" s="15">
        <v>24.7</v>
      </c>
      <c r="F18" s="15">
        <v>33.9</v>
      </c>
      <c r="G18" s="43">
        <v>6.78</v>
      </c>
      <c r="H18" s="15">
        <v>98.7</v>
      </c>
      <c r="I18" s="43">
        <v>8.1999999999999993</v>
      </c>
      <c r="J18" s="43">
        <f>AVERAGE(1.06,1,1.05)</f>
        <v>1.0366666666666668</v>
      </c>
      <c r="K18" s="43">
        <v>95.603739286888313</v>
      </c>
      <c r="L18" s="43">
        <v>15.075506588902597</v>
      </c>
      <c r="M18" s="43">
        <v>10.836879357372881</v>
      </c>
      <c r="N18" s="43">
        <v>490.88500690345518</v>
      </c>
      <c r="O18" s="43">
        <v>29.919351254100963</v>
      </c>
      <c r="P18" s="43">
        <v>5.6098606632913617</v>
      </c>
      <c r="Q18" s="1">
        <v>2</v>
      </c>
      <c r="R18" s="3" t="s">
        <v>32</v>
      </c>
      <c r="S18" s="16" t="s">
        <v>36</v>
      </c>
    </row>
    <row r="19" spans="1:19" ht="32">
      <c r="A19" s="1" t="s">
        <v>21</v>
      </c>
      <c r="B19" s="3" t="s">
        <v>22</v>
      </c>
      <c r="C19" s="4">
        <v>42801</v>
      </c>
      <c r="D19" s="5">
        <v>0.3923611111111111</v>
      </c>
      <c r="E19" s="15">
        <v>24.9</v>
      </c>
      <c r="F19" s="15">
        <v>32.9</v>
      </c>
      <c r="G19" s="43">
        <v>6.79</v>
      </c>
      <c r="H19" s="15">
        <v>98.6</v>
      </c>
      <c r="I19" s="43">
        <v>8.19</v>
      </c>
      <c r="J19" s="43">
        <f>AVERAGE(1.89,2.33,2.12)</f>
        <v>2.1133333333333333</v>
      </c>
      <c r="K19" s="43">
        <v>99.983061785553502</v>
      </c>
      <c r="L19" s="43">
        <v>18.295380072059732</v>
      </c>
      <c r="M19" s="43">
        <v>14.530106741610171</v>
      </c>
      <c r="N19" s="43">
        <v>742.35551987682004</v>
      </c>
      <c r="O19" s="43">
        <v>37.20153852259498</v>
      </c>
      <c r="P19" s="43">
        <v>5.2427247895785625</v>
      </c>
      <c r="Q19" s="1">
        <v>1</v>
      </c>
      <c r="R19" s="3" t="s">
        <v>28</v>
      </c>
      <c r="S19" s="16" t="s">
        <v>36</v>
      </c>
    </row>
    <row r="20" spans="1:19" ht="32">
      <c r="A20" s="1" t="s">
        <v>21</v>
      </c>
      <c r="B20" s="3" t="s">
        <v>22</v>
      </c>
      <c r="C20" s="4">
        <v>42822</v>
      </c>
      <c r="D20" s="5">
        <v>0.38958333333333334</v>
      </c>
      <c r="E20" s="15">
        <v>25.4</v>
      </c>
      <c r="F20" s="15">
        <v>32.9</v>
      </c>
      <c r="G20" s="43">
        <v>6.77</v>
      </c>
      <c r="H20" s="15">
        <v>98.8</v>
      </c>
      <c r="I20" s="43">
        <v>8.19</v>
      </c>
      <c r="J20" s="43">
        <f>AVERAGE(0.58,0.62,0.7)</f>
        <v>0.6333333333333333</v>
      </c>
      <c r="K20" s="44">
        <v>102.96</v>
      </c>
      <c r="L20" s="43">
        <v>19.47</v>
      </c>
      <c r="M20" s="43">
        <v>14.15</v>
      </c>
      <c r="N20" s="43">
        <v>768.9</v>
      </c>
      <c r="O20" s="44">
        <v>37.51</v>
      </c>
      <c r="P20" s="43">
        <v>6.85</v>
      </c>
      <c r="Q20" s="1">
        <v>1</v>
      </c>
      <c r="R20" s="3" t="s">
        <v>28</v>
      </c>
      <c r="S20" s="16" t="s">
        <v>36</v>
      </c>
    </row>
    <row r="21" spans="1:19" ht="32">
      <c r="A21" s="1" t="s">
        <v>21</v>
      </c>
      <c r="B21" s="3" t="s">
        <v>22</v>
      </c>
      <c r="C21" s="4">
        <v>42843</v>
      </c>
      <c r="D21" s="5">
        <v>0.39305555555555555</v>
      </c>
      <c r="E21" s="15">
        <v>25.9</v>
      </c>
      <c r="F21" s="15">
        <v>33</v>
      </c>
      <c r="G21" s="43">
        <v>6.57</v>
      </c>
      <c r="H21" s="15">
        <v>96.8</v>
      </c>
      <c r="I21" s="43">
        <v>8.18</v>
      </c>
      <c r="J21" s="43">
        <f>AVERAGE(0.86,1,0.91)</f>
        <v>0.92333333333333334</v>
      </c>
      <c r="K21" s="43">
        <v>131.32172572466885</v>
      </c>
      <c r="L21" s="43">
        <v>18.457272935578846</v>
      </c>
      <c r="M21" s="43">
        <v>15.745078987149876</v>
      </c>
      <c r="N21" s="43">
        <v>1191.8497230130442</v>
      </c>
      <c r="O21" s="43">
        <v>40.971463603766971</v>
      </c>
      <c r="P21" s="43">
        <v>2.460689481578513</v>
      </c>
      <c r="Q21" s="1">
        <v>1</v>
      </c>
      <c r="R21" s="3" t="s">
        <v>28</v>
      </c>
      <c r="S21" s="16" t="s">
        <v>36</v>
      </c>
    </row>
    <row r="22" spans="1:19" ht="32">
      <c r="A22" s="1" t="s">
        <v>21</v>
      </c>
      <c r="B22" s="3" t="s">
        <v>22</v>
      </c>
      <c r="C22" s="4">
        <v>42864</v>
      </c>
      <c r="D22" s="5">
        <v>0.3888888888888889</v>
      </c>
      <c r="E22" s="15">
        <v>26</v>
      </c>
      <c r="F22" s="15">
        <v>33</v>
      </c>
      <c r="G22" s="43">
        <v>6.86</v>
      </c>
      <c r="H22" s="15">
        <v>101.5</v>
      </c>
      <c r="I22" s="43">
        <v>8.2100000000000009</v>
      </c>
      <c r="J22" s="43">
        <f>AVERAGE(0.8,0.75,0.78)</f>
        <v>0.77666666666666673</v>
      </c>
      <c r="K22" s="43">
        <v>113.94111514360561</v>
      </c>
      <c r="L22" s="43">
        <v>14.222402199483549</v>
      </c>
      <c r="M22" s="43">
        <v>12.099870408674509</v>
      </c>
      <c r="N22" s="43">
        <v>983.76377342719536</v>
      </c>
      <c r="O22" s="43">
        <v>35.721583123998919</v>
      </c>
      <c r="P22" s="43">
        <v>4.8748490034277205</v>
      </c>
      <c r="Q22" s="1">
        <v>1</v>
      </c>
      <c r="R22" s="3" t="s">
        <v>27</v>
      </c>
      <c r="S22" s="16" t="s">
        <v>36</v>
      </c>
    </row>
    <row r="23" spans="1:19" ht="32">
      <c r="A23" s="1" t="s">
        <v>21</v>
      </c>
      <c r="B23" s="3" t="s">
        <v>22</v>
      </c>
      <c r="C23" s="4">
        <v>42885</v>
      </c>
      <c r="D23" s="5">
        <v>0.3888888888888889</v>
      </c>
      <c r="E23" s="15">
        <v>26.4</v>
      </c>
      <c r="F23" s="15">
        <v>33.799999999999997</v>
      </c>
      <c r="G23" s="13">
        <v>6.78</v>
      </c>
      <c r="H23" s="15">
        <v>101.4</v>
      </c>
      <c r="I23" s="38">
        <v>8.16</v>
      </c>
      <c r="J23" s="30">
        <f>AVERAGE(2.77,3.33,3.21)</f>
        <v>3.1033333333333331</v>
      </c>
      <c r="K23" s="43">
        <v>91.946944111098162</v>
      </c>
      <c r="L23" s="43">
        <v>15.194719014116368</v>
      </c>
      <c r="M23" s="43">
        <v>12.597485955242135</v>
      </c>
      <c r="N23" s="43">
        <v>1009.8109160960862</v>
      </c>
      <c r="O23" s="43">
        <v>34.855534914217344</v>
      </c>
      <c r="P23" s="43">
        <v>2.9283107071369749</v>
      </c>
      <c r="Q23" s="1">
        <v>1</v>
      </c>
      <c r="R23" s="3" t="s">
        <v>78</v>
      </c>
      <c r="S23" s="16" t="s">
        <v>36</v>
      </c>
    </row>
    <row r="24" spans="1:19" ht="32">
      <c r="A24" s="1" t="s">
        <v>21</v>
      </c>
      <c r="B24" s="3" t="s">
        <v>22</v>
      </c>
      <c r="C24" s="4">
        <v>42906</v>
      </c>
      <c r="D24" s="5">
        <v>0.39027777777777778</v>
      </c>
      <c r="E24" s="15">
        <v>26.9</v>
      </c>
      <c r="F24" s="15">
        <v>33.9</v>
      </c>
      <c r="G24" s="43">
        <v>6.76</v>
      </c>
      <c r="H24" s="15">
        <v>102.2</v>
      </c>
      <c r="I24" s="43">
        <v>8.17</v>
      </c>
      <c r="J24" s="43">
        <f>AVERAGE(5.11,4.73,5.09)</f>
        <v>4.9766666666666666</v>
      </c>
      <c r="K24" s="43">
        <v>81.954594357075379</v>
      </c>
      <c r="L24" s="43">
        <v>20.599163610508864</v>
      </c>
      <c r="M24" s="43">
        <v>14.968820518420316</v>
      </c>
      <c r="N24" s="43">
        <v>689.49170317382789</v>
      </c>
      <c r="O24" s="43">
        <v>19.333224940022948</v>
      </c>
      <c r="P24" s="31">
        <v>0.4284307069482724</v>
      </c>
      <c r="Q24" s="1">
        <v>2</v>
      </c>
      <c r="R24" s="3" t="s">
        <v>25</v>
      </c>
      <c r="S24" s="16" t="s">
        <v>36</v>
      </c>
    </row>
    <row r="25" spans="1:19" ht="32">
      <c r="A25" s="1" t="s">
        <v>21</v>
      </c>
      <c r="B25" s="3" t="s">
        <v>22</v>
      </c>
      <c r="C25" s="4">
        <v>42927</v>
      </c>
      <c r="D25" s="5">
        <v>0.4055555555555555</v>
      </c>
      <c r="E25" s="15">
        <v>27.3</v>
      </c>
      <c r="F25" s="15">
        <v>34.1</v>
      </c>
      <c r="G25" s="13">
        <v>6.33</v>
      </c>
      <c r="H25" s="15">
        <v>96.3</v>
      </c>
      <c r="I25" s="38">
        <v>8.18</v>
      </c>
      <c r="J25" s="30">
        <f>AVERAGE(0.66,0.71,0.64)</f>
        <v>0.67</v>
      </c>
      <c r="K25" s="43">
        <v>78.210940114810754</v>
      </c>
      <c r="L25" s="43">
        <v>12.882689834401901</v>
      </c>
      <c r="M25" s="43">
        <v>7.0692137021417194</v>
      </c>
      <c r="N25" s="43">
        <v>528.03175850466789</v>
      </c>
      <c r="O25" s="43">
        <v>22.208211271515825</v>
      </c>
      <c r="P25" s="43">
        <v>0.85864612561437026</v>
      </c>
      <c r="Q25" s="1">
        <v>2</v>
      </c>
      <c r="R25" s="3" t="s">
        <v>75</v>
      </c>
      <c r="S25" s="16" t="s">
        <v>36</v>
      </c>
    </row>
    <row r="26" spans="1:19" ht="32">
      <c r="A26" s="1" t="s">
        <v>21</v>
      </c>
      <c r="B26" s="3" t="s">
        <v>22</v>
      </c>
      <c r="C26" s="4">
        <v>42948</v>
      </c>
      <c r="D26" s="5">
        <v>0.4152777777777778</v>
      </c>
      <c r="E26" s="15">
        <v>27.6</v>
      </c>
      <c r="F26" s="15">
        <v>34.200000000000003</v>
      </c>
      <c r="G26" s="43">
        <v>6.63</v>
      </c>
      <c r="H26" s="15">
        <v>101.5</v>
      </c>
      <c r="I26" s="43">
        <v>8.18</v>
      </c>
      <c r="J26" s="43">
        <f>AVERAGE(0.59,0.56,0.53)</f>
        <v>0.55999999999999994</v>
      </c>
      <c r="K26" s="43">
        <v>82.820750760804927</v>
      </c>
      <c r="L26" s="43">
        <v>14.501145082154968</v>
      </c>
      <c r="M26" s="43">
        <v>9.1459822352362625</v>
      </c>
      <c r="N26" s="43">
        <v>315.34607558555354</v>
      </c>
      <c r="O26" s="43">
        <v>11.791821307272242</v>
      </c>
      <c r="P26" s="43">
        <v>3.3099527315348798</v>
      </c>
      <c r="Q26" s="1">
        <v>2</v>
      </c>
      <c r="R26" s="3" t="s">
        <v>11</v>
      </c>
      <c r="S26" s="16" t="s">
        <v>36</v>
      </c>
    </row>
    <row r="27" spans="1:19" ht="32">
      <c r="A27" s="1" t="s">
        <v>21</v>
      </c>
      <c r="B27" s="3" t="s">
        <v>22</v>
      </c>
      <c r="C27" s="4">
        <v>42969</v>
      </c>
      <c r="D27" s="5">
        <v>0.4069444444444445</v>
      </c>
      <c r="E27" s="15">
        <v>27.1</v>
      </c>
      <c r="F27" s="15">
        <v>34</v>
      </c>
      <c r="G27" s="43">
        <v>6.63</v>
      </c>
      <c r="H27" s="15">
        <v>100.6</v>
      </c>
      <c r="I27" s="43">
        <v>8.17</v>
      </c>
      <c r="J27" s="43">
        <f>AVERAGE(1.45,1.46,1.79)</f>
        <v>1.5666666666666667</v>
      </c>
      <c r="K27" s="43">
        <v>91.587586809963653</v>
      </c>
      <c r="L27" s="43">
        <v>17.828356862159101</v>
      </c>
      <c r="M27" s="43">
        <v>10.733441525653571</v>
      </c>
      <c r="N27" s="43">
        <v>677.18443033094331</v>
      </c>
      <c r="O27" s="43">
        <v>25.455082661827383</v>
      </c>
      <c r="P27" s="43">
        <v>2.4849395264883825</v>
      </c>
      <c r="Q27" s="1">
        <v>1</v>
      </c>
      <c r="R27" s="3" t="s">
        <v>0</v>
      </c>
      <c r="S27" s="16" t="s">
        <v>36</v>
      </c>
    </row>
    <row r="28" spans="1:19" ht="32">
      <c r="A28" s="1" t="s">
        <v>21</v>
      </c>
      <c r="B28" s="3" t="s">
        <v>22</v>
      </c>
      <c r="C28" s="4">
        <v>42990</v>
      </c>
      <c r="D28" s="51">
        <v>0.40138888888888885</v>
      </c>
      <c r="E28" s="15">
        <v>28</v>
      </c>
      <c r="F28" s="15">
        <v>34.6</v>
      </c>
      <c r="G28" s="43">
        <v>6.51</v>
      </c>
      <c r="H28" s="15">
        <v>100.8</v>
      </c>
      <c r="I28" s="43">
        <v>8.17</v>
      </c>
      <c r="J28" s="43">
        <f>AVERAGE(1.26,1.19,1.29)</f>
        <v>1.2466666666666668</v>
      </c>
      <c r="K28" s="43">
        <v>56.852219247308916</v>
      </c>
      <c r="L28" s="43">
        <v>18.210113823099551</v>
      </c>
      <c r="M28" s="43">
        <v>7.0783255936131866</v>
      </c>
      <c r="N28" s="43">
        <v>317.63996928619326</v>
      </c>
      <c r="O28" s="43">
        <v>5.8749121481903392</v>
      </c>
      <c r="P28" s="43">
        <v>3.2459054963853009</v>
      </c>
      <c r="Q28" s="1">
        <v>2</v>
      </c>
      <c r="R28" s="3" t="s">
        <v>60</v>
      </c>
      <c r="S28" s="16" t="s">
        <v>36</v>
      </c>
    </row>
    <row r="29" spans="1:19" ht="32">
      <c r="A29" s="1" t="s">
        <v>21</v>
      </c>
      <c r="B29" s="3" t="s">
        <v>22</v>
      </c>
      <c r="C29" s="4">
        <v>43011</v>
      </c>
      <c r="D29" s="51">
        <v>0.41111111111111115</v>
      </c>
      <c r="E29" s="15">
        <v>27.6</v>
      </c>
      <c r="F29" s="15">
        <v>33.4</v>
      </c>
      <c r="G29" s="13">
        <v>6.52</v>
      </c>
      <c r="H29" s="15">
        <v>99.8</v>
      </c>
      <c r="I29" s="38">
        <v>8.1999999999999993</v>
      </c>
      <c r="J29" s="30">
        <f>AVERAGE(0.5,0.5,0.49)</f>
        <v>0.49666666666666665</v>
      </c>
      <c r="K29" s="43">
        <v>118.539782632998</v>
      </c>
      <c r="L29" s="43">
        <v>35.863235062531643</v>
      </c>
      <c r="M29" s="43">
        <v>12.555637318173391</v>
      </c>
      <c r="N29" s="43">
        <v>759.61280254887788</v>
      </c>
      <c r="O29" s="43">
        <v>24.310844961918932</v>
      </c>
      <c r="P29" s="43">
        <v>3.4914130722121866</v>
      </c>
      <c r="Q29" s="1">
        <v>1</v>
      </c>
      <c r="R29" s="3" t="s">
        <v>20</v>
      </c>
      <c r="S29" s="16" t="s">
        <v>36</v>
      </c>
    </row>
    <row r="30" spans="1:19" ht="32">
      <c r="A30" s="1" t="s">
        <v>21</v>
      </c>
      <c r="B30" s="3" t="s">
        <v>22</v>
      </c>
      <c r="C30" s="4">
        <v>43032</v>
      </c>
      <c r="D30" s="51">
        <v>0.43055555555555558</v>
      </c>
      <c r="E30" s="15">
        <v>26.9</v>
      </c>
      <c r="F30" s="15">
        <v>33.1</v>
      </c>
      <c r="G30" s="43">
        <v>6.67</v>
      </c>
      <c r="H30" s="15">
        <v>100.9</v>
      </c>
      <c r="I30" s="43">
        <v>8.19</v>
      </c>
      <c r="J30" s="43">
        <f>AVERAGE(6.2,5.87,7.69)</f>
        <v>6.5866666666666669</v>
      </c>
      <c r="K30" s="43">
        <v>82.000419542297209</v>
      </c>
      <c r="L30" s="43">
        <v>12.904387892679893</v>
      </c>
      <c r="M30" s="43">
        <v>10.536399914107397</v>
      </c>
      <c r="N30" s="43">
        <v>419.95672326590864</v>
      </c>
      <c r="O30" s="43">
        <v>17.751846187516414</v>
      </c>
      <c r="P30" s="43">
        <v>12.757788588399748</v>
      </c>
      <c r="Q30" s="1">
        <v>3</v>
      </c>
      <c r="R30" s="3" t="s">
        <v>70</v>
      </c>
      <c r="S30" s="16" t="s">
        <v>69</v>
      </c>
    </row>
    <row r="31" spans="1:19" ht="32">
      <c r="A31" s="1" t="s">
        <v>21</v>
      </c>
      <c r="B31" s="3" t="s">
        <v>22</v>
      </c>
      <c r="C31" s="4">
        <v>43053</v>
      </c>
      <c r="D31" s="51">
        <v>0.41944444444444445</v>
      </c>
      <c r="E31" s="15">
        <v>27.2</v>
      </c>
      <c r="F31" s="15">
        <v>34.5</v>
      </c>
      <c r="G31" s="43">
        <v>6.5</v>
      </c>
      <c r="H31" s="15">
        <v>99.2</v>
      </c>
      <c r="I31" s="43">
        <v>8.1999999999999993</v>
      </c>
      <c r="J31" s="43">
        <f>AVERAGE(1.27,1.2,1.15)</f>
        <v>1.2066666666666666</v>
      </c>
      <c r="K31" s="43">
        <v>75.010468972774703</v>
      </c>
      <c r="L31" s="43">
        <v>15.351574563640002</v>
      </c>
      <c r="M31" s="43">
        <v>6.0207132199949687</v>
      </c>
      <c r="N31" s="43">
        <v>403.40088371965169</v>
      </c>
      <c r="O31" s="43">
        <v>12.171540855071072</v>
      </c>
      <c r="P31" s="43">
        <v>4.3766354822437092</v>
      </c>
      <c r="Q31" s="1">
        <v>1</v>
      </c>
      <c r="R31" s="3" t="s">
        <v>72</v>
      </c>
      <c r="S31" s="16" t="s">
        <v>69</v>
      </c>
    </row>
    <row r="32" spans="1:19" ht="32">
      <c r="A32" s="1" t="s">
        <v>21</v>
      </c>
      <c r="B32" s="3" t="s">
        <v>22</v>
      </c>
      <c r="C32" s="4">
        <v>43074</v>
      </c>
      <c r="D32" s="51">
        <v>0.41041666666666665</v>
      </c>
      <c r="E32" s="15">
        <v>25.1</v>
      </c>
      <c r="F32" s="15">
        <v>33.799999999999997</v>
      </c>
      <c r="G32" s="43">
        <v>6.83</v>
      </c>
      <c r="H32" s="15">
        <v>100</v>
      </c>
      <c r="I32" s="43">
        <v>8.23</v>
      </c>
      <c r="J32" s="43">
        <f>AVERAGE(1.55,1.57, 1.58)</f>
        <v>1.5666666666666667</v>
      </c>
      <c r="K32" s="43"/>
      <c r="O32" s="43"/>
      <c r="P32" s="43"/>
      <c r="Q32" s="1">
        <v>3</v>
      </c>
      <c r="R32" s="3" t="s">
        <v>61</v>
      </c>
      <c r="S32" s="16" t="s">
        <v>69</v>
      </c>
    </row>
    <row r="33" spans="1:19" ht="32">
      <c r="A33" s="1" t="s">
        <v>21</v>
      </c>
      <c r="B33" s="3" t="s">
        <v>22</v>
      </c>
      <c r="C33" s="4">
        <v>43088</v>
      </c>
      <c r="D33" s="51">
        <v>0.4375</v>
      </c>
      <c r="E33" s="54">
        <v>24.9</v>
      </c>
      <c r="F33" s="54">
        <v>33.1</v>
      </c>
      <c r="G33" s="43">
        <v>6.74</v>
      </c>
      <c r="H33" s="54">
        <v>98.5</v>
      </c>
      <c r="I33" s="43">
        <v>8.2100000000000009</v>
      </c>
      <c r="J33" s="43">
        <f>AVERAGE(1.35,1.15,1.14)</f>
        <v>1.2133333333333332</v>
      </c>
      <c r="K33" s="43"/>
      <c r="O33" s="43"/>
      <c r="P33" s="43"/>
      <c r="Q33" s="1">
        <v>1</v>
      </c>
      <c r="R33" s="3" t="s">
        <v>13</v>
      </c>
      <c r="S33" s="16" t="s">
        <v>69</v>
      </c>
    </row>
    <row r="34" spans="1:19" ht="32">
      <c r="A34" s="1" t="s">
        <v>21</v>
      </c>
      <c r="B34" s="3" t="s">
        <v>22</v>
      </c>
      <c r="C34" s="4">
        <v>43109</v>
      </c>
      <c r="D34" s="51">
        <v>0.41875000000000001</v>
      </c>
      <c r="E34" s="54">
        <v>24.9</v>
      </c>
      <c r="F34" s="54">
        <v>33.5</v>
      </c>
      <c r="G34" s="43">
        <v>6.99</v>
      </c>
      <c r="H34" s="54">
        <v>101.6</v>
      </c>
      <c r="I34" s="43">
        <v>8.1999999999999993</v>
      </c>
      <c r="J34" s="43">
        <f>AVERAGE(1.98,2.06,2.02)</f>
        <v>2.02</v>
      </c>
      <c r="K34" s="43"/>
      <c r="O34" s="43"/>
      <c r="P34" s="43"/>
      <c r="Q34" s="1">
        <v>3</v>
      </c>
      <c r="R34" s="3" t="s">
        <v>37</v>
      </c>
      <c r="S34" s="16" t="s">
        <v>69</v>
      </c>
    </row>
    <row r="35" spans="1:19" ht="32">
      <c r="A35" s="1" t="s">
        <v>21</v>
      </c>
      <c r="B35" s="3" t="s">
        <v>22</v>
      </c>
      <c r="C35" s="4">
        <v>43130</v>
      </c>
      <c r="D35" s="51">
        <v>0.43402777777777773</v>
      </c>
      <c r="E35" s="54">
        <v>24.2</v>
      </c>
      <c r="F35" s="54">
        <v>33.200000000000003</v>
      </c>
      <c r="G35" s="43">
        <v>6.84</v>
      </c>
      <c r="H35" s="54">
        <v>99</v>
      </c>
      <c r="I35" s="43">
        <v>8.1999999999999993</v>
      </c>
      <c r="J35" s="43">
        <f>AVERAGE(2.16,2.19,2.22)</f>
        <v>2.19</v>
      </c>
      <c r="K35" s="43"/>
      <c r="O35" s="43"/>
      <c r="P35" s="43"/>
      <c r="Q35" s="1">
        <v>1</v>
      </c>
      <c r="R35" s="3" t="s">
        <v>54</v>
      </c>
      <c r="S35" s="16" t="s">
        <v>69</v>
      </c>
    </row>
    <row r="36" spans="1:19">
      <c r="E36" s="54"/>
      <c r="F36" s="54"/>
      <c r="G36" s="43"/>
      <c r="H36" s="54"/>
      <c r="I36" s="43"/>
      <c r="J36" s="43"/>
      <c r="K36" s="43"/>
      <c r="O36" s="43"/>
      <c r="P36" s="43"/>
    </row>
    <row r="37" spans="1:19">
      <c r="E37" s="54"/>
      <c r="F37" s="54"/>
      <c r="G37" s="43"/>
      <c r="H37" s="54"/>
      <c r="I37" s="43"/>
      <c r="J37" s="43"/>
      <c r="K37" s="43"/>
      <c r="O37" s="43"/>
      <c r="P37" s="43"/>
    </row>
    <row r="42" spans="1:19">
      <c r="J42" s="32">
        <f>GEOMEAN(J2:J39)</f>
        <v>1.4860398564570374</v>
      </c>
      <c r="K42" s="30">
        <f>GEOMEAN(K2:K39)</f>
        <v>87.329419151130651</v>
      </c>
      <c r="L42" s="31">
        <f t="shared" ref="L42:N42" si="0">GEOMEAN(L2:L39)</f>
        <v>17.27380614022815</v>
      </c>
      <c r="M42" s="31">
        <f t="shared" si="0"/>
        <v>10.00403472145749</v>
      </c>
      <c r="N42" s="43">
        <f t="shared" si="0"/>
        <v>553.05002619758829</v>
      </c>
      <c r="O42" s="32">
        <f t="shared" ref="O42:P42" si="1">GEOMEAN(O2:O39)</f>
        <v>18.998997523075285</v>
      </c>
      <c r="P42" s="31">
        <f t="shared" si="1"/>
        <v>2.8969051857989041</v>
      </c>
      <c r="S42" s="16" t="s">
        <v>43</v>
      </c>
    </row>
    <row r="43" spans="1:19">
      <c r="D43" s="51">
        <f>AVERAGE(D2:D39)</f>
        <v>0.39487336601307188</v>
      </c>
      <c r="E43" s="43">
        <f>AVERAGE(E2:E39)</f>
        <v>26.420588235294115</v>
      </c>
      <c r="F43" s="43">
        <f t="shared" ref="F43:H43" si="2">AVERAGE(F2:F39)</f>
        <v>34.035294117647062</v>
      </c>
      <c r="G43" s="43">
        <f t="shared" si="2"/>
        <v>6.5970588235294123</v>
      </c>
      <c r="H43" s="43">
        <f t="shared" si="2"/>
        <v>99.088235294117652</v>
      </c>
      <c r="I43" s="30">
        <f>AVERAGE(I2:I39)</f>
        <v>8.1673529411764694</v>
      </c>
      <c r="J43" s="30">
        <f>AVERAGE(J2:J39)</f>
        <v>1.868137254901961</v>
      </c>
      <c r="K43" s="30">
        <f>AVERAGE(K2:K39)</f>
        <v>89.355056519026803</v>
      </c>
      <c r="L43" s="43">
        <f t="shared" ref="L43:N43" si="3">AVERAGE(L2:L39)</f>
        <v>17.986134215003144</v>
      </c>
      <c r="M43" s="43">
        <f t="shared" si="3"/>
        <v>10.767762068631928</v>
      </c>
      <c r="N43" s="43">
        <f t="shared" si="3"/>
        <v>619.76072954149447</v>
      </c>
      <c r="O43" s="30">
        <f t="shared" ref="O43:P43" si="4">AVERAGE(O2:O39)</f>
        <v>22.402482598452643</v>
      </c>
      <c r="P43" s="30">
        <f t="shared" si="4"/>
        <v>3.7225565173501156</v>
      </c>
      <c r="S43" s="16" t="s">
        <v>44</v>
      </c>
    </row>
    <row r="44" spans="1:19">
      <c r="E44" s="43">
        <f>STDEV(E2:E39)</f>
        <v>1.1782831402702316</v>
      </c>
      <c r="F44" s="43">
        <f t="shared" ref="F44:H44" si="5">STDEV(F2:F39)</f>
        <v>1.4789190059042912</v>
      </c>
      <c r="G44" s="43">
        <f t="shared" si="5"/>
        <v>0.19247242087780744</v>
      </c>
      <c r="H44" s="43">
        <f t="shared" si="5"/>
        <v>2.2735321213025519</v>
      </c>
      <c r="I44" s="30">
        <f>STDEV(I2:I39)</f>
        <v>4.3226592792557694E-2</v>
      </c>
      <c r="J44" s="30">
        <f>STDEV(J2:J39)</f>
        <v>1.3881871013669815</v>
      </c>
      <c r="K44" s="30">
        <f>STDEV(K2:K39)</f>
        <v>20.378010923012923</v>
      </c>
      <c r="L44" s="43">
        <f t="shared" ref="L44:N44" si="6">STDEV(L2:L39)</f>
        <v>5.7260549801163059</v>
      </c>
      <c r="M44" s="43">
        <f t="shared" si="6"/>
        <v>4.8244815842245474</v>
      </c>
      <c r="N44" s="43">
        <f t="shared" si="6"/>
        <v>298.38655893179504</v>
      </c>
      <c r="O44" s="30">
        <f t="shared" ref="O44:P44" si="7">STDEV(O2:O39)</f>
        <v>12.987773453038749</v>
      </c>
      <c r="P44" s="30">
        <f t="shared" si="7"/>
        <v>2.8167565926550906</v>
      </c>
      <c r="S44" s="16" t="s">
        <v>45</v>
      </c>
    </row>
    <row r="46" spans="1:19">
      <c r="J46" s="30">
        <f>J42/0.2</f>
        <v>7.4301992822851863</v>
      </c>
      <c r="K46" s="30">
        <f>K42/110</f>
        <v>0.79390381046482406</v>
      </c>
      <c r="L46" s="43">
        <f>L42/16</f>
        <v>1.0796128837642593</v>
      </c>
      <c r="M46" s="43">
        <f>M42/6</f>
        <v>1.6673391202429151</v>
      </c>
      <c r="N46" s="43">
        <f>N42</f>
        <v>553.05002619758829</v>
      </c>
      <c r="O46" s="30">
        <f>O42/3.5</f>
        <v>5.4282850065929384</v>
      </c>
      <c r="P46" s="30">
        <f>P42/2</f>
        <v>1.4484525928994521</v>
      </c>
      <c r="S46" s="16" t="s">
        <v>46</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39</vt:i4>
      </vt:variant>
    </vt:vector>
  </HeadingPairs>
  <TitlesOfParts>
    <vt:vector size="45" baseType="lpstr">
      <vt:lpstr>Napili</vt:lpstr>
      <vt:lpstr>Pohaku</vt:lpstr>
      <vt:lpstr>Kaanapali Shores</vt:lpstr>
      <vt:lpstr>Airport Beach</vt:lpstr>
      <vt:lpstr>Canoe Beach</vt:lpstr>
      <vt:lpstr>Wahikuli Beach</vt:lpstr>
      <vt:lpstr>RNS turb</vt:lpstr>
      <vt:lpstr>RNS pH</vt:lpstr>
      <vt:lpstr>RNS temp</vt:lpstr>
      <vt:lpstr>RNS Silicates</vt:lpstr>
      <vt:lpstr>RNS Si vs NNN correlation</vt:lpstr>
      <vt:lpstr>RNS Phosphorous</vt:lpstr>
      <vt:lpstr>RNS salinity</vt:lpstr>
      <vt:lpstr>RPO pH</vt:lpstr>
      <vt:lpstr>RPO Silicates</vt:lpstr>
      <vt:lpstr>RPO turb</vt:lpstr>
      <vt:lpstr>RPO temp</vt:lpstr>
      <vt:lpstr>RPO NNN vs Silicates</vt:lpstr>
      <vt:lpstr>RPO TP vs Silicates</vt:lpstr>
      <vt:lpstr>RPO salinity</vt:lpstr>
      <vt:lpstr>RPO salinity vs NNN</vt:lpstr>
      <vt:lpstr>RPO NNN vs. Salinity</vt:lpstr>
      <vt:lpstr>Silicates v Nitrates correlatio</vt:lpstr>
      <vt:lpstr>RKS turb</vt:lpstr>
      <vt:lpstr>RKS pH</vt:lpstr>
      <vt:lpstr>RKS temp</vt:lpstr>
      <vt:lpstr>RKS Salinity</vt:lpstr>
      <vt:lpstr>RKS pH vs Salinity</vt:lpstr>
      <vt:lpstr>RKS Nitrogen vs Silicates</vt:lpstr>
      <vt:lpstr>RAB pH</vt:lpstr>
      <vt:lpstr>RAB turb</vt:lpstr>
      <vt:lpstr>RAB temp</vt:lpstr>
      <vt:lpstr>RAB Nitrogen vs Silicates</vt:lpstr>
      <vt:lpstr>RAB Si NNN Correl</vt:lpstr>
      <vt:lpstr>RCB pH</vt:lpstr>
      <vt:lpstr>RCB turb</vt:lpstr>
      <vt:lpstr>RCB temp</vt:lpstr>
      <vt:lpstr>RCB Nitrogen vs Silicate</vt:lpstr>
      <vt:lpstr>RCB Si NNN Correl</vt:lpstr>
      <vt:lpstr>RWA pH</vt:lpstr>
      <vt:lpstr>RWA turb</vt:lpstr>
      <vt:lpstr>RWA temp</vt:lpstr>
      <vt:lpstr>RWA Nitrogen vs Silicates</vt:lpstr>
      <vt:lpstr>RWA Si NNN Correl</vt:lpstr>
      <vt:lpstr>RWA salinity</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Reed</dc:creator>
  <cp:lastModifiedBy>Dana Reed</cp:lastModifiedBy>
  <dcterms:created xsi:type="dcterms:W3CDTF">2016-07-06T01:43:01Z</dcterms:created>
  <dcterms:modified xsi:type="dcterms:W3CDTF">2018-02-12T06:52:54Z</dcterms:modified>
</cp:coreProperties>
</file>