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68ca2ab686b268a7/Documents/Amethyst IND/Amiga 500/"/>
    </mc:Choice>
  </mc:AlternateContent>
  <xr:revisionPtr revIDLastSave="0" documentId="8_{41D49C30-FED8-4321-BC9C-1BFB3B38236F}" xr6:coauthVersionLast="46" xr6:coauthVersionMax="46" xr10:uidLastSave="{00000000-0000-0000-0000-000000000000}"/>
  <bookViews>
    <workbookView xWindow="3810" yWindow="2055" windowWidth="21600" windowHeight="11385" xr2:uid="{00000000-000D-0000-FFFF-FFFF00000000}"/>
  </bookViews>
  <sheets>
    <sheet name="A500+ BOM" sheetId="1" r:id="rId1"/>
    <sheet name="Change Tracking" sheetId="2" r:id="rId2"/>
  </sheets>
  <calcPr calcId="191029"/>
</workbook>
</file>

<file path=xl/calcChain.xml><?xml version="1.0" encoding="utf-8"?>
<calcChain xmlns="http://schemas.openxmlformats.org/spreadsheetml/2006/main">
  <c r="G109" i="1" l="1"/>
  <c r="G107" i="1"/>
  <c r="G104" i="1"/>
  <c r="G103" i="1"/>
  <c r="G102" i="1"/>
  <c r="G101" i="1"/>
  <c r="G100" i="1"/>
  <c r="G99" i="1"/>
  <c r="G98" i="1"/>
  <c r="G97" i="1"/>
  <c r="G96" i="1"/>
  <c r="G95" i="1"/>
  <c r="G93" i="1"/>
  <c r="G92" i="1"/>
  <c r="G91" i="1"/>
  <c r="G90" i="1"/>
  <c r="G89" i="1"/>
  <c r="G88" i="1"/>
  <c r="G87" i="1"/>
  <c r="G86" i="1"/>
  <c r="G85" i="1"/>
  <c r="G84" i="1"/>
  <c r="G83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5" i="1"/>
  <c r="G64" i="1"/>
  <c r="G63" i="1"/>
  <c r="G62" i="1"/>
  <c r="G60" i="1"/>
  <c r="G59" i="1"/>
  <c r="G58" i="1"/>
  <c r="G57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8" i="1"/>
  <c r="G37" i="1"/>
  <c r="G36" i="1"/>
  <c r="G35" i="1"/>
  <c r="G34" i="1"/>
  <c r="G33" i="1"/>
  <c r="G31" i="1"/>
  <c r="G30" i="1"/>
  <c r="G29" i="1"/>
  <c r="G28" i="1"/>
  <c r="G27" i="1"/>
  <c r="G26" i="1"/>
  <c r="G24" i="1"/>
  <c r="G22" i="1"/>
  <c r="G21" i="1"/>
  <c r="G20" i="1"/>
  <c r="G19" i="1"/>
  <c r="G18" i="1"/>
  <c r="G17" i="1"/>
  <c r="G16" i="1"/>
  <c r="G15" i="1"/>
  <c r="G14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<sst xmlns="http://schemas.openxmlformats.org/spreadsheetml/2006/main" count="464" uniqueCount="439">
  <si>
    <t>No longer editable by Anonymous. Please leave a comment if changes are required. Thanks.</t>
  </si>
  <si>
    <t>Quantity</t>
  </si>
  <si>
    <t>P/N</t>
  </si>
  <si>
    <t>Mouser P/N</t>
  </si>
  <si>
    <t>Board ID</t>
  </si>
  <si>
    <t>Value</t>
  </si>
  <si>
    <t>URL</t>
  </si>
  <si>
    <t>Group</t>
  </si>
  <si>
    <t>Notes</t>
  </si>
  <si>
    <t xml:space="preserve">DSS1NB32A101Q91A </t>
  </si>
  <si>
    <t>81-DSS1NB32A101Q91A</t>
  </si>
  <si>
    <t>E511-E519,E521-E524,E611-E626,E631,E632</t>
  </si>
  <si>
    <t>100pf</t>
  </si>
  <si>
    <t>EMI Capacitors</t>
  </si>
  <si>
    <t xml:space="preserve">DSS1NB32A151Q91A </t>
  </si>
  <si>
    <t xml:space="preserve">
81-DSS1NB32A151Q91A</t>
  </si>
  <si>
    <t>E402,E434,E532,E534</t>
  </si>
  <si>
    <t>150pf</t>
  </si>
  <si>
    <t xml:space="preserve">DSS1NB32A271Q91A </t>
  </si>
  <si>
    <t>81-DSS1NB32A271Q91A</t>
  </si>
  <si>
    <t>E305,E306</t>
  </si>
  <si>
    <t>270pf</t>
  </si>
  <si>
    <t xml:space="preserve">DSS1NB32A471Q91A </t>
  </si>
  <si>
    <t>81-DSS1NB32A471Q91A</t>
  </si>
  <si>
    <t>E415-E417,E425-E427,E441-E444,E520,E531,E533,E535-E538</t>
  </si>
  <si>
    <t>470pf</t>
  </si>
  <si>
    <t xml:space="preserve">DSS1NB32A682Q91A </t>
  </si>
  <si>
    <t>81-DSS1NB32A682Q91A</t>
  </si>
  <si>
    <t>E302,E303,E411-E414,E421-424</t>
  </si>
  <si>
    <t>6800pf</t>
  </si>
  <si>
    <t xml:space="preserve">DSS1NB32A103Q91A </t>
  </si>
  <si>
    <t>81-DSS1NB32A103Q91A</t>
  </si>
  <si>
    <t>E101,E110,E401,E403-E408,E601,E602,E702-E704</t>
  </si>
  <si>
    <t>0.01uF (10000pf)</t>
  </si>
  <si>
    <t xml:space="preserve">BL02RN2R1M2B </t>
  </si>
  <si>
    <t>81-BL02RN2R1M2B</t>
  </si>
  <si>
    <t>E431,E432,E433,E435</t>
  </si>
  <si>
    <t>Ferrite Beads</t>
  </si>
  <si>
    <t>CM4545Z131B-10</t>
  </si>
  <si>
    <t>875-CM4545Z131B-10</t>
  </si>
  <si>
    <t>LF1</t>
  </si>
  <si>
    <t>Line Filter</t>
  </si>
  <si>
    <t>DO NOT USE THE HALO LINE FILTER, USE THIS ONE</t>
  </si>
  <si>
    <t>BEAD/10-600P-02</t>
  </si>
  <si>
    <t>434-BEAD/10-600P-02</t>
  </si>
  <si>
    <t>FB802</t>
  </si>
  <si>
    <t>Ferrite Bead 3A 60Ohm @ 10MHz</t>
  </si>
  <si>
    <t xml:space="preserve">SA105E103MAA </t>
  </si>
  <si>
    <t>581-SA105E103M</t>
  </si>
  <si>
    <t>C7,C8,C10,C12,C15,C32-C37,C39,C308,C701,C713,C800-C803</t>
  </si>
  <si>
    <t>0.01uF (10nF)</t>
  </si>
  <si>
    <t>Multi-layer Ceramic Capacitors</t>
  </si>
  <si>
    <t xml:space="preserve">SA115E334MAR </t>
  </si>
  <si>
    <t>581-SA115E334MAR</t>
  </si>
  <si>
    <t>C1-C6,C9,C11,C13,C14,C16-C20,C40-C42,C301,C302,C305,C325,C335,C501,C502,C804</t>
  </si>
  <si>
    <t>0.33uF (330nF)</t>
  </si>
  <si>
    <t>do not use -MARG bulk from Mouser.</t>
  </si>
  <si>
    <t xml:space="preserve">SA102A220JARN </t>
  </si>
  <si>
    <t>581-SA102A220JARN</t>
  </si>
  <si>
    <t>C911,E666 (don't need C911 if using Epson RTC)</t>
  </si>
  <si>
    <t>22pf</t>
  </si>
  <si>
    <t>SA102A470JAR</t>
  </si>
  <si>
    <t>581-SA102A470JAR</t>
  </si>
  <si>
    <t>E102,E103,E106-E109,E791-E794</t>
  </si>
  <si>
    <t>47pf</t>
  </si>
  <si>
    <t>SA101C102KAN</t>
  </si>
  <si>
    <t>581-SA101C102KAN</t>
  </si>
  <si>
    <t>C411-C413,C421-C423</t>
  </si>
  <si>
    <t>1000pf</t>
  </si>
  <si>
    <t>SA051C392KAA</t>
  </si>
  <si>
    <t>581-SA051C392KAA</t>
  </si>
  <si>
    <t>C323,C333</t>
  </si>
  <si>
    <t>3900pf</t>
  </si>
  <si>
    <t>SA101C682MAA</t>
  </si>
  <si>
    <t>581-SA101C682MAA</t>
  </si>
  <si>
    <t>C322,C332</t>
  </si>
  <si>
    <t>SA105C473KAA</t>
  </si>
  <si>
    <t>581-SA105C473K</t>
  </si>
  <si>
    <t>C311-C314</t>
  </si>
  <si>
    <t>0.047uF</t>
  </si>
  <si>
    <t>SA105E104MAR</t>
  </si>
  <si>
    <t>581-SA105E104MAR</t>
  </si>
  <si>
    <t>C321,C331,C711</t>
  </si>
  <si>
    <t>0.1uF</t>
  </si>
  <si>
    <t xml:space="preserve">TZ03P450FR169 </t>
  </si>
  <si>
    <t>TC9 (Don't need if using Epson RTC. Same with Y9 Crystal)</t>
  </si>
  <si>
    <t>6.8 to 45 pf</t>
  </si>
  <si>
    <t>Trimmer Capacitor</t>
  </si>
  <si>
    <t xml:space="preserve">UMA1C4R7MCD2TP </t>
  </si>
  <si>
    <t>647-UMA1C4R7MCD2TP</t>
  </si>
  <si>
    <t>C913</t>
  </si>
  <si>
    <t>4.7uF</t>
  </si>
  <si>
    <t>Electrolytic Capacitors</t>
  </si>
  <si>
    <t>UVR1H100MDD1TD</t>
  </si>
  <si>
    <t>647-UVR1H100MDD1TD</t>
  </si>
  <si>
    <t>C306,C712</t>
  </si>
  <si>
    <t>10uF</t>
  </si>
  <si>
    <t xml:space="preserve">UVZ1V220MDD1TA </t>
  </si>
  <si>
    <t>647-UVZ1V220MDD1TA</t>
  </si>
  <si>
    <t>C303,C304,C324,C334</t>
  </si>
  <si>
    <t>22uF</t>
  </si>
  <si>
    <t xml:space="preserve">UVR1V470MDD1TA </t>
  </si>
  <si>
    <t>647-UVR1V470MDD1TA</t>
  </si>
  <si>
    <t>C821,C822</t>
  </si>
  <si>
    <t>47uF</t>
  </si>
  <si>
    <t xml:space="preserve">UVR1C101MDD1TD </t>
  </si>
  <si>
    <t>647-UVR1C101MDD1TD</t>
  </si>
  <si>
    <t>C811-C816</t>
  </si>
  <si>
    <t>100uF</t>
  </si>
  <si>
    <t xml:space="preserve">UFW1A102MPD1TD </t>
  </si>
  <si>
    <t>647-UFW1A102MPD1TD</t>
  </si>
  <si>
    <t>C307,C401,C402</t>
  </si>
  <si>
    <t>1000uF</t>
  </si>
  <si>
    <t>4610X-102-390LF</t>
  </si>
  <si>
    <t>652-4610X-2LF-39</t>
  </si>
  <si>
    <t>RP103</t>
  </si>
  <si>
    <t>39 Ohm Isolated</t>
  </si>
  <si>
    <t>Resistor Networks</t>
  </si>
  <si>
    <t>4610X-102-470LF</t>
  </si>
  <si>
    <t>652-4610X-2LF-47</t>
  </si>
  <si>
    <t>RP402,RP403</t>
  </si>
  <si>
    <t>47 Ohm Isolated</t>
  </si>
  <si>
    <t>4610X-102-680LF</t>
  </si>
  <si>
    <t>652-4610X-2LF-68</t>
  </si>
  <si>
    <t>RP201-RP203</t>
  </si>
  <si>
    <t>68 Ohm Isolated</t>
  </si>
  <si>
    <t>4610X-101-471LF</t>
  </si>
  <si>
    <t>652-4610X-1LF-470</t>
  </si>
  <si>
    <t>RP104</t>
  </si>
  <si>
    <t>470 Ohm Bussed</t>
  </si>
  <si>
    <t>4610X-101-472LF</t>
  </si>
  <si>
    <t>652-4610X-1LF-4.7K</t>
  </si>
  <si>
    <t>RP101,RP102,RP401 (RP106,RP107 kick 3.14)</t>
  </si>
  <si>
    <t>4.7k Ohm Bussed</t>
  </si>
  <si>
    <t>4610X-101-103LF</t>
  </si>
  <si>
    <t>652-4610X-1LF-10K</t>
  </si>
  <si>
    <t>RP501</t>
  </si>
  <si>
    <t>10k Ohm Bussed</t>
  </si>
  <si>
    <t>MF1/4DCT52R10R0F</t>
  </si>
  <si>
    <t>660-MF1/4DCT52R10R0F</t>
  </si>
  <si>
    <t>R301,R302</t>
  </si>
  <si>
    <t>10 Ohm</t>
  </si>
  <si>
    <t>1/4 Watt Metal Film Resistors</t>
  </si>
  <si>
    <t>MF1/4DCT52R27R0F</t>
  </si>
  <si>
    <t>660-MF1/4DCT52R27R0F</t>
  </si>
  <si>
    <t>R101,R102</t>
  </si>
  <si>
    <t>27 Ohm</t>
  </si>
  <si>
    <t>MF1/4DCT52R47R0F</t>
  </si>
  <si>
    <t>660-MF1/4DCT52R47R0F</t>
  </si>
  <si>
    <t>R103-R107,R113</t>
  </si>
  <si>
    <t>47 Ohm</t>
  </si>
  <si>
    <t>MF1/4DCT52R68R0F</t>
  </si>
  <si>
    <t>660-MF1/4DCT52R68R0F</t>
  </si>
  <si>
    <t>R109,R111,R112,R114,E104,E105,FB101</t>
  </si>
  <si>
    <t>68 Ohm</t>
  </si>
  <si>
    <t>MF1/4DCT52A1000F</t>
  </si>
  <si>
    <t>660-MF1/4DCT52A1000F</t>
  </si>
  <si>
    <t>R507</t>
  </si>
  <si>
    <t>100 Ohm</t>
  </si>
  <si>
    <t>MF1/4DCT52R1500F</t>
  </si>
  <si>
    <t>660-MF1/4DCT52R1500F</t>
  </si>
  <si>
    <t>R409,FB102</t>
  </si>
  <si>
    <t>150 Ohm</t>
  </si>
  <si>
    <t>MF1/4DC3610F</t>
  </si>
  <si>
    <t>660-MF1/4DC3610F</t>
  </si>
  <si>
    <t>R321,R331</t>
  </si>
  <si>
    <t>361 Ohm</t>
  </si>
  <si>
    <t>Substituted</t>
  </si>
  <si>
    <t>MF1/4DCT52R3900F</t>
  </si>
  <si>
    <t>660-MF1/4DCT52R3900F</t>
  </si>
  <si>
    <t>R325,R335</t>
  </si>
  <si>
    <t>390 Ohm</t>
  </si>
  <si>
    <t>MF1/4DCT52R4700F</t>
  </si>
  <si>
    <t>660-MF1/4DCT52R4700F</t>
  </si>
  <si>
    <t>R911,R913</t>
  </si>
  <si>
    <t>470 Ohm</t>
  </si>
  <si>
    <t>MF1/4DCT52R1001F</t>
  </si>
  <si>
    <t>660-MF1/4DCT52R1001F</t>
  </si>
  <si>
    <t>R191,R192,R303-R305,R324,R334,R713,R915,R916</t>
  </si>
  <si>
    <t>1k Ohm</t>
  </si>
  <si>
    <t>MF1/4DCT52R2701F</t>
  </si>
  <si>
    <t xml:space="preserve">660-MF1/4DCT52R2701F        </t>
  </si>
  <si>
    <t>R307,R502</t>
  </si>
  <si>
    <t>2.7k Ohm</t>
  </si>
  <si>
    <t>MF1/4DCT52R4701F</t>
  </si>
  <si>
    <t>660-MF1/4DCT52R4701F</t>
  </si>
  <si>
    <t>R201,R202,R402-R404,R503,R504</t>
  </si>
  <si>
    <t>4.7k Ohm</t>
  </si>
  <si>
    <t>MF1/4DCT52R1002F</t>
  </si>
  <si>
    <t>660-MF1/4DCT52R1002F</t>
  </si>
  <si>
    <t>R306,R308,R322,R323,R332,R333,R339,R501,R505,R506,R914</t>
  </si>
  <si>
    <t>10k Ohm</t>
  </si>
  <si>
    <t>MF1/4DCT52R4702F</t>
  </si>
  <si>
    <t>660-MF1/4DCT52R4702F</t>
  </si>
  <si>
    <t>R712</t>
  </si>
  <si>
    <t>47k Ohm</t>
  </si>
  <si>
    <t>MF1/4DCT52R4703F</t>
  </si>
  <si>
    <t>660-MF1/4DCT52R4703F</t>
  </si>
  <si>
    <t>R326,R336</t>
  </si>
  <si>
    <t>470k Ohm</t>
  </si>
  <si>
    <t>MF1/4DCT52R1004F</t>
  </si>
  <si>
    <t>660-MF1/4DCT52R1004F</t>
  </si>
  <si>
    <t>R711</t>
  </si>
  <si>
    <t>1M Ohm</t>
  </si>
  <si>
    <t xml:space="preserve">NFR25H0004707JA500 </t>
  </si>
  <si>
    <t>594-NFR25H0004707JA5</t>
  </si>
  <si>
    <t>R405</t>
  </si>
  <si>
    <t>0.47 Ohm</t>
  </si>
  <si>
    <t>1/2 Watt Metal Film Resistors</t>
  </si>
  <si>
    <t>MF1/2DCT52R1R00F</t>
  </si>
  <si>
    <t>660-MF1/2DCT52R1R00F</t>
  </si>
  <si>
    <t>R309</t>
  </si>
  <si>
    <t>1 Ohm</t>
  </si>
  <si>
    <t>MF1/2DCT52R4R75F</t>
  </si>
  <si>
    <t>660-MF1/2DCT52R4R75F</t>
  </si>
  <si>
    <t>R401,R406,R408</t>
  </si>
  <si>
    <t>4.7 Ohm</t>
  </si>
  <si>
    <t>MF1/2DCT52R47R0F</t>
  </si>
  <si>
    <t>660-MF1/2DCT52R47R0F</t>
  </si>
  <si>
    <t>E501-E503</t>
  </si>
  <si>
    <t>J113</t>
  </si>
  <si>
    <t>512-J113</t>
  </si>
  <si>
    <t>Q321,Q331</t>
  </si>
  <si>
    <t>N-Channel J-FET</t>
  </si>
  <si>
    <t>Semiconductors</t>
  </si>
  <si>
    <t>2N3904BU</t>
  </si>
  <si>
    <t>512-2N3904BU</t>
  </si>
  <si>
    <t>Q501,Q711</t>
  </si>
  <si>
    <t>NPN BJT</t>
  </si>
  <si>
    <t>2N3906BU</t>
  </si>
  <si>
    <t>512-2N3906BU</t>
  </si>
  <si>
    <t>Q301,Q502,Q503</t>
  </si>
  <si>
    <t>PNP BJT</t>
  </si>
  <si>
    <t>1N4148</t>
  </si>
  <si>
    <t>512-1N4148</t>
  </si>
  <si>
    <t>D501,D911,D912</t>
  </si>
  <si>
    <t>Switching Diode</t>
  </si>
  <si>
    <t>MC1488N</t>
  </si>
  <si>
    <t>595-MC1488N</t>
  </si>
  <si>
    <t>U38</t>
  </si>
  <si>
    <t>RS232</t>
  </si>
  <si>
    <t>Logic (Excluding Custom Chips)</t>
  </si>
  <si>
    <t>MC1489N</t>
  </si>
  <si>
    <t>595-MC1489N</t>
  </si>
  <si>
    <t>U39</t>
  </si>
  <si>
    <t>TL084 / LF347</t>
  </si>
  <si>
    <t>595-TL084CN</t>
  </si>
  <si>
    <t>U14</t>
  </si>
  <si>
    <t>Op Amp</t>
  </si>
  <si>
    <t>Originally uses LF347, TL084 is cheaper, newer. Can also use the AD713 if you're wanting to spend mega money!</t>
  </si>
  <si>
    <t>NE555P</t>
  </si>
  <si>
    <t>595-NE555P</t>
  </si>
  <si>
    <t>U42</t>
  </si>
  <si>
    <t>Timer</t>
  </si>
  <si>
    <t>SN74F244N</t>
  </si>
  <si>
    <t>595-SN74F244N</t>
  </si>
  <si>
    <t>U35</t>
  </si>
  <si>
    <t>Octal Buffer w/3SO</t>
  </si>
  <si>
    <t>SN74F258N</t>
  </si>
  <si>
    <t>595-SN74F258N</t>
  </si>
  <si>
    <t>U33</t>
  </si>
  <si>
    <t>Quad 2-Input Multiplexer w/3SO</t>
  </si>
  <si>
    <t>SN74ABT244AN</t>
  </si>
  <si>
    <t>595-SN74ABT244AN</t>
  </si>
  <si>
    <t>U10,U12</t>
  </si>
  <si>
    <t>SN74ABT245BN</t>
  </si>
  <si>
    <t>595-SN74ABT245BN</t>
  </si>
  <si>
    <t>U40,U41</t>
  </si>
  <si>
    <t>Octal Bus Transciever w/3SO</t>
  </si>
  <si>
    <t>SN74AHCT139N</t>
  </si>
  <si>
    <t>595-SN74AHCT139N</t>
  </si>
  <si>
    <t>U32</t>
  </si>
  <si>
    <t>Dual 1 of 4 Demultiplexer</t>
  </si>
  <si>
    <t>SN74ABT373N</t>
  </si>
  <si>
    <t>595-SN74ABT373N</t>
  </si>
  <si>
    <t>U11,U13,U34</t>
  </si>
  <si>
    <t>Octal Transparent Latch w/3SO</t>
  </si>
  <si>
    <t>SN74AHCT157N</t>
  </si>
  <si>
    <t>595-SN74AHCT157N</t>
  </si>
  <si>
    <t>U15</t>
  </si>
  <si>
    <t>Quad 2:1 Multiplexer</t>
  </si>
  <si>
    <t>SN74AHCT32N</t>
  </si>
  <si>
    <t>595-SN74AHCT32N</t>
  </si>
  <si>
    <t>U37</t>
  </si>
  <si>
    <t>Quad 2-Input OR Gate</t>
  </si>
  <si>
    <t>CD74ACT05E</t>
  </si>
  <si>
    <t>595-CD74ACT05E</t>
  </si>
  <si>
    <t>U36</t>
  </si>
  <si>
    <t>Hex Inverter w/OCO</t>
  </si>
  <si>
    <t>RTC-72421B</t>
  </si>
  <si>
    <t>732-RTC-72421BR</t>
  </si>
  <si>
    <t>U9</t>
  </si>
  <si>
    <t>RTC Chip</t>
  </si>
  <si>
    <t>Oscillator (PAL)</t>
  </si>
  <si>
    <t>X1</t>
  </si>
  <si>
    <t>28.37516 Mhz</t>
  </si>
  <si>
    <t>535-1107741</t>
  </si>
  <si>
    <t>OSC</t>
  </si>
  <si>
    <t>IC Sockets</t>
  </si>
  <si>
    <t>If using accelerators, don't use due to Z-depth</t>
  </si>
  <si>
    <t>110-99-308-41-001000</t>
  </si>
  <si>
    <t>575-199308</t>
  </si>
  <si>
    <t>8-pin DIP</t>
  </si>
  <si>
    <t>110-47-314-41-001000</t>
  </si>
  <si>
    <t>575-1104731441001000</t>
  </si>
  <si>
    <t>U14, U36-39</t>
  </si>
  <si>
    <t>14-pin DIP</t>
  </si>
  <si>
    <t>110-99-316-41-001000</t>
  </si>
  <si>
    <t>575-199316</t>
  </si>
  <si>
    <t>U15, U32-33</t>
  </si>
  <si>
    <t>16-pin DIP</t>
  </si>
  <si>
    <t>110-44-318-41-001000</t>
  </si>
  <si>
    <t>575-11044318</t>
  </si>
  <si>
    <t>18-pin DIP</t>
  </si>
  <si>
    <t>110-47-320-41-001000</t>
  </si>
  <si>
    <t>575-1104732041001000</t>
  </si>
  <si>
    <t>U10-13, U16-23, U34-35, U40-41</t>
  </si>
  <si>
    <t>20-pin DIP</t>
  </si>
  <si>
    <t>110-99-640-41-001000</t>
  </si>
  <si>
    <t>U7-8</t>
  </si>
  <si>
    <t>40-pin DIP</t>
  </si>
  <si>
    <t>4842-6000-CP</t>
  </si>
  <si>
    <t>517-4842-6000-CP</t>
  </si>
  <si>
    <t>U6</t>
  </si>
  <si>
    <t>42-pin DIP</t>
  </si>
  <si>
    <t>110-43-648-41-001000</t>
  </si>
  <si>
    <t>575-11043648</t>
  </si>
  <si>
    <t>U3-5</t>
  </si>
  <si>
    <t>48-pin DIP</t>
  </si>
  <si>
    <t>110-93-964-41-001000</t>
  </si>
  <si>
    <t>575-193964</t>
  </si>
  <si>
    <t>U1</t>
  </si>
  <si>
    <t>64-pin DIP</t>
  </si>
  <si>
    <t>540-88-084-24-008</t>
  </si>
  <si>
    <t>437-5408808424008</t>
  </si>
  <si>
    <t>U2</t>
  </si>
  <si>
    <t>84-pin PLCC</t>
  </si>
  <si>
    <t>182-009-113R161</t>
  </si>
  <si>
    <t>636-182-009-113R161</t>
  </si>
  <si>
    <t>CN1-CN2</t>
  </si>
  <si>
    <t>DB9 Male</t>
  </si>
  <si>
    <t>Connectors</t>
  </si>
  <si>
    <t>182-025-113R531</t>
  </si>
  <si>
    <t>636-182-025-113R531</t>
  </si>
  <si>
    <t>CN6</t>
  </si>
  <si>
    <t>DB25 Male</t>
  </si>
  <si>
    <t>182-025-213R161</t>
  </si>
  <si>
    <t>636-182-025-213R161</t>
  </si>
  <si>
    <t>CN7</t>
  </si>
  <si>
    <t>DB25 Female</t>
  </si>
  <si>
    <t>PJRAN1X1U03AUX</t>
  </si>
  <si>
    <t>502-PJRAN1X1U03AUX</t>
  </si>
  <si>
    <t>CN3</t>
  </si>
  <si>
    <t>Red Phono</t>
  </si>
  <si>
    <t>PJRAN1X1U02AUX</t>
  </si>
  <si>
    <t>502-PJRAN1X1U02AUX</t>
  </si>
  <si>
    <t>CN4</t>
  </si>
  <si>
    <t>White Phono</t>
  </si>
  <si>
    <t>PJRAN1X1U04AU</t>
  </si>
  <si>
    <t>502-PJRAN1X1U04AU</t>
  </si>
  <si>
    <t>CN10</t>
  </si>
  <si>
    <t>Yellow Phono</t>
  </si>
  <si>
    <t>77313-101-34LF</t>
  </si>
  <si>
    <t>649-77313-101-34LF</t>
  </si>
  <si>
    <t>CN11 (remove pin 3)</t>
  </si>
  <si>
    <t>Floppy Header</t>
  </si>
  <si>
    <t>171825-4</t>
  </si>
  <si>
    <t>571-1718254</t>
  </si>
  <si>
    <t>CN12</t>
  </si>
  <si>
    <t>Floppy Power</t>
  </si>
  <si>
    <t>M20-9990846</t>
  </si>
  <si>
    <t>855-M20-9990846</t>
  </si>
  <si>
    <t>CN13 (remove pin 5)</t>
  </si>
  <si>
    <t>Keyboard Header</t>
  </si>
  <si>
    <t>710-61306421021</t>
  </si>
  <si>
    <t>P9 (trim down replacement to fit)</t>
  </si>
  <si>
    <t>Expansion Header</t>
  </si>
  <si>
    <t>318029-03</t>
  </si>
  <si>
    <t>CIA</t>
  </si>
  <si>
    <t>8520A</t>
  </si>
  <si>
    <t>8362R6</t>
  </si>
  <si>
    <t>Custom Chips</t>
  </si>
  <si>
    <t>318072-01</t>
  </si>
  <si>
    <t>GARY</t>
  </si>
  <si>
    <t>390433-02</t>
  </si>
  <si>
    <t>DENISE</t>
  </si>
  <si>
    <t>8373 R4</t>
  </si>
  <si>
    <t>252127-02</t>
  </si>
  <si>
    <t xml:space="preserve"> </t>
  </si>
  <si>
    <t>PAULA</t>
  </si>
  <si>
    <t>8364 R7</t>
  </si>
  <si>
    <t>318069-18 (PAL)
318069-10 (PAL)
318069-11 (NTSC)
390544-01 (PAL)
390544-02 (NTSC)</t>
  </si>
  <si>
    <t>AGNUS</t>
  </si>
  <si>
    <t>8375 / 8375 R2</t>
  </si>
  <si>
    <t>Document changes here if possible please</t>
  </si>
  <si>
    <t>Date</t>
  </si>
  <si>
    <t>User</t>
  </si>
  <si>
    <t>Changes</t>
  </si>
  <si>
    <t>4th November 2019</t>
  </si>
  <si>
    <t>Rob</t>
  </si>
  <si>
    <t>Initial creation of editable sheet. Made links to only show "Mouser", "eBay" etc.</t>
  </si>
  <si>
    <t>Rob Krenicki</t>
  </si>
  <si>
    <t>Normalized the Resistor part numbers to the same make, series, ratings, physical size.  Added designators for Sockets.  Added part number for expansion header. Added keyboard header.</t>
  </si>
  <si>
    <t>7th November 2019</t>
  </si>
  <si>
    <t>Chrissy</t>
  </si>
  <si>
    <t>Removed E401 from 47pF</t>
  </si>
  <si>
    <t>8th November 2019</t>
  </si>
  <si>
    <t>Moved P/N Next to Qty, added Mouser Part Numbers and tidied up a little</t>
  </si>
  <si>
    <t>12th November 2019</t>
  </si>
  <si>
    <t>Keith M</t>
  </si>
  <si>
    <t>Changed first line of BOM from E511-E519,E521-E524,E621-E626,E631,E632 to E511-E519,E521-E524,E611-E626,E631,E632 because E611 through E620 are also 100pf per silk screen on v21. QTY is correct</t>
  </si>
  <si>
    <t>16th November 2019</t>
  </si>
  <si>
    <t>Removed excess lines from sheet to prevent "infinite scroll", froze top rows, restored accidently overwritten link for Ferrite Beads on line 11</t>
  </si>
  <si>
    <t>25th November 2019</t>
  </si>
  <si>
    <t>added a line to 330nf cap to not use -MARG part. those are prebent to wrong dimensions</t>
  </si>
  <si>
    <t>29th November 2019</t>
  </si>
  <si>
    <t>Removed duplicate U35 reference from line 74 (listed as 74F244 on line 72, and as 74ABT244 on line 74.)</t>
  </si>
  <si>
    <t>30th November 2019</t>
  </si>
  <si>
    <t>Combined C711 in with the line with C321,C331</t>
  </si>
  <si>
    <t>1st December 2019</t>
  </si>
  <si>
    <t>E532 and E534 were omitted as 150pf EMI caps on second line. QTY 4 listed, but only board IDs for 2 were present</t>
  </si>
  <si>
    <t>Mark B</t>
  </si>
  <si>
    <t>Added alternate LF1 (Laird) with 10A rating (fits Halo footprint)</t>
  </si>
  <si>
    <t>paulffgb</t>
  </si>
  <si>
    <t>Added duplicate quantity column, to make mouser bom upload easier</t>
  </si>
  <si>
    <t>6th March 2020</t>
  </si>
  <si>
    <t>LIV2</t>
  </si>
  <si>
    <t>Add part for FB802</t>
  </si>
  <si>
    <t>9th March 2020</t>
  </si>
  <si>
    <t>Updated D-sub connectors to a variant that is in-stock. Updated trimmer capacitor link to an in-stock eBay item as of today. Deleted extra text. Fixed frozen lines.</t>
  </si>
  <si>
    <t>11th March 2020</t>
  </si>
  <si>
    <t>Beltaloada</t>
  </si>
  <si>
    <t>Updated FB802 (line 14) manufacturer's part number was incorrect. Replaced with correct part number as listed by Mouser.</t>
  </si>
  <si>
    <t>Removed excess lines from sheet to prevent "infiniate scroll".. again.</t>
  </si>
  <si>
    <t>9th April 2020</t>
  </si>
  <si>
    <t>Removed "got"s, restored part number for a resistor, removed duplicated sheet, and removed the excess lines for the third time.</t>
  </si>
  <si>
    <t>1st June 2020</t>
  </si>
  <si>
    <t>Restored to April 9th Know Good Copy</t>
  </si>
  <si>
    <t>Added Warnings about cut 'n' paste and deleting things, and to make a copy for own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</si>
</sst>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36">
    <font>
      <sz val="10"/>
      <color rgb="FF000000"/>
      <name val="Arial"/>
    </font>
    <font>
      <b/>
      <sz val="14"/>
      <color rgb="FFFF0000"/>
      <name val="Arial"/>
    </font>
    <font>
      <b/>
      <sz val="10"/>
      <color theme="1"/>
      <name val="Roboto Mono"/>
    </font>
    <font>
      <sz val="10"/>
      <color theme="1"/>
      <name val="Roboto Mono"/>
    </font>
    <font>
      <u/>
      <sz val="10"/>
      <color rgb="FF1155CC"/>
      <name val="Roboto Mono"/>
    </font>
    <font>
      <u/>
      <sz val="10"/>
      <color rgb="FF1155CC"/>
      <name val="Roboto Mono"/>
    </font>
    <font>
      <sz val="10"/>
      <name val="Arial"/>
    </font>
    <font>
      <u/>
      <sz val="10"/>
      <color rgb="FF1155CC"/>
      <name val="Roboto Mono"/>
    </font>
    <font>
      <u/>
      <sz val="10"/>
      <color rgb="FF1155CC"/>
      <name val="Roboto Mono"/>
    </font>
    <font>
      <sz val="10"/>
      <name val="Roboto Mono"/>
    </font>
    <font>
      <u/>
      <sz val="10"/>
      <color rgb="FF1155CC"/>
      <name val="Roboto Mono"/>
    </font>
    <font>
      <u/>
      <sz val="10"/>
      <color rgb="FF1155CC"/>
      <name val="Roboto Mono"/>
    </font>
    <font>
      <u/>
      <sz val="10"/>
      <color rgb="FF1155CC"/>
      <name val="Roboto Mono"/>
    </font>
    <font>
      <u/>
      <sz val="10"/>
      <color rgb="FF1155CC"/>
      <name val="Roboto Mono"/>
    </font>
    <font>
      <u/>
      <sz val="10"/>
      <color rgb="FF1155CC"/>
      <name val="Roboto Mono"/>
    </font>
    <font>
      <u/>
      <sz val="10"/>
      <color rgb="FF1155CC"/>
      <name val="Roboto Mono"/>
    </font>
    <font>
      <u/>
      <sz val="10"/>
      <color rgb="FF1155CC"/>
      <name val="Roboto Mono"/>
    </font>
    <font>
      <u/>
      <sz val="10"/>
      <color rgb="FF1155CC"/>
      <name val="Roboto Mono"/>
    </font>
    <font>
      <u/>
      <sz val="10"/>
      <color rgb="FF1155CC"/>
      <name val="Roboto Mono"/>
    </font>
    <font>
      <u/>
      <sz val="10"/>
      <color rgb="FF1155CC"/>
      <name val="Roboto Mono"/>
    </font>
    <font>
      <u/>
      <sz val="10"/>
      <color rgb="FF1155CC"/>
      <name val="Roboto Mono"/>
    </font>
    <font>
      <u/>
      <sz val="10"/>
      <color rgb="FF1155CC"/>
      <name val="Roboto Mono"/>
    </font>
    <font>
      <u/>
      <sz val="10"/>
      <color rgb="FF1155CC"/>
      <name val="Roboto Mono"/>
    </font>
    <font>
      <u/>
      <sz val="10"/>
      <color rgb="FF1155CC"/>
      <name val="Roboto Mono"/>
    </font>
    <font>
      <u/>
      <sz val="10"/>
      <color rgb="FF1155CC"/>
      <name val="Roboto Mono"/>
    </font>
    <font>
      <u/>
      <sz val="10"/>
      <color rgb="FF1155CC"/>
      <name val="Roboto Mono"/>
    </font>
    <font>
      <u/>
      <sz val="10"/>
      <color rgb="FF1155CC"/>
      <name val="Roboto Mono"/>
    </font>
    <font>
      <u/>
      <sz val="10"/>
      <color rgb="FF1155CC"/>
      <name val="Roboto Mono"/>
    </font>
    <font>
      <u/>
      <sz val="10"/>
      <color rgb="FF1155CC"/>
      <name val="Roboto Mono"/>
    </font>
    <font>
      <u/>
      <sz val="10"/>
      <color rgb="FF1155CC"/>
      <name val="Roboto Mono"/>
    </font>
    <font>
      <u/>
      <sz val="10"/>
      <color rgb="FF1155CC"/>
      <name val="Roboto Mono"/>
    </font>
    <font>
      <u/>
      <sz val="10"/>
      <color rgb="FF1155CC"/>
      <name val="Roboto Mono"/>
    </font>
    <font>
      <sz val="10"/>
      <color rgb="FFFF0000"/>
      <name val="Arial"/>
    </font>
    <font>
      <sz val="10"/>
      <color theme="1"/>
      <name val="Arial"/>
    </font>
    <font>
      <b/>
      <u/>
      <sz val="10"/>
      <color theme="1"/>
      <name val="Arial"/>
    </font>
    <font>
      <b/>
      <u/>
      <sz val="10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</fills>
  <borders count="3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F1C232"/>
      </bottom>
      <diagonal/>
    </border>
    <border>
      <left style="thin">
        <color rgb="FFF1C232"/>
      </left>
      <right/>
      <top/>
      <bottom/>
      <diagonal/>
    </border>
    <border>
      <left/>
      <right style="thin">
        <color rgb="FFF1C232"/>
      </right>
      <top/>
      <bottom/>
      <diagonal/>
    </border>
    <border>
      <left/>
      <right style="thin">
        <color rgb="FFF1C232"/>
      </right>
      <top/>
      <bottom style="thin">
        <color rgb="FFF1C232"/>
      </bottom>
      <diagonal/>
    </border>
    <border>
      <left style="thin">
        <color rgb="FFF1C232"/>
      </left>
      <right/>
      <top/>
      <bottom style="thin">
        <color rgb="FFF1C232"/>
      </bottom>
      <diagonal/>
    </border>
    <border>
      <left/>
      <right/>
      <top/>
      <bottom style="thin">
        <color rgb="FFE69138"/>
      </bottom>
      <diagonal/>
    </border>
    <border>
      <left style="thin">
        <color rgb="FFE69138"/>
      </left>
      <right/>
      <top/>
      <bottom/>
      <diagonal/>
    </border>
    <border>
      <left/>
      <right style="thin">
        <color rgb="FFE69138"/>
      </right>
      <top/>
      <bottom/>
      <diagonal/>
    </border>
    <border>
      <left style="thin">
        <color rgb="FFE69138"/>
      </left>
      <right/>
      <top/>
      <bottom style="thin">
        <color rgb="FFE69138"/>
      </bottom>
      <diagonal/>
    </border>
    <border>
      <left/>
      <right style="thin">
        <color rgb="FFE69138"/>
      </right>
      <top/>
      <bottom style="thin">
        <color rgb="FFE69138"/>
      </bottom>
      <diagonal/>
    </border>
    <border>
      <left/>
      <right/>
      <top/>
      <bottom style="thin">
        <color rgb="FF6AA84F"/>
      </bottom>
      <diagonal/>
    </border>
    <border>
      <left style="thin">
        <color rgb="FF6AA84F"/>
      </left>
      <right/>
      <top/>
      <bottom/>
      <diagonal/>
    </border>
    <border>
      <left/>
      <right style="thin">
        <color rgb="FF6AA84F"/>
      </right>
      <top/>
      <bottom/>
      <diagonal/>
    </border>
    <border>
      <left style="thin">
        <color rgb="FF6AA84F"/>
      </left>
      <right/>
      <top/>
      <bottom style="thin">
        <color rgb="FF6AA84F"/>
      </bottom>
      <diagonal/>
    </border>
    <border>
      <left/>
      <right style="thin">
        <color rgb="FF6AA84F"/>
      </right>
      <top/>
      <bottom style="thin">
        <color rgb="FF6AA84F"/>
      </bottom>
      <diagonal/>
    </border>
    <border>
      <left/>
      <right/>
      <top/>
      <bottom style="thin">
        <color rgb="FFCC0000"/>
      </bottom>
      <diagonal/>
    </border>
    <border>
      <left style="thin">
        <color rgb="FFCC0000"/>
      </left>
      <right/>
      <top/>
      <bottom/>
      <diagonal/>
    </border>
    <border>
      <left/>
      <right style="thin">
        <color rgb="FFCC0000"/>
      </right>
      <top/>
      <bottom/>
      <diagonal/>
    </border>
    <border>
      <left style="thin">
        <color rgb="FFCC0000"/>
      </left>
      <right/>
      <top/>
      <bottom style="thin">
        <color rgb="FFCC0000"/>
      </bottom>
      <diagonal/>
    </border>
    <border>
      <left/>
      <right style="thin">
        <color rgb="FFCC0000"/>
      </right>
      <top/>
      <bottom style="thin">
        <color rgb="FFCC0000"/>
      </bottom>
      <diagonal/>
    </border>
    <border>
      <left/>
      <right/>
      <top/>
      <bottom style="thin">
        <color rgb="FF741B47"/>
      </bottom>
      <diagonal/>
    </border>
    <border>
      <left style="thin">
        <color rgb="FF741B47"/>
      </left>
      <right/>
      <top/>
      <bottom/>
      <diagonal/>
    </border>
    <border>
      <left/>
      <right style="thin">
        <color rgb="FF741B47"/>
      </right>
      <top/>
      <bottom/>
      <diagonal/>
    </border>
    <border>
      <left style="thin">
        <color rgb="FF741B47"/>
      </left>
      <right/>
      <top/>
      <bottom style="thin">
        <color rgb="FF741B47"/>
      </bottom>
      <diagonal/>
    </border>
    <border>
      <left/>
      <right style="thin">
        <color rgb="FF741B47"/>
      </right>
      <top/>
      <bottom style="thin">
        <color rgb="FF741B47"/>
      </bottom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77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0" xfId="0" applyFont="1" applyAlignment="1"/>
    <xf numFmtId="0" fontId="2" fillId="3" borderId="4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/>
    <xf numFmtId="0" fontId="3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3" fillId="0" borderId="0" xfId="0" applyFont="1"/>
    <xf numFmtId="0" fontId="2" fillId="3" borderId="4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3" borderId="5" xfId="0" applyFont="1" applyFill="1" applyBorder="1" applyAlignment="1"/>
    <xf numFmtId="0" fontId="2" fillId="3" borderId="4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3" xfId="0" applyFont="1" applyFill="1" applyBorder="1" applyAlignment="1">
      <alignment horizontal="center"/>
    </xf>
    <xf numFmtId="0" fontId="3" fillId="3" borderId="6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2" fillId="4" borderId="4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/>
    <xf numFmtId="0" fontId="10" fillId="4" borderId="0" xfId="0" applyFont="1" applyFill="1" applyAlignment="1">
      <alignment horizontal="center" wrapText="1"/>
    </xf>
    <xf numFmtId="0" fontId="3" fillId="0" borderId="0" xfId="0" applyFont="1" applyAlignment="1"/>
    <xf numFmtId="0" fontId="2" fillId="4" borderId="4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3" fillId="0" borderId="0" xfId="0" applyFont="1" applyAlignment="1"/>
    <xf numFmtId="0" fontId="2" fillId="4" borderId="4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2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3" fillId="0" borderId="3" xfId="0" applyFont="1" applyBorder="1" applyAlignment="1"/>
    <xf numFmtId="0" fontId="2" fillId="3" borderId="7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/>
    <xf numFmtId="0" fontId="14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5" borderId="4" xfId="0" applyFont="1" applyFill="1" applyBorder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15" fillId="5" borderId="0" xfId="0" applyFont="1" applyFill="1" applyAlignment="1">
      <alignment horizontal="center" wrapText="1"/>
    </xf>
    <xf numFmtId="0" fontId="2" fillId="5" borderId="7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/>
    </xf>
    <xf numFmtId="0" fontId="3" fillId="0" borderId="8" xfId="0" applyFont="1" applyBorder="1" applyAlignment="1"/>
    <xf numFmtId="0" fontId="2" fillId="6" borderId="9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 applyAlignment="1"/>
    <xf numFmtId="0" fontId="17" fillId="6" borderId="0" xfId="0" applyFont="1" applyFill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18" fillId="6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0" xfId="0" applyFont="1" applyFill="1" applyAlignment="1"/>
    <xf numFmtId="0" fontId="3" fillId="7" borderId="0" xfId="0" applyFont="1" applyFill="1" applyAlignment="1">
      <alignment horizontal="center"/>
    </xf>
    <xf numFmtId="0" fontId="19" fillId="7" borderId="0" xfId="0" applyFont="1" applyFill="1" applyAlignment="1">
      <alignment horizontal="center"/>
    </xf>
    <xf numFmtId="0" fontId="2" fillId="7" borderId="9" xfId="0" applyFont="1" applyFill="1" applyBorder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20" fillId="7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2" fillId="7" borderId="11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21" fillId="7" borderId="8" xfId="0" applyFont="1" applyFill="1" applyBorder="1" applyAlignment="1">
      <alignment horizontal="center"/>
    </xf>
    <xf numFmtId="0" fontId="3" fillId="0" borderId="13" xfId="0" applyFont="1" applyBorder="1" applyAlignment="1"/>
    <xf numFmtId="0" fontId="2" fillId="8" borderId="14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3" fillId="8" borderId="0" xfId="0" applyFont="1" applyFill="1" applyAlignment="1"/>
    <xf numFmtId="0" fontId="22" fillId="8" borderId="0" xfId="0" applyFont="1" applyFill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3" fillId="8" borderId="13" xfId="0" applyFont="1" applyFill="1" applyBorder="1" applyAlignment="1">
      <alignment horizontal="center"/>
    </xf>
    <xf numFmtId="0" fontId="23" fillId="8" borderId="13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3" fillId="9" borderId="0" xfId="0" applyFont="1" applyFill="1" applyAlignment="1"/>
    <xf numFmtId="0" fontId="24" fillId="9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25" fillId="9" borderId="13" xfId="0" applyFont="1" applyFill="1" applyBorder="1" applyAlignment="1">
      <alignment horizontal="center"/>
    </xf>
    <xf numFmtId="0" fontId="3" fillId="9" borderId="17" xfId="0" applyFont="1" applyFill="1" applyBorder="1"/>
    <xf numFmtId="0" fontId="3" fillId="0" borderId="0" xfId="0" applyFont="1" applyAlignment="1">
      <alignment horizontal="center"/>
    </xf>
    <xf numFmtId="0" fontId="3" fillId="0" borderId="18" xfId="0" applyFont="1" applyBorder="1" applyAlignment="1"/>
    <xf numFmtId="0" fontId="2" fillId="10" borderId="19" xfId="0" applyFont="1" applyFill="1" applyBorder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 applyAlignment="1"/>
    <xf numFmtId="0" fontId="3" fillId="10" borderId="0" xfId="0" applyFont="1" applyFill="1" applyAlignment="1">
      <alignment horizontal="center"/>
    </xf>
    <xf numFmtId="0" fontId="26" fillId="10" borderId="0" xfId="0" applyFont="1" applyFill="1" applyAlignment="1">
      <alignment horizontal="center"/>
    </xf>
    <xf numFmtId="0" fontId="2" fillId="10" borderId="19" xfId="0" applyFont="1" applyFill="1" applyBorder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 wrapText="1"/>
    </xf>
    <xf numFmtId="0" fontId="27" fillId="10" borderId="0" xfId="0" applyFont="1" applyFill="1" applyAlignment="1">
      <alignment horizontal="center"/>
    </xf>
    <xf numFmtId="0" fontId="2" fillId="10" borderId="19" xfId="0" applyFont="1" applyFill="1" applyBorder="1" applyAlignment="1">
      <alignment horizontal="center"/>
    </xf>
    <xf numFmtId="0" fontId="28" fillId="10" borderId="18" xfId="0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/>
    </xf>
    <xf numFmtId="0" fontId="3" fillId="10" borderId="18" xfId="0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/>
    </xf>
    <xf numFmtId="0" fontId="3" fillId="10" borderId="18" xfId="0" applyFont="1" applyFill="1" applyBorder="1" applyAlignment="1">
      <alignment horizontal="center"/>
    </xf>
    <xf numFmtId="0" fontId="3" fillId="0" borderId="23" xfId="0" applyFont="1" applyBorder="1" applyAlignment="1"/>
    <xf numFmtId="0" fontId="2" fillId="11" borderId="24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3" fillId="11" borderId="0" xfId="0" applyFont="1" applyFill="1" applyAlignment="1"/>
    <xf numFmtId="0" fontId="2" fillId="11" borderId="24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29" fillId="11" borderId="0" xfId="0" applyFont="1" applyFill="1" applyAlignment="1">
      <alignment horizontal="center"/>
    </xf>
    <xf numFmtId="0" fontId="2" fillId="11" borderId="24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2" fillId="11" borderId="24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2" fillId="11" borderId="26" xfId="0" applyFont="1" applyFill="1" applyBorder="1" applyAlignment="1">
      <alignment horizontal="center"/>
    </xf>
    <xf numFmtId="0" fontId="3" fillId="11" borderId="23" xfId="0" applyFont="1" applyFill="1" applyBorder="1" applyAlignment="1">
      <alignment horizontal="center"/>
    </xf>
    <xf numFmtId="0" fontId="2" fillId="11" borderId="26" xfId="0" applyFont="1" applyFill="1" applyBorder="1" applyAlignment="1">
      <alignment horizontal="center"/>
    </xf>
    <xf numFmtId="0" fontId="3" fillId="11" borderId="23" xfId="0" applyFont="1" applyFill="1" applyBorder="1" applyAlignment="1">
      <alignment horizontal="center"/>
    </xf>
    <xf numFmtId="0" fontId="3" fillId="0" borderId="28" xfId="0" applyFont="1" applyBorder="1" applyAlignment="1"/>
    <xf numFmtId="0" fontId="2" fillId="2" borderId="29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0" fillId="2" borderId="0" xfId="0" applyFont="1" applyFill="1" applyAlignment="1">
      <alignment horizontal="center"/>
    </xf>
    <xf numFmtId="0" fontId="31" fillId="2" borderId="0" xfId="0" applyFont="1" applyFill="1" applyAlignment="1">
      <alignment horizontal="center"/>
    </xf>
    <xf numFmtId="0" fontId="2" fillId="2" borderId="31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8" xfId="0" applyFont="1" applyFill="1" applyBorder="1" applyAlignment="1"/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wrapText="1"/>
    </xf>
    <xf numFmtId="0" fontId="34" fillId="0" borderId="0" xfId="0" applyFont="1" applyAlignment="1">
      <alignment vertical="center"/>
    </xf>
    <xf numFmtId="0" fontId="35" fillId="0" borderId="0" xfId="0" applyFont="1" applyAlignment="1">
      <alignment wrapText="1"/>
    </xf>
    <xf numFmtId="0" fontId="33" fillId="0" borderId="0" xfId="0" applyFont="1" applyAlignment="1">
      <alignment vertical="center"/>
    </xf>
    <xf numFmtId="0" fontId="33" fillId="0" borderId="0" xfId="0" applyFont="1" applyAlignment="1">
      <alignment wrapText="1"/>
    </xf>
    <xf numFmtId="164" fontId="33" fillId="0" borderId="0" xfId="0" applyNumberFormat="1" applyFont="1" applyAlignment="1">
      <alignment horizontal="left" vertical="center"/>
    </xf>
    <xf numFmtId="0" fontId="3" fillId="8" borderId="15" xfId="0" applyFont="1" applyFill="1" applyBorder="1" applyAlignment="1">
      <alignment horizontal="center" vertical="center"/>
    </xf>
    <xf numFmtId="0" fontId="6" fillId="0" borderId="15" xfId="0" applyFont="1" applyBorder="1"/>
    <xf numFmtId="0" fontId="6" fillId="0" borderId="17" xfId="0" applyFont="1" applyBorder="1"/>
    <xf numFmtId="0" fontId="3" fillId="9" borderId="15" xfId="0" applyFont="1" applyFill="1" applyBorder="1" applyAlignment="1">
      <alignment horizontal="center" vertical="center" wrapText="1"/>
    </xf>
    <xf numFmtId="0" fontId="3" fillId="10" borderId="20" xfId="0" applyFont="1" applyFill="1" applyBorder="1" applyAlignment="1">
      <alignment horizontal="center" vertical="center"/>
    </xf>
    <xf numFmtId="0" fontId="6" fillId="0" borderId="20" xfId="0" applyFont="1" applyBorder="1"/>
    <xf numFmtId="0" fontId="6" fillId="0" borderId="22" xfId="0" applyFont="1" applyBorder="1"/>
    <xf numFmtId="0" fontId="3" fillId="11" borderId="25" xfId="0" applyFont="1" applyFill="1" applyBorder="1" applyAlignment="1">
      <alignment horizontal="center" vertical="center"/>
    </xf>
    <xf numFmtId="0" fontId="6" fillId="0" borderId="25" xfId="0" applyFont="1" applyBorder="1"/>
    <xf numFmtId="0" fontId="6" fillId="0" borderId="27" xfId="0" applyFont="1" applyBorder="1"/>
    <xf numFmtId="0" fontId="3" fillId="2" borderId="30" xfId="0" applyFont="1" applyFill="1" applyBorder="1" applyAlignment="1">
      <alignment horizontal="center" vertical="center"/>
    </xf>
    <xf numFmtId="0" fontId="6" fillId="0" borderId="30" xfId="0" applyFont="1" applyBorder="1"/>
    <xf numFmtId="0" fontId="6" fillId="0" borderId="32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3" borderId="5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3" fillId="4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12" xfId="0" applyFont="1" applyBorder="1"/>
    <xf numFmtId="0" fontId="3" fillId="7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2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4.42578125" defaultRowHeight="15.75" customHeight="1"/>
  <cols>
    <col min="1" max="1" width="10" customWidth="1"/>
    <col min="2" max="2" width="23.42578125" customWidth="1"/>
    <col min="3" max="3" width="24.5703125" customWidth="1"/>
    <col min="4" max="4" width="10.85546875" customWidth="1"/>
    <col min="5" max="5" width="65.7109375" customWidth="1"/>
    <col min="6" max="6" width="35.85546875" customWidth="1"/>
    <col min="7" max="7" width="10" customWidth="1"/>
    <col min="8" max="8" width="26.7109375" customWidth="1"/>
    <col min="9" max="9" width="122.7109375" customWidth="1"/>
  </cols>
  <sheetData>
    <row r="1" spans="1:9" ht="15.75" customHeight="1">
      <c r="A1" s="166" t="s">
        <v>0</v>
      </c>
      <c r="B1" s="167"/>
      <c r="C1" s="167"/>
      <c r="D1" s="167"/>
      <c r="E1" s="167"/>
      <c r="F1" s="167"/>
      <c r="G1" s="167"/>
    </row>
    <row r="2" spans="1:9">
      <c r="A2" s="1" t="s">
        <v>1</v>
      </c>
      <c r="B2" s="1" t="s">
        <v>2</v>
      </c>
      <c r="C2" s="2" t="s">
        <v>3</v>
      </c>
      <c r="D2" s="2" t="s">
        <v>1</v>
      </c>
      <c r="E2" s="2" t="s">
        <v>4</v>
      </c>
      <c r="F2" s="1" t="s">
        <v>5</v>
      </c>
      <c r="G2" s="1" t="s">
        <v>6</v>
      </c>
      <c r="H2" s="3" t="s">
        <v>7</v>
      </c>
      <c r="I2" s="1" t="s">
        <v>8</v>
      </c>
    </row>
    <row r="3" spans="1:9">
      <c r="A3" s="4"/>
      <c r="B3" s="4"/>
      <c r="C3" s="4"/>
      <c r="D3" s="4"/>
      <c r="E3" s="4"/>
      <c r="F3" s="4"/>
      <c r="G3" s="4"/>
      <c r="H3" s="4"/>
      <c r="I3" s="5"/>
    </row>
    <row r="4" spans="1:9">
      <c r="A4" s="6">
        <v>31</v>
      </c>
      <c r="B4" s="7" t="s">
        <v>9</v>
      </c>
      <c r="C4" s="8" t="s">
        <v>10</v>
      </c>
      <c r="D4" s="6">
        <v>31</v>
      </c>
      <c r="E4" s="9" t="s">
        <v>11</v>
      </c>
      <c r="F4" s="7" t="s">
        <v>12</v>
      </c>
      <c r="G4" s="10" t="str">
        <f>HYPERLINK("https://www.mouser.co.uk/ProductDetail/81-DSS1NB32A101Q91A","Mouser")</f>
        <v>Mouser</v>
      </c>
      <c r="H4" s="168" t="s">
        <v>13</v>
      </c>
      <c r="I4" s="11"/>
    </row>
    <row r="5" spans="1:9">
      <c r="A5" s="12">
        <v>4</v>
      </c>
      <c r="B5" s="13" t="s">
        <v>14</v>
      </c>
      <c r="C5" s="8" t="s">
        <v>15</v>
      </c>
      <c r="D5" s="12">
        <v>4</v>
      </c>
      <c r="E5" s="14" t="s">
        <v>16</v>
      </c>
      <c r="F5" s="13" t="s">
        <v>17</v>
      </c>
      <c r="G5" s="15" t="str">
        <f>HYPERLINK("https://www.mouser.co.uk/ProductDetail/Murata-Electronics/DSS1NB32A151Q91A?qs=0Ys4hG7ORMfIqh9pEXF3Qg%3D%3D","Mouser")</f>
        <v>Mouser</v>
      </c>
      <c r="H5" s="169"/>
      <c r="I5" s="5"/>
    </row>
    <row r="6" spans="1:9">
      <c r="A6" s="12">
        <v>2</v>
      </c>
      <c r="B6" s="13" t="s">
        <v>18</v>
      </c>
      <c r="C6" s="8" t="s">
        <v>19</v>
      </c>
      <c r="D6" s="12">
        <v>2</v>
      </c>
      <c r="E6" s="13" t="s">
        <v>20</v>
      </c>
      <c r="F6" s="13" t="s">
        <v>21</v>
      </c>
      <c r="G6" s="15" t="str">
        <f>HYPERLINK("https://www.mouser.co.uk/ProductDetail/Murata-Electronics/DSS1NB32A271Q91A?qs=sGAEpiMZZMsFjaecyxH1mx6l0J9iAOtyVRV%252BvTeltWc416%2FtV58Y7w%3D%3D","Mouser")</f>
        <v>Mouser</v>
      </c>
      <c r="H6" s="169"/>
      <c r="I6" s="5"/>
    </row>
    <row r="7" spans="1:9">
      <c r="A7" s="6">
        <v>17</v>
      </c>
      <c r="B7" s="7" t="s">
        <v>22</v>
      </c>
      <c r="C7" s="8" t="s">
        <v>23</v>
      </c>
      <c r="D7" s="6">
        <v>17</v>
      </c>
      <c r="E7" s="7" t="s">
        <v>24</v>
      </c>
      <c r="F7" s="7" t="s">
        <v>25</v>
      </c>
      <c r="G7" s="10" t="str">
        <f>HYPERLINK("https://www.mouser.co.uk/ProductDetail/Murata-Electronics/DSS1NB32A471Q91A?qs=sGAEpiMZZMsFjaecyxH1mx6l0J9iAOtySvZBd%252Bkxx7hVHdCj8lirQQ%3D%3D","Mouser")</f>
        <v>Mouser</v>
      </c>
      <c r="H7" s="169"/>
      <c r="I7" s="11"/>
    </row>
    <row r="8" spans="1:9">
      <c r="A8" s="6">
        <v>10</v>
      </c>
      <c r="B8" s="7" t="s">
        <v>26</v>
      </c>
      <c r="C8" s="8" t="s">
        <v>27</v>
      </c>
      <c r="D8" s="6">
        <v>10</v>
      </c>
      <c r="E8" s="7" t="s">
        <v>28</v>
      </c>
      <c r="F8" s="7" t="s">
        <v>29</v>
      </c>
      <c r="G8" s="10" t="str">
        <f>HYPERLINK("https://www.mouser.co.uk/ProductDetail/Murata-Electronics/DSS1NB32A682Q91A?qs=sGAEpiMZZMsFjaecyxH1mx6l0J9iAOtyNbd%252BsH0oMaknZH8ymSV%252BIQ%3D%3D","Mouser")</f>
        <v>Mouser</v>
      </c>
      <c r="H8" s="169"/>
      <c r="I8" s="11"/>
    </row>
    <row r="9" spans="1:9">
      <c r="A9" s="6">
        <v>14</v>
      </c>
      <c r="B9" s="7" t="s">
        <v>30</v>
      </c>
      <c r="C9" s="16" t="s">
        <v>31</v>
      </c>
      <c r="D9" s="6">
        <v>14</v>
      </c>
      <c r="E9" s="7" t="s">
        <v>32</v>
      </c>
      <c r="F9" s="9" t="s">
        <v>33</v>
      </c>
      <c r="G9" s="10" t="str">
        <f>HYPERLINK("https://www.mouser.co.uk/ProductDetail/Murata-Electronics/DSS1NB32A103Q91A?qs=sGAEpiMZZMsFjaecyxH1mx6l0J9iAOtyPZiGLbBVzRJfjRYZCvzpAg%3D%3D","Mouser")</f>
        <v>Mouser</v>
      </c>
      <c r="H9" s="169"/>
      <c r="I9" s="11"/>
    </row>
    <row r="10" spans="1:9">
      <c r="A10" s="17">
        <v>4</v>
      </c>
      <c r="B10" s="18" t="s">
        <v>34</v>
      </c>
      <c r="C10" s="16" t="s">
        <v>35</v>
      </c>
      <c r="D10" s="19">
        <v>4</v>
      </c>
      <c r="E10" s="7" t="s">
        <v>36</v>
      </c>
      <c r="F10" s="20" t="s">
        <v>37</v>
      </c>
      <c r="G10" s="10" t="str">
        <f>HYPERLINK("https://www.mouser.com/ProductDetail/Murata-Electronics/BL02RN2R1M2B?qs=sGAEpiMZZMtdyQheitOmRVDURQLs966niIK4KL8SB9Q%3D","Mouser")</f>
        <v>Mouser</v>
      </c>
      <c r="H10" s="169"/>
      <c r="I10" s="11"/>
    </row>
    <row r="11" spans="1:9">
      <c r="A11" s="21">
        <v>1</v>
      </c>
      <c r="B11" s="14" t="s">
        <v>38</v>
      </c>
      <c r="C11" s="16" t="s">
        <v>39</v>
      </c>
      <c r="D11" s="21">
        <v>1</v>
      </c>
      <c r="E11" s="14" t="s">
        <v>40</v>
      </c>
      <c r="F11" s="14" t="s">
        <v>41</v>
      </c>
      <c r="G11" s="22" t="str">
        <f>HYPERLINK("https://www.mouser.co.uk/ProductDetail/Laird-Performance-Materials/CM4545Z131B-10?qs=%2Fha2pyFadug6QciG1Q0s0BUOzXy5UFCc4Yv0clGRWR4gQxk9UV5BsQ%3D%3D","Mouser")</f>
        <v>Mouser</v>
      </c>
      <c r="H11" s="169"/>
      <c r="I11" s="23" t="s">
        <v>42</v>
      </c>
    </row>
    <row r="12" spans="1:9">
      <c r="A12" s="24">
        <v>1</v>
      </c>
      <c r="B12" s="14" t="s">
        <v>43</v>
      </c>
      <c r="C12" s="25" t="s">
        <v>44</v>
      </c>
      <c r="D12" s="24">
        <v>1</v>
      </c>
      <c r="E12" s="26" t="s">
        <v>45</v>
      </c>
      <c r="F12" s="26" t="s">
        <v>46</v>
      </c>
      <c r="G12" s="27" t="str">
        <f>HYPERLINK("https://www.mouser.com/ProductDetail/434-BEAD-10-600P-02","Mouser")</f>
        <v>Mouser</v>
      </c>
      <c r="H12" s="170"/>
      <c r="I12" s="28"/>
    </row>
    <row r="13" spans="1:9">
      <c r="A13" s="4"/>
      <c r="B13" s="4"/>
      <c r="C13" s="4"/>
      <c r="D13" s="4"/>
      <c r="E13" s="4"/>
      <c r="F13" s="4"/>
      <c r="G13" s="4"/>
      <c r="H13" s="4"/>
      <c r="I13" s="5"/>
    </row>
    <row r="14" spans="1:9">
      <c r="A14" s="29">
        <v>19</v>
      </c>
      <c r="B14" s="30" t="s">
        <v>47</v>
      </c>
      <c r="C14" s="31" t="s">
        <v>48</v>
      </c>
      <c r="D14" s="29">
        <v>19</v>
      </c>
      <c r="E14" s="30" t="s">
        <v>49</v>
      </c>
      <c r="F14" s="30" t="s">
        <v>50</v>
      </c>
      <c r="G14" s="32" t="str">
        <f>HYPERLINK("https://www.mouser.co.uk/ProductDetail/AVX/SA105E103MAA?qs=sGAEpiMZZMvsSlwiRhF8qvcZFLKdtpl4mhSMqOc%252Bafk%3D","Mouser")</f>
        <v>Mouser</v>
      </c>
      <c r="H14" s="171" t="s">
        <v>51</v>
      </c>
      <c r="I14" s="11"/>
    </row>
    <row r="15" spans="1:9">
      <c r="A15" s="29">
        <v>26</v>
      </c>
      <c r="B15" s="30" t="s">
        <v>52</v>
      </c>
      <c r="C15" s="31" t="s">
        <v>53</v>
      </c>
      <c r="D15" s="29">
        <v>26</v>
      </c>
      <c r="E15" s="30" t="s">
        <v>54</v>
      </c>
      <c r="F15" s="30" t="s">
        <v>55</v>
      </c>
      <c r="G15" s="32" t="str">
        <f>HYPERLINK("https://www.mouser.co.uk/ProductDetail/AVX/SA115E334MAR?qs=sGAEpiMZZMvsSlwiRhF8qskMh2CTL3RKUiTgMU2t9io%3D","Mouser")</f>
        <v>Mouser</v>
      </c>
      <c r="H15" s="169"/>
      <c r="I15" s="33" t="s">
        <v>56</v>
      </c>
    </row>
    <row r="16" spans="1:9">
      <c r="A16" s="34">
        <v>2</v>
      </c>
      <c r="B16" s="35" t="s">
        <v>57</v>
      </c>
      <c r="C16" s="31" t="s">
        <v>58</v>
      </c>
      <c r="D16" s="34">
        <v>2</v>
      </c>
      <c r="E16" s="35" t="s">
        <v>59</v>
      </c>
      <c r="F16" s="35" t="s">
        <v>60</v>
      </c>
      <c r="G16" s="36" t="str">
        <f>HYPERLINK("https://www.mouser.co.uk/ProductDetail/AVX/SA102A220JARN?qs=sGAEpiMZZMvsSlwiRhF8qkfYyLYp4REgD9gbfwIHib4%3D","Mouser")</f>
        <v>Mouser</v>
      </c>
      <c r="H16" s="169"/>
      <c r="I16" s="37"/>
    </row>
    <row r="17" spans="1:9">
      <c r="A17" s="38">
        <v>10</v>
      </c>
      <c r="B17" s="39" t="s">
        <v>61</v>
      </c>
      <c r="C17" s="31" t="s">
        <v>62</v>
      </c>
      <c r="D17" s="38">
        <v>10</v>
      </c>
      <c r="E17" s="39" t="s">
        <v>63</v>
      </c>
      <c r="F17" s="30" t="s">
        <v>64</v>
      </c>
      <c r="G17" s="32" t="str">
        <f>HYPERLINK("https://www.mouser.co.uk/ProductDetail/581-SA102A470JAR","Mouser")</f>
        <v>Mouser</v>
      </c>
      <c r="H17" s="169"/>
      <c r="I17" s="11"/>
    </row>
    <row r="18" spans="1:9">
      <c r="A18" s="29">
        <v>6</v>
      </c>
      <c r="B18" s="30" t="s">
        <v>65</v>
      </c>
      <c r="C18" s="31" t="s">
        <v>66</v>
      </c>
      <c r="D18" s="29">
        <v>6</v>
      </c>
      <c r="E18" s="30" t="s">
        <v>67</v>
      </c>
      <c r="F18" s="30" t="s">
        <v>68</v>
      </c>
      <c r="G18" s="32" t="str">
        <f>HYPERLINK("https://www.mouser.co.uk/ProductDetail/AVX/SA101C102KAN?qs=sGAEpiMZZMvsSlwiRhF8qksPKdPUKV45sxG0C9yJ9zs%3D","Mouser")</f>
        <v>Mouser</v>
      </c>
      <c r="H18" s="169"/>
      <c r="I18" s="11"/>
    </row>
    <row r="19" spans="1:9">
      <c r="A19" s="34">
        <v>2</v>
      </c>
      <c r="B19" s="35" t="s">
        <v>69</v>
      </c>
      <c r="C19" s="31" t="s">
        <v>70</v>
      </c>
      <c r="D19" s="34">
        <v>2</v>
      </c>
      <c r="E19" s="35" t="s">
        <v>71</v>
      </c>
      <c r="F19" s="35" t="s">
        <v>72</v>
      </c>
      <c r="G19" s="36" t="str">
        <f>HYPERLINK("https://www.mouser.co.uk/ProductDetail/AVX/SA051C392KAA?qs=sGAEpiMZZMvsSlwiRhF8qkfYyLYp4REgWNToQq5Tl%252B0%3D","Mouser")</f>
        <v>Mouser</v>
      </c>
      <c r="H19" s="169"/>
      <c r="I19" s="5"/>
    </row>
    <row r="20" spans="1:9">
      <c r="A20" s="34">
        <v>2</v>
      </c>
      <c r="B20" s="35" t="s">
        <v>73</v>
      </c>
      <c r="C20" s="31" t="s">
        <v>74</v>
      </c>
      <c r="D20" s="34">
        <v>2</v>
      </c>
      <c r="E20" s="35" t="s">
        <v>75</v>
      </c>
      <c r="F20" s="35" t="s">
        <v>29</v>
      </c>
      <c r="G20" s="36" t="str">
        <f>HYPERLINK("https://www.mouser.co.uk/ProductDetail/AVX/SA101C682MAA?qs=sGAEpiMZZMvsSlwiRhF8qkfYyLYp4REg80r1rqk21lM%3D","Mouser")</f>
        <v>Mouser</v>
      </c>
      <c r="H20" s="169"/>
      <c r="I20" s="5"/>
    </row>
    <row r="21" spans="1:9">
      <c r="A21" s="34">
        <v>4</v>
      </c>
      <c r="B21" s="35" t="s">
        <v>76</v>
      </c>
      <c r="C21" s="31" t="s">
        <v>77</v>
      </c>
      <c r="D21" s="34">
        <v>4</v>
      </c>
      <c r="E21" s="35" t="s">
        <v>78</v>
      </c>
      <c r="F21" s="35" t="s">
        <v>79</v>
      </c>
      <c r="G21" s="36" t="str">
        <f>HYPERLINK("https://www.mouser.co.uk/ProductDetail/AVX/SA105C473KAA?qs=sGAEpiMZZMvsSlwiRhF8qvcZFLKdtpl4C42%2FMT5qXDM%3D","Mouser")</f>
        <v>Mouser</v>
      </c>
      <c r="H21" s="169"/>
      <c r="I21" s="5"/>
    </row>
    <row r="22" spans="1:9">
      <c r="A22" s="40">
        <v>3</v>
      </c>
      <c r="B22" s="41" t="s">
        <v>80</v>
      </c>
      <c r="C22" s="31" t="s">
        <v>81</v>
      </c>
      <c r="D22" s="40">
        <v>3</v>
      </c>
      <c r="E22" s="41" t="s">
        <v>82</v>
      </c>
      <c r="F22" s="42" t="s">
        <v>83</v>
      </c>
      <c r="G22" s="43" t="str">
        <f>HYPERLINK("https://www.mouser.co.uk/ProductDetail/AVX/SA105E104MAA?qs=sGAEpiMZZMvsSlwiRhF8qvcZFLKdtpl4nwxJI8oKf7A%3D","Mouser")</f>
        <v>Mouser</v>
      </c>
      <c r="H22" s="170"/>
      <c r="I22" s="5"/>
    </row>
    <row r="23" spans="1:9">
      <c r="A23" s="4"/>
      <c r="B23" s="4"/>
      <c r="C23" s="4"/>
      <c r="D23" s="4"/>
      <c r="E23" s="44"/>
      <c r="F23" s="4"/>
      <c r="G23" s="4"/>
      <c r="H23" s="4"/>
      <c r="I23" s="5"/>
    </row>
    <row r="24" spans="1:9">
      <c r="A24" s="45">
        <v>1</v>
      </c>
      <c r="B24" s="46" t="s">
        <v>84</v>
      </c>
      <c r="C24" s="46"/>
      <c r="D24" s="45">
        <v>1</v>
      </c>
      <c r="E24" s="46" t="s">
        <v>85</v>
      </c>
      <c r="F24" s="46" t="s">
        <v>86</v>
      </c>
      <c r="G24" s="47" t="str">
        <f>HYPERLINK("https://www.ebay.com/itm/293338954991","eBay")</f>
        <v>eBay</v>
      </c>
      <c r="H24" s="48" t="s">
        <v>87</v>
      </c>
      <c r="I24" s="23"/>
    </row>
    <row r="25" spans="1:9">
      <c r="A25" s="4"/>
      <c r="B25" s="4"/>
      <c r="C25" s="4"/>
      <c r="D25" s="4"/>
      <c r="E25" s="4"/>
      <c r="F25" s="4"/>
      <c r="G25" s="4"/>
      <c r="H25" s="4"/>
      <c r="I25" s="5"/>
    </row>
    <row r="26" spans="1:9">
      <c r="A26" s="49">
        <v>1</v>
      </c>
      <c r="B26" s="50" t="s">
        <v>88</v>
      </c>
      <c r="C26" s="51" t="s">
        <v>89</v>
      </c>
      <c r="D26" s="49">
        <v>1</v>
      </c>
      <c r="E26" s="50" t="s">
        <v>90</v>
      </c>
      <c r="F26" s="50" t="s">
        <v>91</v>
      </c>
      <c r="G26" s="52" t="str">
        <f>HYPERLINK("https://www.mouser.co.uk/ProductDetail/Nichicon/UMA1C4R7MCD2TP?qs=sGAEpiMZZMtZ1n0r9vR22SMYX67SZ2TeKMmSXlWYIcw%3D","Mouser")</f>
        <v>Mouser</v>
      </c>
      <c r="H26" s="172" t="s">
        <v>92</v>
      </c>
      <c r="I26" s="5"/>
    </row>
    <row r="27" spans="1:9" ht="12.75">
      <c r="A27" s="49">
        <v>2</v>
      </c>
      <c r="B27" s="50" t="s">
        <v>93</v>
      </c>
      <c r="C27" s="51" t="s">
        <v>94</v>
      </c>
      <c r="D27" s="49">
        <v>2</v>
      </c>
      <c r="E27" s="53" t="s">
        <v>95</v>
      </c>
      <c r="F27" s="50" t="s">
        <v>96</v>
      </c>
      <c r="G27" s="52" t="str">
        <f>HYPERLINK("https://www.mouser.co.uk/ProductDetail/Nichicon/UVR1H100MDD1TD?qs=sGAEpiMZZMtZ1n0r9vR22afkwEr%252BqyzvgCBm1fbQtdA%3D","Mouser")</f>
        <v>Mouser</v>
      </c>
      <c r="H27" s="169"/>
      <c r="I27" s="5"/>
    </row>
    <row r="28" spans="1:9" ht="12.75">
      <c r="A28" s="54">
        <v>4</v>
      </c>
      <c r="B28" s="55" t="s">
        <v>97</v>
      </c>
      <c r="C28" s="51" t="s">
        <v>98</v>
      </c>
      <c r="D28" s="54">
        <v>4</v>
      </c>
      <c r="E28" s="55" t="s">
        <v>99</v>
      </c>
      <c r="F28" s="55" t="s">
        <v>100</v>
      </c>
      <c r="G28" s="56" t="str">
        <f>HYPERLINK("https://www.mouser.co.uk/ProductDetail/Nichicon/UVZ1V220MDD1TA?qs=sGAEpiMZZMsh%252B1woXyUXj0eXoBue%252Ba3u%2FG9dd4k7TW0%3D","Mouser")</f>
        <v>Mouser</v>
      </c>
      <c r="H28" s="169"/>
      <c r="I28" s="11"/>
    </row>
    <row r="29" spans="1:9" ht="12.75">
      <c r="A29" s="49">
        <v>2</v>
      </c>
      <c r="B29" s="50" t="s">
        <v>101</v>
      </c>
      <c r="C29" s="51" t="s">
        <v>102</v>
      </c>
      <c r="D29" s="49">
        <v>2</v>
      </c>
      <c r="E29" s="50" t="s">
        <v>103</v>
      </c>
      <c r="F29" s="50" t="s">
        <v>104</v>
      </c>
      <c r="G29" s="52" t="str">
        <f>HYPERLINK("https://www.mouser.co.uk/ProductDetail/Nichicon/UVR1V470MDD1TA?qs=sGAEpiMZZMsh%252B1woXyUXj%2F2PT%2FX%2F1Q5kUhj%2FPe5B58Y%3D","Mouser")</f>
        <v>Mouser</v>
      </c>
      <c r="H29" s="169"/>
      <c r="I29" s="5"/>
    </row>
    <row r="30" spans="1:9" ht="12.75">
      <c r="A30" s="49">
        <v>6</v>
      </c>
      <c r="B30" s="50" t="s">
        <v>105</v>
      </c>
      <c r="C30" s="51" t="s">
        <v>106</v>
      </c>
      <c r="D30" s="49">
        <v>6</v>
      </c>
      <c r="E30" s="50" t="s">
        <v>107</v>
      </c>
      <c r="F30" s="50" t="s">
        <v>108</v>
      </c>
      <c r="G30" s="52" t="str">
        <f>HYPERLINK("https://www.mouser.co.uk/ProductDetail/Nichicon/UVR1C101MDD1TD?qs=sGAEpiMZZMsh%252B1woXyUXj4cgZS0SCRf4uYj2VsxFh60%3D","Mouser")</f>
        <v>Mouser</v>
      </c>
      <c r="H30" s="169"/>
      <c r="I30" s="5"/>
    </row>
    <row r="31" spans="1:9" ht="12.75">
      <c r="A31" s="57">
        <v>3</v>
      </c>
      <c r="B31" s="58" t="s">
        <v>109</v>
      </c>
      <c r="C31" s="51" t="s">
        <v>110</v>
      </c>
      <c r="D31" s="57">
        <v>3</v>
      </c>
      <c r="E31" s="58" t="s">
        <v>111</v>
      </c>
      <c r="F31" s="58" t="s">
        <v>112</v>
      </c>
      <c r="G31" s="59" t="str">
        <f>HYPERLINK("https://www.mouser.co.uk/ProductDetail/Nichicon/UFW1A102MPD1TD?qs=sGAEpiMZZMtZ1n0r9vR22bYzEsjb8gAOO%252BSNmikeJVs%3D","Mouser")</f>
        <v>Mouser</v>
      </c>
      <c r="H31" s="170"/>
      <c r="I31" s="5"/>
    </row>
    <row r="32" spans="1:9" ht="12.75">
      <c r="A32" s="60"/>
      <c r="B32" s="60"/>
      <c r="C32" s="60"/>
      <c r="D32" s="60"/>
      <c r="E32" s="60"/>
      <c r="F32" s="60"/>
      <c r="G32" s="60"/>
      <c r="H32" s="60"/>
      <c r="I32" s="5"/>
    </row>
    <row r="33" spans="1:9" ht="12.75">
      <c r="A33" s="61">
        <v>1</v>
      </c>
      <c r="B33" s="62" t="s">
        <v>113</v>
      </c>
      <c r="C33" s="63" t="s">
        <v>114</v>
      </c>
      <c r="D33" s="61">
        <v>1</v>
      </c>
      <c r="E33" s="62" t="s">
        <v>115</v>
      </c>
      <c r="F33" s="62" t="s">
        <v>116</v>
      </c>
      <c r="G33" s="64" t="str">
        <f>HYPERLINK("https://www.mouser.co.uk/ProductDetail/Bourns/4610X-102-390LF?qs=sGAEpiMZZMvrmc6UYKmaNVhXD%252BCRuNiSvc05gVuzNjk%3D","Mouser")</f>
        <v>Mouser</v>
      </c>
      <c r="H33" s="173" t="s">
        <v>117</v>
      </c>
      <c r="I33" s="5"/>
    </row>
    <row r="34" spans="1:9" ht="12.75">
      <c r="A34" s="61">
        <v>2</v>
      </c>
      <c r="B34" s="62" t="s">
        <v>118</v>
      </c>
      <c r="C34" s="63" t="s">
        <v>119</v>
      </c>
      <c r="D34" s="61">
        <v>2</v>
      </c>
      <c r="E34" s="62" t="s">
        <v>120</v>
      </c>
      <c r="F34" s="62" t="s">
        <v>121</v>
      </c>
      <c r="G34" s="64" t="str">
        <f>HYPERLINK("https://www.mouser.co.uk/ProductDetail/Bourns/4610X-102-470LF?qs=sGAEpiMZZMvrmc6UYKmaNZsvdXKpkLuHgtY90r4OCpE%3D","Mouser")</f>
        <v>Mouser</v>
      </c>
      <c r="H34" s="174"/>
      <c r="I34" s="5"/>
    </row>
    <row r="35" spans="1:9" ht="12.75">
      <c r="A35" s="61">
        <v>3</v>
      </c>
      <c r="B35" s="62" t="s">
        <v>122</v>
      </c>
      <c r="C35" s="63" t="s">
        <v>123</v>
      </c>
      <c r="D35" s="61">
        <v>3</v>
      </c>
      <c r="E35" s="62" t="s">
        <v>124</v>
      </c>
      <c r="F35" s="62" t="s">
        <v>125</v>
      </c>
      <c r="G35" s="64" t="str">
        <f>HYPERLINK("https://www.mouser.co.uk/ProductDetail/Bourns/4610X-102-680LF?qs=sGAEpiMZZMvrmc6UYKmaNZsvdXKpkLuHx09358ZZoXA%3D","Mouser")</f>
        <v>Mouser</v>
      </c>
      <c r="H35" s="174"/>
      <c r="I35" s="5"/>
    </row>
    <row r="36" spans="1:9" ht="12.75">
      <c r="A36" s="61">
        <v>1</v>
      </c>
      <c r="B36" s="62" t="s">
        <v>126</v>
      </c>
      <c r="C36" s="63" t="s">
        <v>127</v>
      </c>
      <c r="D36" s="61">
        <v>1</v>
      </c>
      <c r="E36" s="62" t="s">
        <v>128</v>
      </c>
      <c r="F36" s="62" t="s">
        <v>129</v>
      </c>
      <c r="G36" s="64" t="str">
        <f>HYPERLINK("https://www.mouser.co.uk/ProductDetail/Bourns/4610X-101-471LF?qs=sGAEpiMZZMvrmc6UYKmaNYjqrhBcvFgnJX%2FdSDmhGec%3D","Mouser")</f>
        <v>Mouser</v>
      </c>
      <c r="H36" s="174"/>
      <c r="I36" s="5"/>
    </row>
    <row r="37" spans="1:9" ht="12.75">
      <c r="A37" s="61">
        <v>5</v>
      </c>
      <c r="B37" s="62" t="s">
        <v>130</v>
      </c>
      <c r="C37" s="63" t="s">
        <v>131</v>
      </c>
      <c r="D37" s="61">
        <v>5</v>
      </c>
      <c r="E37" s="62" t="s">
        <v>132</v>
      </c>
      <c r="F37" s="62" t="s">
        <v>133</v>
      </c>
      <c r="G37" s="64" t="str">
        <f>HYPERLINK("https://www.mouser.co.uk/ProductDetail/Bourns/4610X-101-472LF?qs=sGAEpiMZZMvrmc6UYKmaNYA6QuR4ypYmz%2FzbDbLvORU%3D","Mouser")</f>
        <v>Mouser</v>
      </c>
      <c r="H37" s="174"/>
      <c r="I37" s="5"/>
    </row>
    <row r="38" spans="1:9" ht="12.75">
      <c r="A38" s="65">
        <v>1</v>
      </c>
      <c r="B38" s="66" t="s">
        <v>134</v>
      </c>
      <c r="C38" s="63" t="s">
        <v>135</v>
      </c>
      <c r="D38" s="65">
        <v>1</v>
      </c>
      <c r="E38" s="66" t="s">
        <v>136</v>
      </c>
      <c r="F38" s="66" t="s">
        <v>137</v>
      </c>
      <c r="G38" s="67" t="str">
        <f>HYPERLINK("https://www.mouser.co.uk/ProductDetail/Bourns/4610X-101-103LF?qs=sGAEpiMZZMvrmc6UYKmaNSNk96N7VUU2obnXgYcC5bI%3D","Mouser")</f>
        <v>Mouser</v>
      </c>
      <c r="H38" s="175"/>
      <c r="I38" s="5"/>
    </row>
    <row r="39" spans="1:9" ht="12.75">
      <c r="A39" s="60"/>
      <c r="B39" s="60"/>
      <c r="C39" s="60"/>
      <c r="D39" s="60"/>
      <c r="E39" s="60"/>
      <c r="F39" s="60"/>
      <c r="G39" s="60"/>
      <c r="H39" s="60"/>
      <c r="I39" s="5"/>
    </row>
    <row r="40" spans="1:9" ht="12.75">
      <c r="A40" s="68">
        <v>2</v>
      </c>
      <c r="B40" s="69" t="s">
        <v>138</v>
      </c>
      <c r="C40" s="70" t="s">
        <v>139</v>
      </c>
      <c r="D40" s="68">
        <v>2</v>
      </c>
      <c r="E40" s="71" t="s">
        <v>140</v>
      </c>
      <c r="F40" s="71" t="s">
        <v>141</v>
      </c>
      <c r="G40" s="72" t="str">
        <f>HYPERLINK("https://www.mouser.co.uk/ProductDetail/KOA-Speer/MF1-4DCT52R10R0F?qs=sGAEpiMZZMu61qfTUdNhG%2FEkWIe81Doq%2FVLOogdsx%252B4=","Mouser")</f>
        <v>Mouser</v>
      </c>
      <c r="H40" s="176" t="s">
        <v>142</v>
      </c>
      <c r="I40" s="37"/>
    </row>
    <row r="41" spans="1:9" ht="12.75">
      <c r="A41" s="68">
        <v>2</v>
      </c>
      <c r="B41" s="69" t="s">
        <v>143</v>
      </c>
      <c r="C41" s="70" t="s">
        <v>144</v>
      </c>
      <c r="D41" s="68">
        <v>2</v>
      </c>
      <c r="E41" s="71" t="s">
        <v>145</v>
      </c>
      <c r="F41" s="71" t="s">
        <v>146</v>
      </c>
      <c r="G41" s="72" t="str">
        <f>HYPERLINK("https://www.mouser.co.uk/ProductDetail/KOA-Speer/MF1-4DCT52R27R0F?qs=%2Fha2pyFadujBXJXKb%252BKFbdA83G8K7kb0KwS813qp8q9K00lS2bgmkQ%3D%3D","Mouser")</f>
        <v>Mouser</v>
      </c>
      <c r="H41" s="174"/>
      <c r="I41" s="37"/>
    </row>
    <row r="42" spans="1:9" ht="12.75">
      <c r="A42" s="68">
        <v>6</v>
      </c>
      <c r="B42" s="69" t="s">
        <v>147</v>
      </c>
      <c r="C42" s="70" t="s">
        <v>148</v>
      </c>
      <c r="D42" s="68">
        <v>6</v>
      </c>
      <c r="E42" s="71" t="s">
        <v>149</v>
      </c>
      <c r="F42" s="71" t="s">
        <v>150</v>
      </c>
      <c r="G42" s="72" t="str">
        <f>HYPERLINK("https://www.mouser.co.uk/ProductDetail/KOA-Speer/MF1-4DCT52R47R0F?qs=%2Fha2pyFadujBXJXKb%252BKFbezqsnqe0U%2FYrytW0kBOl%252B500hnUpDJzAg%3D%3D","Mouser")</f>
        <v>Mouser</v>
      </c>
      <c r="H42" s="174"/>
      <c r="I42" s="37"/>
    </row>
    <row r="43" spans="1:9" ht="12.75">
      <c r="A43" s="73">
        <v>7</v>
      </c>
      <c r="B43" s="74" t="s">
        <v>151</v>
      </c>
      <c r="C43" s="70" t="s">
        <v>152</v>
      </c>
      <c r="D43" s="73">
        <v>7</v>
      </c>
      <c r="E43" s="75" t="s">
        <v>153</v>
      </c>
      <c r="F43" s="75" t="s">
        <v>154</v>
      </c>
      <c r="G43" s="76" t="str">
        <f>HYPERLINK("https://www.mouser.co.uk/ProductDetail/KOA-Speer/MF1-4DCT52R68R0F?qs=%2Fha2pyFadujBXJXKb%252BKFbcL60vHwLKI4LO1NvEVWEy4NlUgDJFoQHg%3D%3D","Mouser")</f>
        <v>Mouser</v>
      </c>
      <c r="H43" s="174"/>
      <c r="I43" s="33"/>
    </row>
    <row r="44" spans="1:9" ht="12.75">
      <c r="A44" s="68">
        <v>1</v>
      </c>
      <c r="B44" s="69" t="s">
        <v>155</v>
      </c>
      <c r="C44" s="70" t="s">
        <v>156</v>
      </c>
      <c r="D44" s="68">
        <v>1</v>
      </c>
      <c r="E44" s="71" t="s">
        <v>157</v>
      </c>
      <c r="F44" s="71" t="s">
        <v>158</v>
      </c>
      <c r="G44" s="72" t="str">
        <f>HYPERLINK("https://www.mouser.co.uk/ProductDetail/KOA-Speer/MF1-4DCT52A1000F?qs=%2Fha2pyFadujBXJXKb%252BKFbTt3fn286ulVa%252BPBdn2PNPVEQMnmi37Xfw%3D%3D","Mouser")</f>
        <v>Mouser</v>
      </c>
      <c r="H44" s="174"/>
      <c r="I44" s="37"/>
    </row>
    <row r="45" spans="1:9" ht="12.75">
      <c r="A45" s="68">
        <v>2</v>
      </c>
      <c r="B45" s="69" t="s">
        <v>159</v>
      </c>
      <c r="C45" s="70" t="s">
        <v>160</v>
      </c>
      <c r="D45" s="68">
        <v>2</v>
      </c>
      <c r="E45" s="71" t="s">
        <v>161</v>
      </c>
      <c r="F45" s="71" t="s">
        <v>162</v>
      </c>
      <c r="G45" s="72" t="str">
        <f>HYPERLINK("https://www.mouser.co.uk/ProductDetail/KOA-Speer/MF1-4DCT52R1500F?qs=sGAEpiMZZMu61qfTUdNhG0gnpvnQT%252B0k7N7ycI7kQTI%3D","Mouser")</f>
        <v>Mouser</v>
      </c>
      <c r="H45" s="174"/>
      <c r="I45" s="37"/>
    </row>
    <row r="46" spans="1:9" ht="12.75">
      <c r="A46" s="68">
        <v>2</v>
      </c>
      <c r="B46" s="69" t="s">
        <v>163</v>
      </c>
      <c r="C46" s="70" t="s">
        <v>164</v>
      </c>
      <c r="D46" s="68">
        <v>2</v>
      </c>
      <c r="E46" s="71" t="s">
        <v>165</v>
      </c>
      <c r="F46" s="71" t="s">
        <v>166</v>
      </c>
      <c r="G46" s="72" t="str">
        <f>HYPERLINK("https://www.mouser.co.uk/ProductDetail/KOA-Speer/MF1-4DC3610F?qs=%2Fha2pyFaduhZALhJWCXw0XmoX00BID%252B4Iy8Ol3FRdgEhi9lI2l%2FSYw%3D%3D","Mouser")</f>
        <v>Mouser</v>
      </c>
      <c r="H46" s="174"/>
      <c r="I46" s="77" t="s">
        <v>167</v>
      </c>
    </row>
    <row r="47" spans="1:9" ht="12.75">
      <c r="A47" s="68">
        <v>2</v>
      </c>
      <c r="B47" s="69" t="s">
        <v>168</v>
      </c>
      <c r="C47" s="70" t="s">
        <v>169</v>
      </c>
      <c r="D47" s="68">
        <v>2</v>
      </c>
      <c r="E47" s="71" t="s">
        <v>170</v>
      </c>
      <c r="F47" s="71" t="s">
        <v>171</v>
      </c>
      <c r="G47" s="72" t="str">
        <f>HYPERLINK("https://www.mouser.co.uk/ProductDetail/KOA-Speer/MF1-4DCT52R3900F?qs=%2Fha2pyFadujBXJXKb%252BKFbawcNGLf1KXrqPawmz7A1sV9vmxE24bOhg%3D%3D","Mouser")</f>
        <v>Mouser</v>
      </c>
      <c r="H47" s="174"/>
      <c r="I47" s="37"/>
    </row>
    <row r="48" spans="1:9" ht="12.75">
      <c r="A48" s="68">
        <v>2</v>
      </c>
      <c r="B48" s="69" t="s">
        <v>172</v>
      </c>
      <c r="C48" s="70" t="s">
        <v>173</v>
      </c>
      <c r="D48" s="68">
        <v>2</v>
      </c>
      <c r="E48" s="71" t="s">
        <v>174</v>
      </c>
      <c r="F48" s="71" t="s">
        <v>175</v>
      </c>
      <c r="G48" s="72" t="str">
        <f>HYPERLINK("https://www.mouser.co.uk/ProductDetail/KOA-Speer/MF1-4LCT52R471J?qs=sGAEpiMZZMu61qfTUdNhG%2FDQawzJ6c7PyNcWL7J%252BxyI%3D","Mouser")</f>
        <v>Mouser</v>
      </c>
      <c r="H48" s="174"/>
      <c r="I48" s="37"/>
    </row>
    <row r="49" spans="1:9" ht="12.75">
      <c r="A49" s="73">
        <v>10</v>
      </c>
      <c r="B49" s="74" t="s">
        <v>176</v>
      </c>
      <c r="C49" s="70" t="s">
        <v>177</v>
      </c>
      <c r="D49" s="73">
        <v>10</v>
      </c>
      <c r="E49" s="75" t="s">
        <v>178</v>
      </c>
      <c r="F49" s="75" t="s">
        <v>179</v>
      </c>
      <c r="G49" s="76" t="str">
        <f>HYPERLINK("https://www.mouser.co.uk/ProductDetail/KOA-Speer/MF1-4DCT52R1001F?qs=sGAEpiMZZMu61qfTUdNhGx9V%2FWDh%2Fg4FaZF%2Fw3gtXGQ%3D","Mouser")</f>
        <v>Mouser</v>
      </c>
      <c r="H49" s="174"/>
      <c r="I49" s="33"/>
    </row>
    <row r="50" spans="1:9" ht="12.75">
      <c r="A50" s="68">
        <v>2</v>
      </c>
      <c r="B50" s="69" t="s">
        <v>180</v>
      </c>
      <c r="C50" s="70" t="s">
        <v>181</v>
      </c>
      <c r="D50" s="68">
        <v>2</v>
      </c>
      <c r="E50" s="71" t="s">
        <v>182</v>
      </c>
      <c r="F50" s="71" t="s">
        <v>183</v>
      </c>
      <c r="G50" s="72" t="str">
        <f>HYPERLINK("https://www.mouser.co.uk/ProductDetail/KOA-Speer/MF1-4DCT52R2701F?qs=%2Fha2pyFadujBXJXKb%252BKFbf9XaG0fSbH5y0bTY7Sgb0elVHaHGGkdpg%3D%3D","Mouser")</f>
        <v>Mouser</v>
      </c>
      <c r="H50" s="174"/>
      <c r="I50" s="37"/>
    </row>
    <row r="51" spans="1:9" ht="12.75">
      <c r="A51" s="73">
        <v>7</v>
      </c>
      <c r="B51" s="74" t="s">
        <v>184</v>
      </c>
      <c r="C51" s="70" t="s">
        <v>185</v>
      </c>
      <c r="D51" s="73">
        <v>7</v>
      </c>
      <c r="E51" s="75" t="s">
        <v>186</v>
      </c>
      <c r="F51" s="75" t="s">
        <v>187</v>
      </c>
      <c r="G51" s="76" t="str">
        <f>HYPERLINK("https://www.mouser.co.uk/ProductDetail/KOA-Speer/MF1-4DCT52R4701F?qs=%2Fha2pyFadujBXJXKb%252BKFbXx49XkVg48H%2Fd2AOgu7Yoty2Rt48f7ogw%3D%3D","Mouser")</f>
        <v>Mouser</v>
      </c>
      <c r="H51" s="174"/>
      <c r="I51" s="33"/>
    </row>
    <row r="52" spans="1:9" ht="12.75">
      <c r="A52" s="73">
        <v>11</v>
      </c>
      <c r="B52" s="74" t="s">
        <v>188</v>
      </c>
      <c r="C52" s="70" t="s">
        <v>189</v>
      </c>
      <c r="D52" s="73">
        <v>11</v>
      </c>
      <c r="E52" s="75" t="s">
        <v>190</v>
      </c>
      <c r="F52" s="75" t="s">
        <v>191</v>
      </c>
      <c r="G52" s="76" t="str">
        <f>HYPERLINK("https://www.mouser.co.uk/ProductDetail/KOA-Speer/MF1-4DCT52R1002F?qs=sGAEpiMZZMu61qfTUdNhGyBSvgGlGccIpT7iOfAnb2E%3D","Mouser")</f>
        <v>Mouser</v>
      </c>
      <c r="H52" s="174"/>
      <c r="I52" s="33"/>
    </row>
    <row r="53" spans="1:9" ht="12.75">
      <c r="A53" s="68">
        <v>1</v>
      </c>
      <c r="B53" s="69" t="s">
        <v>192</v>
      </c>
      <c r="C53" s="70" t="s">
        <v>193</v>
      </c>
      <c r="D53" s="68">
        <v>1</v>
      </c>
      <c r="E53" s="71" t="s">
        <v>194</v>
      </c>
      <c r="F53" s="71" t="s">
        <v>195</v>
      </c>
      <c r="G53" s="72" t="str">
        <f>HYPERLINK("https://www.mouser.co.uk/ProductDetail/KOA-Speer/MF1-4DCT52R4702F?qs=%2Fha2pyFadujBXJXKb%252BKFbeqmdanbeEP3F4aAniATKLRNenoi0OGZRw%3D%3D","Mouser")</f>
        <v>Mouser</v>
      </c>
      <c r="H53" s="174"/>
      <c r="I53" s="37"/>
    </row>
    <row r="54" spans="1:9" ht="12.75">
      <c r="A54" s="68">
        <v>2</v>
      </c>
      <c r="B54" s="69" t="s">
        <v>196</v>
      </c>
      <c r="C54" s="70" t="s">
        <v>197</v>
      </c>
      <c r="D54" s="68">
        <v>2</v>
      </c>
      <c r="E54" s="71" t="s">
        <v>198</v>
      </c>
      <c r="F54" s="71" t="s">
        <v>199</v>
      </c>
      <c r="G54" s="72" t="str">
        <f>HYPERLINK("https://www.mouser.co.uk/ProductDetail/KOA-Speer/MF1-4DCT52R4703F?qs=%2Fha2pyFadujBXJXKb%252BKFbc8P6ZJ%252BUDN6CWZvxQPvq%2FWslzzSeVhNLw%3D%3D","Mouser")</f>
        <v>Mouser</v>
      </c>
      <c r="H54" s="174"/>
      <c r="I54" s="37"/>
    </row>
    <row r="55" spans="1:9" ht="12.75">
      <c r="A55" s="78">
        <v>1</v>
      </c>
      <c r="B55" s="79" t="s">
        <v>200</v>
      </c>
      <c r="C55" s="70" t="s">
        <v>201</v>
      </c>
      <c r="D55" s="78">
        <v>1</v>
      </c>
      <c r="E55" s="80" t="s">
        <v>202</v>
      </c>
      <c r="F55" s="80" t="s">
        <v>203</v>
      </c>
      <c r="G55" s="81" t="str">
        <f>HYPERLINK("https://www.mouser.co.uk/ProductDetail/KOA-Speer/MF1-4DCT52R1004F?qs=sGAEpiMZZMu61qfTUdNhG0pv%252B5gO3i5oC3CUQjanvnk%3D","Mouser")</f>
        <v>Mouser</v>
      </c>
      <c r="H55" s="175"/>
      <c r="I55" s="37"/>
    </row>
    <row r="56" spans="1:9" ht="12.75">
      <c r="A56" s="60"/>
      <c r="B56" s="60"/>
      <c r="C56" s="60"/>
      <c r="D56" s="60"/>
      <c r="E56" s="60"/>
      <c r="F56" s="60"/>
      <c r="G56" s="60"/>
      <c r="H56" s="60"/>
      <c r="I56" s="5"/>
    </row>
    <row r="57" spans="1:9" ht="12.75">
      <c r="A57" s="68">
        <v>1</v>
      </c>
      <c r="B57" s="71" t="s">
        <v>204</v>
      </c>
      <c r="C57" s="70" t="s">
        <v>205</v>
      </c>
      <c r="D57" s="68">
        <v>1</v>
      </c>
      <c r="E57" s="71" t="s">
        <v>206</v>
      </c>
      <c r="F57" s="71" t="s">
        <v>207</v>
      </c>
      <c r="G57" s="72" t="str">
        <f>HYPERLINK("https://www.mouser.co.uk/ProductDetail/Vishay-BC-Components/NFR25H0004707JA500?qs=sGAEpiMZZMu61qfTUdNhG%2Fv2DQEVANuyp0pQ%252B%2F3as5k%3D","Mouser")</f>
        <v>Mouser</v>
      </c>
      <c r="H57" s="176" t="s">
        <v>208</v>
      </c>
      <c r="I57" s="37"/>
    </row>
    <row r="58" spans="1:9" ht="12.75">
      <c r="A58" s="68">
        <v>1</v>
      </c>
      <c r="B58" s="69" t="s">
        <v>209</v>
      </c>
      <c r="C58" s="70" t="s">
        <v>210</v>
      </c>
      <c r="D58" s="68">
        <v>1</v>
      </c>
      <c r="E58" s="71" t="s">
        <v>211</v>
      </c>
      <c r="F58" s="71" t="s">
        <v>212</v>
      </c>
      <c r="G58" s="72" t="str">
        <f>HYPERLINK("https://www.mouser.co.uk/ProductDetail/KOA-Speer/MF1-2DCT52R1R00F?qs=%2Fha2pyFadujoJgpe3DYN84YvGkAlb6wHFG5k0KfyvLwJuFBMP6IbDw%3D%3D","Mouser")</f>
        <v>Mouser</v>
      </c>
      <c r="H58" s="174"/>
      <c r="I58" s="5"/>
    </row>
    <row r="59" spans="1:9" ht="12.75">
      <c r="A59" s="68">
        <v>3</v>
      </c>
      <c r="B59" s="69" t="s">
        <v>213</v>
      </c>
      <c r="C59" s="70" t="s">
        <v>214</v>
      </c>
      <c r="D59" s="68">
        <v>3</v>
      </c>
      <c r="E59" s="71" t="s">
        <v>215</v>
      </c>
      <c r="F59" s="71" t="s">
        <v>216</v>
      </c>
      <c r="G59" s="72" t="str">
        <f>HYPERLINK("https://www.mouser.co.uk/ProductDetail/KOA-Speer/MF1-2DCT52R4R75F?qs=%2Fha2pyFadujoJgpe3DYN8%252BxpGGj7btQ%2FAthnKqvr%2FQBb0q%2FTP64rfQ%3D%3D","Mouser")</f>
        <v>Mouser</v>
      </c>
      <c r="H59" s="174"/>
      <c r="I59" s="37"/>
    </row>
    <row r="60" spans="1:9" ht="12.75">
      <c r="A60" s="78">
        <v>3</v>
      </c>
      <c r="B60" s="79" t="s">
        <v>217</v>
      </c>
      <c r="C60" s="70" t="s">
        <v>218</v>
      </c>
      <c r="D60" s="78">
        <v>3</v>
      </c>
      <c r="E60" s="71" t="s">
        <v>219</v>
      </c>
      <c r="F60" s="80" t="s">
        <v>150</v>
      </c>
      <c r="G60" s="81" t="str">
        <f>HYPERLINK("https://www.mouser.co.uk/ProductDetail/KOA-Speer/MF1-2DCT52R47R0F?qs=%2Fha2pyFadujoJgpe3DYN83vwcEanR0Q6IqBj2h6F%2Fm7OzQcZgMSrpg%3D%3D","Mouser")</f>
        <v>Mouser</v>
      </c>
      <c r="H60" s="175"/>
      <c r="I60" s="5"/>
    </row>
    <row r="61" spans="1:9" ht="12.75">
      <c r="A61" s="82"/>
      <c r="B61" s="82"/>
      <c r="C61" s="82"/>
      <c r="D61" s="82"/>
      <c r="E61" s="82"/>
      <c r="F61" s="82"/>
      <c r="G61" s="82"/>
      <c r="H61" s="82"/>
      <c r="I61" s="5"/>
    </row>
    <row r="62" spans="1:9" ht="12.75">
      <c r="A62" s="83">
        <v>2</v>
      </c>
      <c r="B62" s="84" t="s">
        <v>220</v>
      </c>
      <c r="C62" s="85" t="s">
        <v>221</v>
      </c>
      <c r="D62" s="83">
        <v>2</v>
      </c>
      <c r="E62" s="84" t="s">
        <v>222</v>
      </c>
      <c r="F62" s="84" t="s">
        <v>223</v>
      </c>
      <c r="G62" s="86" t="str">
        <f>HYPERLINK("https://www.mouser.co.uk/ProductDetail/ON-Semiconductor-Fairchild/J113?qs=sGAEpiMZZMvAvBNgSS9LqrkM%2FzSS1Sxk","Mouser")</f>
        <v>Mouser</v>
      </c>
      <c r="H62" s="153" t="s">
        <v>224</v>
      </c>
      <c r="I62" s="77" t="s">
        <v>167</v>
      </c>
    </row>
    <row r="63" spans="1:9" ht="12.75">
      <c r="A63" s="83">
        <v>2</v>
      </c>
      <c r="B63" s="84" t="s">
        <v>225</v>
      </c>
      <c r="C63" s="85" t="s">
        <v>226</v>
      </c>
      <c r="D63" s="83">
        <v>2</v>
      </c>
      <c r="E63" s="84" t="s">
        <v>227</v>
      </c>
      <c r="F63" s="84" t="s">
        <v>228</v>
      </c>
      <c r="G63" s="86" t="str">
        <f>HYPERLINK("https://www.mouser.co.uk/ProductDetail/ON-Semiconductor-Fairchild/2N3904BU?qs=sGAEpiMZZMshyDBzk1%2FWi4G1GLBZKHK10QNLT596yR0%3D","Mouser")</f>
        <v>Mouser</v>
      </c>
      <c r="H63" s="154"/>
      <c r="I63" s="5"/>
    </row>
    <row r="64" spans="1:9" ht="12.75">
      <c r="A64" s="83">
        <v>3</v>
      </c>
      <c r="B64" s="84" t="s">
        <v>229</v>
      </c>
      <c r="C64" s="85" t="s">
        <v>230</v>
      </c>
      <c r="D64" s="83">
        <v>3</v>
      </c>
      <c r="E64" s="84" t="s">
        <v>231</v>
      </c>
      <c r="F64" s="84" t="s">
        <v>232</v>
      </c>
      <c r="G64" s="86" t="str">
        <f>HYPERLINK("https://www.mouser.co.uk/ProductDetail/ON-Semiconductor-Fairchild/2N3906BU?qs=sGAEpiMZZMshyDBzk1%2FWi6kfu%252BQlsU6SZxAEtHUWzYw%3D","Mouser")</f>
        <v>Mouser</v>
      </c>
      <c r="H64" s="154"/>
      <c r="I64" s="5"/>
    </row>
    <row r="65" spans="1:9" ht="12.75">
      <c r="A65" s="87">
        <v>3</v>
      </c>
      <c r="B65" s="88" t="s">
        <v>233</v>
      </c>
      <c r="C65" s="85" t="s">
        <v>234</v>
      </c>
      <c r="D65" s="87">
        <v>3</v>
      </c>
      <c r="E65" s="88" t="s">
        <v>235</v>
      </c>
      <c r="F65" s="88" t="s">
        <v>236</v>
      </c>
      <c r="G65" s="89" t="str">
        <f>HYPERLINK("https://www.mouser.co.uk/ProductDetail/ON-Semiconductor-Fairchild/1N4148?qs=sGAEpiMZZMudZehw8RjeZWbu6z6oTQTL","Mouser")</f>
        <v>Mouser</v>
      </c>
      <c r="H65" s="155"/>
      <c r="I65" s="5"/>
    </row>
    <row r="66" spans="1:9" ht="12.75">
      <c r="A66" s="82"/>
      <c r="B66" s="82"/>
      <c r="C66" s="82"/>
      <c r="D66" s="82"/>
      <c r="E66" s="82"/>
      <c r="F66" s="82"/>
      <c r="G66" s="82"/>
      <c r="H66" s="82"/>
      <c r="I66" s="5"/>
    </row>
    <row r="67" spans="1:9" ht="12.75">
      <c r="A67" s="90">
        <v>1</v>
      </c>
      <c r="B67" s="91" t="s">
        <v>237</v>
      </c>
      <c r="C67" s="92" t="s">
        <v>238</v>
      </c>
      <c r="D67" s="90">
        <v>1</v>
      </c>
      <c r="E67" s="91" t="s">
        <v>239</v>
      </c>
      <c r="F67" s="91" t="s">
        <v>240</v>
      </c>
      <c r="G67" s="93" t="str">
        <f>HYPERLINK("https://www.mouser.co.uk/ProductDetail/Texas-Instruments/MC1488N?qs=sGAEpiMZZMtnIqnDeWcRHYceBHeia3WxByejUw2QBRw%3D","Mouser")</f>
        <v>Mouser</v>
      </c>
      <c r="H67" s="156" t="s">
        <v>241</v>
      </c>
      <c r="I67" s="5"/>
    </row>
    <row r="68" spans="1:9" ht="12.75">
      <c r="A68" s="90">
        <v>1</v>
      </c>
      <c r="B68" s="91" t="s">
        <v>242</v>
      </c>
      <c r="C68" s="92" t="s">
        <v>243</v>
      </c>
      <c r="D68" s="90">
        <v>1</v>
      </c>
      <c r="E68" s="91" t="s">
        <v>244</v>
      </c>
      <c r="F68" s="91" t="s">
        <v>240</v>
      </c>
      <c r="G68" s="93" t="str">
        <f>HYPERLINK("https://www.mouser.co.uk/ProductDetail/Texas-Instruments/MC1489N?qs=sGAEpiMZZMtnIqnDeWcRHYceBHeia3WxFg3baEpiSn0%3D","Mouser")</f>
        <v>Mouser</v>
      </c>
      <c r="H68" s="154"/>
      <c r="I68" s="5"/>
    </row>
    <row r="69" spans="1:9" ht="12.75">
      <c r="A69" s="90">
        <v>1</v>
      </c>
      <c r="B69" s="94" t="s">
        <v>245</v>
      </c>
      <c r="C69" s="92" t="s">
        <v>246</v>
      </c>
      <c r="D69" s="90">
        <v>1</v>
      </c>
      <c r="E69" s="91" t="s">
        <v>247</v>
      </c>
      <c r="F69" s="91" t="s">
        <v>248</v>
      </c>
      <c r="G69" s="93" t="str">
        <f>HYPERLINK("https://www.mouser.co.uk/ProductDetail/Texas-Instruments/TL084CN?qs=sGAEpiMZZMutXGli8Ay4kDXRT4nT%252BYrX57f2FZ%252BDMcs%3D","Mouser")</f>
        <v>Mouser</v>
      </c>
      <c r="H69" s="154"/>
      <c r="I69" s="37" t="s">
        <v>249</v>
      </c>
    </row>
    <row r="70" spans="1:9" ht="12.75">
      <c r="A70" s="90">
        <v>1</v>
      </c>
      <c r="B70" s="91" t="s">
        <v>250</v>
      </c>
      <c r="C70" s="92" t="s">
        <v>251</v>
      </c>
      <c r="D70" s="90">
        <v>1</v>
      </c>
      <c r="E70" s="91" t="s">
        <v>252</v>
      </c>
      <c r="F70" s="91" t="s">
        <v>253</v>
      </c>
      <c r="G70" s="93" t="str">
        <f>HYPERLINK("https://www.mouser.co.uk/ProductDetail/Texas-Instruments/NE555P?qs=sGAEpiMZZMsG1k5vdNM%2Fc6UNh9pCnCAm","Mouser")</f>
        <v>Mouser</v>
      </c>
      <c r="H70" s="154"/>
    </row>
    <row r="71" spans="1:9" ht="12.75">
      <c r="A71" s="90">
        <v>1</v>
      </c>
      <c r="B71" s="91" t="s">
        <v>254</v>
      </c>
      <c r="C71" s="92" t="s">
        <v>255</v>
      </c>
      <c r="D71" s="90">
        <v>1</v>
      </c>
      <c r="E71" s="91" t="s">
        <v>256</v>
      </c>
      <c r="F71" s="91" t="s">
        <v>257</v>
      </c>
      <c r="G71" s="93" t="str">
        <f>HYPERLINK("https://www.mouser.co.uk/ProductDetail/Texas-Instruments/SN74F244N?qs=sGAEpiMZZMuiiWkaIwCK2UHhUsuHvyUOaY59WjsGxVg%3D","Mouser")</f>
        <v>Mouser</v>
      </c>
      <c r="H71" s="154"/>
      <c r="I71" s="5"/>
    </row>
    <row r="72" spans="1:9" ht="12.75">
      <c r="A72" s="90">
        <v>1</v>
      </c>
      <c r="B72" s="91" t="s">
        <v>258</v>
      </c>
      <c r="C72" s="92" t="s">
        <v>259</v>
      </c>
      <c r="D72" s="90">
        <v>1</v>
      </c>
      <c r="E72" s="91" t="s">
        <v>260</v>
      </c>
      <c r="F72" s="91" t="s">
        <v>261</v>
      </c>
      <c r="G72" s="93" t="str">
        <f>HYPERLINK("https://www.mouser.co.uk/ProductDetail/Texas-Instruments/SN74F258N?qs=sGAEpiMZZMtxONTBFIcRfrHRktOy0PMdF5Y%2F%252Bk7PA9o%3D","Mouser")</f>
        <v>Mouser</v>
      </c>
      <c r="H72" s="154"/>
      <c r="I72" s="5"/>
    </row>
    <row r="73" spans="1:9" ht="12.75">
      <c r="A73" s="95">
        <v>2</v>
      </c>
      <c r="B73" s="91" t="s">
        <v>262</v>
      </c>
      <c r="C73" s="92" t="s">
        <v>263</v>
      </c>
      <c r="D73" s="95">
        <v>2</v>
      </c>
      <c r="E73" s="94" t="s">
        <v>264</v>
      </c>
      <c r="F73" s="91" t="s">
        <v>257</v>
      </c>
      <c r="G73" s="93" t="str">
        <f>HYPERLINK("https://www.mouser.co.uk/ProductDetail/Texas-Instruments/SN74ABT244AN?qs=sGAEpiMZZMv4BkFy%252BbL2aLjln2JxLmGfT5qHDtISnTk%3D","Mouser")</f>
        <v>Mouser</v>
      </c>
      <c r="H73" s="154"/>
      <c r="I73" s="5"/>
    </row>
    <row r="74" spans="1:9" ht="12.75">
      <c r="A74" s="90">
        <v>2</v>
      </c>
      <c r="B74" s="91" t="s">
        <v>265</v>
      </c>
      <c r="C74" s="92" t="s">
        <v>266</v>
      </c>
      <c r="D74" s="90">
        <v>2</v>
      </c>
      <c r="E74" s="91" t="s">
        <v>267</v>
      </c>
      <c r="F74" s="91" t="s">
        <v>268</v>
      </c>
      <c r="G74" s="93" t="str">
        <f>HYPERLINK("https://www.mouser.co.uk/ProductDetail/Texas-Instruments/SN74ABT245BN?qs=sGAEpiMZZMs9F6aVvY09btkPv7nrVS6TP%252BQ3TTryulU%3D","Mouser")</f>
        <v>Mouser</v>
      </c>
      <c r="H74" s="154"/>
      <c r="I74" s="5"/>
    </row>
    <row r="75" spans="1:9" ht="12.75">
      <c r="A75" s="90">
        <v>1</v>
      </c>
      <c r="B75" s="91" t="s">
        <v>269</v>
      </c>
      <c r="C75" s="92" t="s">
        <v>270</v>
      </c>
      <c r="D75" s="90">
        <v>1</v>
      </c>
      <c r="E75" s="91" t="s">
        <v>271</v>
      </c>
      <c r="F75" s="91" t="s">
        <v>272</v>
      </c>
      <c r="G75" s="93" t="str">
        <f>HYPERLINK("https://www.mouser.co.uk/ProductDetail/Texas-Instruments/SN74AHCT139N?qs=sGAEpiMZZMtxONTBFIcRfsQCBiNmETR9s6YW4lCucrQ%3D","Mouser")</f>
        <v>Mouser</v>
      </c>
      <c r="H75" s="154"/>
      <c r="I75" s="5"/>
    </row>
    <row r="76" spans="1:9" ht="12.75">
      <c r="A76" s="90">
        <v>3</v>
      </c>
      <c r="B76" s="91" t="s">
        <v>273</v>
      </c>
      <c r="C76" s="92" t="s">
        <v>274</v>
      </c>
      <c r="D76" s="90">
        <v>3</v>
      </c>
      <c r="E76" s="91" t="s">
        <v>275</v>
      </c>
      <c r="F76" s="91" t="s">
        <v>276</v>
      </c>
      <c r="G76" s="93" t="str">
        <f>HYPERLINK("https://www.mouser.co.uk/ProductDetail/Texas-Instruments/SN74ABT373N?qs=sGAEpiMZZMu2QtOrmdJ1%2FTEA7XqGnVH%252BE9Nv%252BVliSGk%3D","Mouser")</f>
        <v>Mouser</v>
      </c>
      <c r="H76" s="154"/>
      <c r="I76" s="5"/>
    </row>
    <row r="77" spans="1:9" ht="12.75">
      <c r="A77" s="90">
        <v>1</v>
      </c>
      <c r="B77" s="91" t="s">
        <v>277</v>
      </c>
      <c r="C77" s="92" t="s">
        <v>278</v>
      </c>
      <c r="D77" s="90">
        <v>1</v>
      </c>
      <c r="E77" s="91" t="s">
        <v>279</v>
      </c>
      <c r="F77" s="91" t="s">
        <v>280</v>
      </c>
      <c r="G77" s="93" t="str">
        <f>HYPERLINK("https://www.mouser.co.uk/ProductDetail/Texas-Instruments/SN74AHCT157N?qs=sGAEpiMZZMtxONTBFIcRfgMIbQHDmxevRGwLkGEQEjo%3D","Mouser")</f>
        <v>Mouser</v>
      </c>
      <c r="H77" s="154"/>
      <c r="I77" s="5"/>
    </row>
    <row r="78" spans="1:9" ht="12.75">
      <c r="A78" s="90">
        <v>1</v>
      </c>
      <c r="B78" s="91" t="s">
        <v>281</v>
      </c>
      <c r="C78" s="92" t="s">
        <v>282</v>
      </c>
      <c r="D78" s="90">
        <v>1</v>
      </c>
      <c r="E78" s="91" t="s">
        <v>283</v>
      </c>
      <c r="F78" s="91" t="s">
        <v>284</v>
      </c>
      <c r="G78" s="93" t="str">
        <f>HYPERLINK("https://www.mouser.co.uk/ProductDetail/Texas-Instruments/SN74AHCT32N?qs=sGAEpiMZZMtMa9lbYwD6ZAv0bRAq9ZjLc7SArqaJcaQ%3D","Mouser")</f>
        <v>Mouser</v>
      </c>
      <c r="H78" s="154"/>
      <c r="I78" s="5"/>
    </row>
    <row r="79" spans="1:9" ht="12.75">
      <c r="A79" s="90">
        <v>1</v>
      </c>
      <c r="B79" s="91" t="s">
        <v>285</v>
      </c>
      <c r="C79" s="92" t="s">
        <v>286</v>
      </c>
      <c r="D79" s="90">
        <v>1</v>
      </c>
      <c r="E79" s="91" t="s">
        <v>287</v>
      </c>
      <c r="F79" s="91" t="s">
        <v>288</v>
      </c>
      <c r="G79" s="93" t="str">
        <f>HYPERLINK("https://www.mouser.co.uk/ProductDetail/Texas-Instruments/CD74ACT05E?qs=sGAEpiMZZMutVWjHE%2FYQw0qCn7H6iZbYVgtiqUKAYfc%3D","Mouser")</f>
        <v>Mouser</v>
      </c>
      <c r="H79" s="154"/>
      <c r="I79" s="5"/>
    </row>
    <row r="80" spans="1:9" ht="12.75">
      <c r="A80" s="90">
        <v>1</v>
      </c>
      <c r="B80" s="91" t="s">
        <v>289</v>
      </c>
      <c r="C80" s="92" t="s">
        <v>290</v>
      </c>
      <c r="D80" s="90">
        <v>1</v>
      </c>
      <c r="E80" s="91" t="s">
        <v>291</v>
      </c>
      <c r="F80" s="91" t="s">
        <v>292</v>
      </c>
      <c r="G80" s="93" t="str">
        <f>HYPERLINK("https://www.mouser.co.uk/ProductDetail/Epson-Timing/RTC-72421BROHS?qs=sGAEpiMZZMuMkwKcEjFF1O5yJnMiZHLMxnLXbaJ0flM%3D","Mouser")</f>
        <v>Mouser</v>
      </c>
      <c r="H80" s="155"/>
      <c r="I80" s="77" t="s">
        <v>167</v>
      </c>
    </row>
    <row r="81" spans="1:9" ht="12.75">
      <c r="A81" s="96">
        <v>1</v>
      </c>
      <c r="B81" s="97" t="s">
        <v>293</v>
      </c>
      <c r="C81" s="98"/>
      <c r="D81" s="98"/>
      <c r="E81" s="99" t="s">
        <v>294</v>
      </c>
      <c r="F81" s="98" t="s">
        <v>295</v>
      </c>
      <c r="G81" s="100" t="str">
        <f>HYPERLINK("http://amigakit.amiga.store/product_info.php?products_id=12657","AmigaKit")</f>
        <v>AmigaKit</v>
      </c>
      <c r="H81" s="101"/>
      <c r="I81" s="102"/>
    </row>
    <row r="82" spans="1:9" ht="12.75">
      <c r="A82" s="103"/>
      <c r="B82" s="103"/>
      <c r="C82" s="103"/>
      <c r="D82" s="103"/>
      <c r="E82" s="103"/>
      <c r="F82" s="103"/>
      <c r="G82" s="103"/>
      <c r="H82" s="103"/>
      <c r="I82" s="5"/>
    </row>
    <row r="83" spans="1:9" ht="12.75">
      <c r="A83" s="104">
        <v>1</v>
      </c>
      <c r="B83" s="105">
        <v>1107741</v>
      </c>
      <c r="C83" s="106" t="s">
        <v>296</v>
      </c>
      <c r="D83" s="104">
        <v>1</v>
      </c>
      <c r="E83" s="107" t="s">
        <v>294</v>
      </c>
      <c r="F83" s="105" t="s">
        <v>297</v>
      </c>
      <c r="G83" s="108" t="str">
        <f>HYPERLINK("https://www.mouser.co.uk/ProductDetail/Aries-Electronics/1107741?qs=sGAEpiMZZMs%2FSh%2Fkjph1tvt1%2FmEPT%2FXoVZs6QxzSzII%3D","Mouser")</f>
        <v>Mouser</v>
      </c>
      <c r="H83" s="157" t="s">
        <v>298</v>
      </c>
      <c r="I83" s="37" t="s">
        <v>299</v>
      </c>
    </row>
    <row r="84" spans="1:9" ht="12.75">
      <c r="A84" s="104">
        <v>1</v>
      </c>
      <c r="B84" s="105" t="s">
        <v>300</v>
      </c>
      <c r="C84" s="106" t="s">
        <v>301</v>
      </c>
      <c r="D84" s="104">
        <v>1</v>
      </c>
      <c r="E84" s="107" t="s">
        <v>252</v>
      </c>
      <c r="F84" s="105" t="s">
        <v>302</v>
      </c>
      <c r="G84" s="108" t="str">
        <f>HYPERLINK("https://www.mouser.co.uk/ProductDetail/Mill-Max/110-99-308-41-001000?qs=sGAEpiMZZMs%2FSh%2Fkjph1tvt1%2FmEPT%2FXohCHKUr4WR4Y%3D","Mouser")</f>
        <v>Mouser</v>
      </c>
      <c r="H84" s="158"/>
      <c r="I84" s="5"/>
    </row>
    <row r="85" spans="1:9" ht="12.75">
      <c r="A85" s="104">
        <v>5</v>
      </c>
      <c r="B85" s="105" t="s">
        <v>303</v>
      </c>
      <c r="C85" s="106" t="s">
        <v>304</v>
      </c>
      <c r="D85" s="104">
        <v>5</v>
      </c>
      <c r="E85" s="107" t="s">
        <v>305</v>
      </c>
      <c r="F85" s="105" t="s">
        <v>306</v>
      </c>
      <c r="G85" s="108" t="str">
        <f>HYPERLINK("https://www.mouser.co.uk/ProductDetail/Mill-Max/110-47-314-41-001000?qs=sGAEpiMZZMs%2FSh%2Fkjph1tkCPjfxlAKUm%2FaO2HCru2BQ%3D","Mouser")</f>
        <v>Mouser</v>
      </c>
      <c r="H85" s="158"/>
      <c r="I85" s="5"/>
    </row>
    <row r="86" spans="1:9" ht="12.75">
      <c r="A86" s="104">
        <v>3</v>
      </c>
      <c r="B86" s="105" t="s">
        <v>307</v>
      </c>
      <c r="C86" s="106" t="s">
        <v>308</v>
      </c>
      <c r="D86" s="104">
        <v>3</v>
      </c>
      <c r="E86" s="107" t="s">
        <v>309</v>
      </c>
      <c r="F86" s="105" t="s">
        <v>310</v>
      </c>
      <c r="G86" s="108" t="str">
        <f>HYPERLINK("https://www.mouser.co.uk/ProductDetail/Mill-Max/110-99-316-41-001000?qs=sGAEpiMZZMs%2FSh%2Fkjph1tvt1%2FmEPT%2FXo1Wv%2FwSloEYI%3D","Mouser")</f>
        <v>Mouser</v>
      </c>
      <c r="H86" s="158"/>
      <c r="I86" s="5"/>
    </row>
    <row r="87" spans="1:9" ht="12.75">
      <c r="A87" s="104">
        <v>1</v>
      </c>
      <c r="B87" s="105" t="s">
        <v>311</v>
      </c>
      <c r="C87" s="106" t="s">
        <v>312</v>
      </c>
      <c r="D87" s="104">
        <v>1</v>
      </c>
      <c r="E87" s="107" t="s">
        <v>291</v>
      </c>
      <c r="F87" s="105" t="s">
        <v>313</v>
      </c>
      <c r="G87" s="108" t="str">
        <f>HYPERLINK("https://www.mouser.co.uk/ProductDetail/Mill-Max/110-44-318-41-001000?qs=sGAEpiMZZMs%2FSh%2Fkjph1tvt1%2FmEPT%2FXof62rUxW4zYM%3D","Mouser")</f>
        <v>Mouser</v>
      </c>
      <c r="H87" s="158"/>
      <c r="I87" s="5"/>
    </row>
    <row r="88" spans="1:9" ht="12.75">
      <c r="A88" s="109">
        <v>16</v>
      </c>
      <c r="B88" s="110" t="s">
        <v>314</v>
      </c>
      <c r="C88" s="106" t="s">
        <v>315</v>
      </c>
      <c r="D88" s="109">
        <v>16</v>
      </c>
      <c r="E88" s="111" t="s">
        <v>316</v>
      </c>
      <c r="F88" s="110" t="s">
        <v>317</v>
      </c>
      <c r="G88" s="112" t="str">
        <f>HYPERLINK("https://www.mouser.co.uk/ProductDetail/Mill-Max/110-47-320-41-001000?qs=sGAEpiMZZMs%2FSh%2Fkjph1tkCPjfxlAKUmm6aqlAuSumY%3D","Mouser")</f>
        <v>Mouser</v>
      </c>
      <c r="H88" s="158"/>
      <c r="I88" s="5"/>
    </row>
    <row r="89" spans="1:9" ht="12.75">
      <c r="A89" s="104">
        <v>2</v>
      </c>
      <c r="B89" s="105" t="s">
        <v>318</v>
      </c>
      <c r="C89" s="106" t="s">
        <v>318</v>
      </c>
      <c r="D89" s="104">
        <v>2</v>
      </c>
      <c r="E89" s="107" t="s">
        <v>319</v>
      </c>
      <c r="F89" s="105" t="s">
        <v>320</v>
      </c>
      <c r="G89" s="108" t="str">
        <f>HYPERLINK("https://www.mouser.co.uk/ProductDetail/Mill-Max/110-99-640-41-001000?qs=sGAEpiMZZMs%2FSh%2Fkjph1tvt1%2FmEPT%2FXoP%2FE2uzg1fAo%3D","Mouser")</f>
        <v>Mouser</v>
      </c>
      <c r="H89" s="158"/>
      <c r="I89" s="5"/>
    </row>
    <row r="90" spans="1:9" ht="12.75">
      <c r="A90" s="104">
        <v>1</v>
      </c>
      <c r="B90" s="105" t="s">
        <v>321</v>
      </c>
      <c r="C90" s="106" t="s">
        <v>322</v>
      </c>
      <c r="D90" s="113">
        <v>1</v>
      </c>
      <c r="E90" s="107" t="s">
        <v>323</v>
      </c>
      <c r="F90" s="105" t="s">
        <v>324</v>
      </c>
      <c r="G90" s="108" t="str">
        <f>HYPERLINK("https://www.mouser.co.uk/ProductDetail/3M-Electronic-Solutions-Division/4842-6000-CP?qs=sGAEpiMZZMs%2FSh%2Fkjph1tvt1%2FmEPT%2FXorZIrGZxBfeI%3D","Mouser")</f>
        <v>Mouser</v>
      </c>
      <c r="H90" s="158"/>
      <c r="I90" s="37"/>
    </row>
    <row r="91" spans="1:9" ht="12.75">
      <c r="A91" s="104">
        <v>3</v>
      </c>
      <c r="B91" s="105" t="s">
        <v>325</v>
      </c>
      <c r="C91" s="106" t="s">
        <v>326</v>
      </c>
      <c r="D91" s="113">
        <v>3</v>
      </c>
      <c r="E91" s="107" t="s">
        <v>327</v>
      </c>
      <c r="F91" s="105" t="s">
        <v>328</v>
      </c>
      <c r="G91" s="108" t="str">
        <f>HYPERLINK("https://www.mouser.co.uk/ProductDetail/Mill-Max/110-43-648-41-001000?qs=sGAEpiMZZMs%2FSh%2Fkjph1tvt1%2FmEPT%2FXoFbvmMu%252Bs6F8%3D","Mouser")</f>
        <v>Mouser</v>
      </c>
      <c r="H91" s="158"/>
      <c r="I91" s="5"/>
    </row>
    <row r="92" spans="1:9" ht="12.75">
      <c r="A92" s="104">
        <v>1</v>
      </c>
      <c r="B92" s="105" t="s">
        <v>329</v>
      </c>
      <c r="C92" s="106" t="s">
        <v>330</v>
      </c>
      <c r="D92" s="113">
        <v>1</v>
      </c>
      <c r="E92" s="107" t="s">
        <v>331</v>
      </c>
      <c r="F92" s="105" t="s">
        <v>332</v>
      </c>
      <c r="G92" s="114" t="str">
        <f>HYPERLINK("https://www.mouser.co.uk/ProductDetail/575-193964","Mouser")</f>
        <v>Mouser</v>
      </c>
      <c r="H92" s="158"/>
      <c r="I92" s="5"/>
    </row>
    <row r="93" spans="1:9" ht="12.75">
      <c r="A93" s="115">
        <v>1</v>
      </c>
      <c r="B93" s="116" t="s">
        <v>333</v>
      </c>
      <c r="C93" s="106" t="s">
        <v>334</v>
      </c>
      <c r="D93" s="117">
        <v>1</v>
      </c>
      <c r="E93" s="118" t="s">
        <v>335</v>
      </c>
      <c r="F93" s="116" t="s">
        <v>336</v>
      </c>
      <c r="G93" s="114" t="str">
        <f>HYPERLINK("https://www.mouser.co.uk/ProductDetail/437-5408808424008","Mouser")</f>
        <v>Mouser</v>
      </c>
      <c r="H93" s="159"/>
      <c r="I93" s="5"/>
    </row>
    <row r="94" spans="1:9" ht="12.75">
      <c r="A94" s="119"/>
      <c r="B94" s="119"/>
      <c r="C94" s="119"/>
      <c r="D94" s="119"/>
      <c r="E94" s="119"/>
      <c r="F94" s="119"/>
      <c r="G94" s="119"/>
      <c r="H94" s="119"/>
      <c r="I94" s="5"/>
    </row>
    <row r="95" spans="1:9" ht="12.75">
      <c r="A95" s="120">
        <v>2</v>
      </c>
      <c r="B95" s="121" t="s">
        <v>337</v>
      </c>
      <c r="C95" s="122" t="s">
        <v>338</v>
      </c>
      <c r="D95" s="123">
        <v>2</v>
      </c>
      <c r="E95" s="124" t="s">
        <v>339</v>
      </c>
      <c r="F95" s="124" t="s">
        <v>340</v>
      </c>
      <c r="G95" s="125" t="str">
        <f>HYPERLINK("https://www.mouser.co.uk/ProductDetail/NorComp/182-009-113R531?qs=sGAEpiMZZMuKcrGJUvEKSe7eu7%2FCFzwwnCi2AGm3aLs%3D","Mouser")</f>
        <v>Mouser</v>
      </c>
      <c r="H95" s="160" t="s">
        <v>341</v>
      </c>
      <c r="I95" s="11"/>
    </row>
    <row r="96" spans="1:9" ht="12.75">
      <c r="A96" s="120">
        <v>1</v>
      </c>
      <c r="B96" s="124" t="s">
        <v>342</v>
      </c>
      <c r="C96" s="122" t="s">
        <v>343</v>
      </c>
      <c r="D96" s="123">
        <v>1</v>
      </c>
      <c r="E96" s="124" t="s">
        <v>344</v>
      </c>
      <c r="F96" s="124" t="s">
        <v>345</v>
      </c>
      <c r="G96" s="125" t="str">
        <f>HYPERLINK("https://www.mouser.co.uk/ProductDetail/NorComp/182-025-113R531?qs=sGAEpiMZZMuKcrGJUvEKSUH%252B868OjQCLj6ZdUA04Kpw%3D","Mouser")</f>
        <v>Mouser</v>
      </c>
      <c r="H96" s="161"/>
      <c r="I96" s="11"/>
    </row>
    <row r="97" spans="1:9" ht="12.75">
      <c r="A97" s="120">
        <v>1</v>
      </c>
      <c r="B97" s="121" t="s">
        <v>346</v>
      </c>
      <c r="C97" s="122" t="s">
        <v>347</v>
      </c>
      <c r="D97" s="123">
        <v>1</v>
      </c>
      <c r="E97" s="124" t="s">
        <v>348</v>
      </c>
      <c r="F97" s="124" t="s">
        <v>349</v>
      </c>
      <c r="G97" s="125" t="str">
        <f>HYPERLINK("https://www.mouser.co.uk/ProductDetail/NorComp/182-025-213R531?qs=sGAEpiMZZMuKcrGJUvEKSUH%252B868OjQCLtqERKgigy9g%3D","Mouser")</f>
        <v>Mouser</v>
      </c>
      <c r="H97" s="161"/>
      <c r="I97" s="11"/>
    </row>
    <row r="98" spans="1:9" ht="12.75">
      <c r="A98" s="120">
        <v>1</v>
      </c>
      <c r="B98" s="124" t="s">
        <v>350</v>
      </c>
      <c r="C98" s="122" t="s">
        <v>351</v>
      </c>
      <c r="D98" s="123">
        <v>1</v>
      </c>
      <c r="E98" s="124" t="s">
        <v>352</v>
      </c>
      <c r="F98" s="124" t="s">
        <v>353</v>
      </c>
      <c r="G98" s="125" t="str">
        <f>HYPERLINK("https://www.mouser.co.uk/ProductDetail/502-PJRAN1X1U03AUX","Mouser")</f>
        <v>Mouser</v>
      </c>
      <c r="H98" s="161"/>
      <c r="I98" s="11"/>
    </row>
    <row r="99" spans="1:9" ht="12.75">
      <c r="A99" s="120">
        <v>1</v>
      </c>
      <c r="B99" s="124" t="s">
        <v>354</v>
      </c>
      <c r="C99" s="122" t="s">
        <v>355</v>
      </c>
      <c r="D99" s="123">
        <v>1</v>
      </c>
      <c r="E99" s="124" t="s">
        <v>356</v>
      </c>
      <c r="F99" s="124" t="s">
        <v>357</v>
      </c>
      <c r="G99" s="125" t="str">
        <f>HYPERLINK("https://www.mouser.co.uk/ProductDetail/Switchcraft/PJRAN1X1U02AUX?qs=sGAEpiMZZMv0W4pxf2HiV7sv6uhfrItv24RexIyWgsQ%3D","Mouser")</f>
        <v>Mouser</v>
      </c>
      <c r="H99" s="161"/>
      <c r="I99" s="11"/>
    </row>
    <row r="100" spans="1:9" ht="12.75">
      <c r="A100" s="120">
        <v>1</v>
      </c>
      <c r="B100" s="124" t="s">
        <v>358</v>
      </c>
      <c r="C100" s="122" t="s">
        <v>359</v>
      </c>
      <c r="D100" s="123">
        <v>1</v>
      </c>
      <c r="E100" s="124" t="s">
        <v>360</v>
      </c>
      <c r="F100" s="124" t="s">
        <v>361</v>
      </c>
      <c r="G100" s="125" t="str">
        <f>HYPERLINK("https://www.mouser.co.uk/ProductDetail/Switchcraft/PJRAN1X1U04AU?qs=sGAEpiMZZMv0W4pxf2HiV7sv6uhfrItvBsNHR2KsS%252BQ%3D","Mouser")</f>
        <v>Mouser</v>
      </c>
      <c r="H100" s="161"/>
      <c r="I100" s="11"/>
    </row>
    <row r="101" spans="1:9" ht="12.75">
      <c r="A101" s="120">
        <v>1</v>
      </c>
      <c r="B101" s="124" t="s">
        <v>362</v>
      </c>
      <c r="C101" s="122" t="s">
        <v>363</v>
      </c>
      <c r="D101" s="123">
        <v>1</v>
      </c>
      <c r="E101" s="121" t="s">
        <v>364</v>
      </c>
      <c r="F101" s="124" t="s">
        <v>365</v>
      </c>
      <c r="G101" s="125" t="str">
        <f>HYPERLINK("https://www.mouser.co.uk/ProductDetail/Amphenol-FCI/77313-101-34LF?qs=sGAEpiMZZMs%252BGHln7q6pm24n0txessAMQ24IEeXbiRU%3D","Mouser")</f>
        <v>Mouser</v>
      </c>
      <c r="H101" s="161"/>
      <c r="I101" s="33"/>
    </row>
    <row r="102" spans="1:9" ht="12.75">
      <c r="A102" s="126">
        <v>1</v>
      </c>
      <c r="B102" s="127" t="s">
        <v>366</v>
      </c>
      <c r="C102" s="122" t="s">
        <v>367</v>
      </c>
      <c r="D102" s="128">
        <v>1</v>
      </c>
      <c r="E102" s="127" t="s">
        <v>368</v>
      </c>
      <c r="F102" s="127" t="s">
        <v>369</v>
      </c>
      <c r="G102" s="125" t="str">
        <f>HYPERLINK("https://www.mouser.co.uk/ProductDetail/TE-Connectivity-AMP/171825-4?qs=sGAEpiMZZMs%252BGHln7q6pm48SVpWlpfsE0%2FBs7U%252BKbR0=","Mouser")</f>
        <v>Mouser</v>
      </c>
      <c r="H102" s="161"/>
      <c r="I102" s="37"/>
    </row>
    <row r="103" spans="1:9" ht="12.75">
      <c r="A103" s="128">
        <v>1</v>
      </c>
      <c r="B103" s="129" t="s">
        <v>370</v>
      </c>
      <c r="C103" s="122" t="s">
        <v>371</v>
      </c>
      <c r="D103" s="128">
        <v>1</v>
      </c>
      <c r="E103" s="129" t="s">
        <v>372</v>
      </c>
      <c r="F103" s="129" t="s">
        <v>373</v>
      </c>
      <c r="G103" s="125" t="str">
        <f>HYPERLINK("https://www.mouser.co.uk/ProductDetail/Harwin/M20-9990846?qs=sGAEpiMZZMs%252BGHln7q6pmzlZUuX%2F53qj%2FBw4NAliNM0%3D","Mouser")</f>
        <v>Mouser</v>
      </c>
      <c r="H103" s="161"/>
      <c r="I103" s="37"/>
    </row>
    <row r="104" spans="1:9" ht="12.75">
      <c r="A104" s="130">
        <v>1</v>
      </c>
      <c r="B104" s="131">
        <v>61306421021</v>
      </c>
      <c r="C104" s="122" t="s">
        <v>374</v>
      </c>
      <c r="D104" s="132">
        <v>1</v>
      </c>
      <c r="E104" s="131" t="s">
        <v>375</v>
      </c>
      <c r="F104" s="133" t="s">
        <v>376</v>
      </c>
      <c r="G104" s="125" t="str">
        <f>HYPERLINK("https://www.mouser.co.uk/ProductDetail/710-61306421021","Mouser")</f>
        <v>Mouser</v>
      </c>
      <c r="H104" s="162"/>
      <c r="I104" s="37"/>
    </row>
    <row r="105" spans="1:9" ht="12.75">
      <c r="A105" s="134"/>
      <c r="B105" s="134"/>
      <c r="C105" s="134"/>
      <c r="D105" s="134"/>
      <c r="E105" s="134"/>
      <c r="F105" s="134"/>
      <c r="G105" s="134"/>
      <c r="H105" s="134"/>
      <c r="I105" s="5"/>
    </row>
    <row r="106" spans="1:9" ht="12.75">
      <c r="A106" s="135">
        <v>2</v>
      </c>
      <c r="B106" s="136" t="s">
        <v>377</v>
      </c>
      <c r="C106" s="136"/>
      <c r="D106" s="137">
        <v>2</v>
      </c>
      <c r="E106" s="136" t="s">
        <v>378</v>
      </c>
      <c r="F106" s="136" t="s">
        <v>379</v>
      </c>
      <c r="G106" s="138" t="s">
        <v>380</v>
      </c>
      <c r="H106" s="163" t="s">
        <v>381</v>
      </c>
      <c r="I106" s="37"/>
    </row>
    <row r="107" spans="1:9" ht="12.75">
      <c r="A107" s="135">
        <v>1</v>
      </c>
      <c r="B107" s="136" t="s">
        <v>382</v>
      </c>
      <c r="C107" s="136"/>
      <c r="D107" s="137">
        <v>1</v>
      </c>
      <c r="E107" s="136" t="s">
        <v>383</v>
      </c>
      <c r="F107" s="136">
        <v>5719</v>
      </c>
      <c r="G107" s="139" t="str">
        <f>HYPERLINK("https://www.ebay.co.uk/itm/New-Amiga-318072-01-Gary-Chip-for-Amiga-A500-A500-A2000/163179796170?hash=item25fe4616ca:g:Y6EAAOSwzI5bYbTL","eBay")</f>
        <v>eBay</v>
      </c>
      <c r="H107" s="164"/>
      <c r="I107" s="37"/>
    </row>
    <row r="108" spans="1:9" ht="12.75">
      <c r="A108" s="135">
        <v>1</v>
      </c>
      <c r="B108" s="136" t="s">
        <v>384</v>
      </c>
      <c r="C108" s="136"/>
      <c r="D108" s="137">
        <v>1</v>
      </c>
      <c r="E108" s="136" t="s">
        <v>385</v>
      </c>
      <c r="F108" s="136" t="s">
        <v>386</v>
      </c>
      <c r="G108" s="136"/>
      <c r="H108" s="164"/>
      <c r="I108" s="37"/>
    </row>
    <row r="109" spans="1:9" ht="12.75">
      <c r="A109" s="135">
        <v>1</v>
      </c>
      <c r="B109" s="136" t="s">
        <v>387</v>
      </c>
      <c r="C109" s="137" t="s">
        <v>388</v>
      </c>
      <c r="D109" s="137">
        <v>1</v>
      </c>
      <c r="E109" s="136" t="s">
        <v>389</v>
      </c>
      <c r="F109" s="136" t="s">
        <v>390</v>
      </c>
      <c r="G109" s="139" t="str">
        <f>HYPERLINK("https://www.ebay.co.uk/itm/New-Amiga-252127-02-Paula-Chip-for-Amiga-A500-A3000/183354893535?hash=item2ab0cda4df:g:0A0AAOSwNDdbYbR2","eBay")</f>
        <v>eBay</v>
      </c>
      <c r="H109" s="164"/>
      <c r="I109" s="37"/>
    </row>
    <row r="110" spans="1:9" ht="12.75">
      <c r="A110" s="140">
        <v>1</v>
      </c>
      <c r="B110" s="141" t="s">
        <v>391</v>
      </c>
      <c r="C110" s="141"/>
      <c r="D110" s="142">
        <v>1</v>
      </c>
      <c r="E110" s="143" t="s">
        <v>392</v>
      </c>
      <c r="F110" s="143" t="s">
        <v>393</v>
      </c>
      <c r="G110" s="144"/>
      <c r="H110" s="165"/>
      <c r="I110" s="37"/>
    </row>
    <row r="111" spans="1:9" ht="12.75">
      <c r="I111" s="11"/>
    </row>
    <row r="112" spans="1:9" ht="12.75">
      <c r="I112" s="11"/>
    </row>
  </sheetData>
  <mergeCells count="12">
    <mergeCell ref="H40:H55"/>
    <mergeCell ref="H57:H60"/>
    <mergeCell ref="A1:G1"/>
    <mergeCell ref="H4:H12"/>
    <mergeCell ref="H14:H22"/>
    <mergeCell ref="H26:H31"/>
    <mergeCell ref="H33:H38"/>
    <mergeCell ref="H62:H65"/>
    <mergeCell ref="H67:H80"/>
    <mergeCell ref="H83:H93"/>
    <mergeCell ref="H95:H104"/>
    <mergeCell ref="H106:H110"/>
  </mergeCells>
  <printOptions gridLines="1"/>
  <pageMargins left="0.25" right="0.25" top="0.75" bottom="0.75" header="0" footer="0"/>
  <pageSetup paperSize="9" scale="46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C49"/>
  <sheetViews>
    <sheetView workbookViewId="0"/>
  </sheetViews>
  <sheetFormatPr defaultColWidth="14.42578125" defaultRowHeight="15.75" customHeight="1"/>
  <cols>
    <col min="1" max="1" width="36.7109375" customWidth="1"/>
    <col min="3" max="3" width="127.28515625" customWidth="1"/>
  </cols>
  <sheetData>
    <row r="1" spans="1:3">
      <c r="A1" s="145" t="s">
        <v>394</v>
      </c>
      <c r="B1" s="146"/>
      <c r="C1" s="147"/>
    </row>
    <row r="2" spans="1:3">
      <c r="A2" s="148" t="s">
        <v>395</v>
      </c>
      <c r="B2" s="148" t="s">
        <v>396</v>
      </c>
      <c r="C2" s="149" t="s">
        <v>397</v>
      </c>
    </row>
    <row r="3" spans="1:3">
      <c r="A3" s="150" t="s">
        <v>398</v>
      </c>
      <c r="B3" s="150" t="s">
        <v>399</v>
      </c>
      <c r="C3" s="151" t="s">
        <v>400</v>
      </c>
    </row>
    <row r="4" spans="1:3">
      <c r="A4" s="150" t="s">
        <v>398</v>
      </c>
      <c r="B4" s="150" t="s">
        <v>401</v>
      </c>
      <c r="C4" s="151" t="s">
        <v>402</v>
      </c>
    </row>
    <row r="5" spans="1:3">
      <c r="A5" s="150" t="s">
        <v>403</v>
      </c>
      <c r="B5" s="150" t="s">
        <v>404</v>
      </c>
      <c r="C5" s="151" t="s">
        <v>405</v>
      </c>
    </row>
    <row r="6" spans="1:3">
      <c r="A6" s="150" t="s">
        <v>406</v>
      </c>
      <c r="B6" s="150" t="s">
        <v>404</v>
      </c>
      <c r="C6" s="151" t="s">
        <v>407</v>
      </c>
    </row>
    <row r="7" spans="1:3">
      <c r="A7" s="150" t="s">
        <v>408</v>
      </c>
      <c r="B7" s="150" t="s">
        <v>409</v>
      </c>
      <c r="C7" s="151" t="s">
        <v>410</v>
      </c>
    </row>
    <row r="8" spans="1:3">
      <c r="A8" s="150" t="s">
        <v>411</v>
      </c>
      <c r="B8" s="150" t="s">
        <v>401</v>
      </c>
      <c r="C8" s="151" t="s">
        <v>412</v>
      </c>
    </row>
    <row r="9" spans="1:3">
      <c r="A9" s="150" t="s">
        <v>413</v>
      </c>
      <c r="B9" s="150" t="s">
        <v>409</v>
      </c>
      <c r="C9" s="151" t="s">
        <v>414</v>
      </c>
    </row>
    <row r="10" spans="1:3">
      <c r="A10" s="150" t="s">
        <v>415</v>
      </c>
      <c r="B10" s="150" t="s">
        <v>401</v>
      </c>
      <c r="C10" s="151" t="s">
        <v>416</v>
      </c>
    </row>
    <row r="11" spans="1:3">
      <c r="A11" s="150" t="s">
        <v>417</v>
      </c>
      <c r="B11" s="150" t="s">
        <v>401</v>
      </c>
      <c r="C11" s="151" t="s">
        <v>418</v>
      </c>
    </row>
    <row r="12" spans="1:3">
      <c r="A12" s="150" t="s">
        <v>419</v>
      </c>
      <c r="B12" s="150" t="s">
        <v>409</v>
      </c>
      <c r="C12" s="151" t="s">
        <v>420</v>
      </c>
    </row>
    <row r="13" spans="1:3">
      <c r="A13" s="152">
        <v>43848</v>
      </c>
      <c r="B13" s="150" t="s">
        <v>421</v>
      </c>
      <c r="C13" s="151" t="s">
        <v>422</v>
      </c>
    </row>
    <row r="14" spans="1:3">
      <c r="A14" s="152">
        <v>43859</v>
      </c>
      <c r="B14" s="150" t="s">
        <v>423</v>
      </c>
      <c r="C14" s="151" t="s">
        <v>424</v>
      </c>
    </row>
    <row r="15" spans="1:3">
      <c r="A15" s="150" t="s">
        <v>425</v>
      </c>
      <c r="B15" s="150" t="s">
        <v>426</v>
      </c>
      <c r="C15" s="151" t="s">
        <v>427</v>
      </c>
    </row>
    <row r="16" spans="1:3">
      <c r="A16" s="150" t="s">
        <v>428</v>
      </c>
      <c r="B16" s="150" t="s">
        <v>401</v>
      </c>
      <c r="C16" s="151" t="s">
        <v>429</v>
      </c>
    </row>
    <row r="17" spans="1:3">
      <c r="A17" s="150" t="s">
        <v>430</v>
      </c>
      <c r="B17" s="150" t="s">
        <v>431</v>
      </c>
      <c r="C17" s="151" t="s">
        <v>432</v>
      </c>
    </row>
    <row r="18" spans="1:3">
      <c r="A18" s="150" t="s">
        <v>430</v>
      </c>
      <c r="B18" s="150" t="s">
        <v>401</v>
      </c>
      <c r="C18" s="151" t="s">
        <v>433</v>
      </c>
    </row>
    <row r="19" spans="1:3">
      <c r="A19" s="150" t="s">
        <v>434</v>
      </c>
      <c r="B19" s="150" t="s">
        <v>401</v>
      </c>
      <c r="C19" s="151" t="s">
        <v>435</v>
      </c>
    </row>
    <row r="20" spans="1:3">
      <c r="A20" s="150" t="s">
        <v>436</v>
      </c>
      <c r="B20" s="150" t="s">
        <v>401</v>
      </c>
      <c r="C20" s="151" t="s">
        <v>437</v>
      </c>
    </row>
    <row r="21" spans="1:3">
      <c r="A21" s="150" t="s">
        <v>436</v>
      </c>
      <c r="B21" s="150" t="s">
        <v>404</v>
      </c>
      <c r="C21" s="151" t="s">
        <v>438</v>
      </c>
    </row>
    <row r="22" spans="1:3">
      <c r="A22" s="146"/>
      <c r="B22" s="146"/>
      <c r="C22" s="147"/>
    </row>
    <row r="23" spans="1:3">
      <c r="A23" s="146"/>
      <c r="B23" s="146"/>
      <c r="C23" s="147"/>
    </row>
    <row r="24" spans="1:3">
      <c r="A24" s="146"/>
      <c r="B24" s="146"/>
      <c r="C24" s="147"/>
    </row>
    <row r="25" spans="1:3">
      <c r="A25" s="146"/>
      <c r="B25" s="146"/>
      <c r="C25" s="147"/>
    </row>
    <row r="26" spans="1:3">
      <c r="A26" s="146"/>
      <c r="B26" s="146"/>
      <c r="C26" s="147"/>
    </row>
    <row r="27" spans="1:3">
      <c r="A27" s="146"/>
      <c r="B27" s="146"/>
      <c r="C27" s="147"/>
    </row>
    <row r="28" spans="1:3">
      <c r="A28" s="146"/>
      <c r="B28" s="146"/>
      <c r="C28" s="147"/>
    </row>
    <row r="29" spans="1:3">
      <c r="A29" s="146"/>
      <c r="B29" s="146"/>
      <c r="C29" s="147"/>
    </row>
    <row r="30" spans="1:3">
      <c r="A30" s="146"/>
      <c r="B30" s="146"/>
      <c r="C30" s="147"/>
    </row>
    <row r="31" spans="1:3">
      <c r="A31" s="146"/>
      <c r="B31" s="146"/>
      <c r="C31" s="147"/>
    </row>
    <row r="32" spans="1:3">
      <c r="A32" s="146"/>
      <c r="B32" s="146"/>
      <c r="C32" s="147"/>
    </row>
    <row r="33" spans="1:3">
      <c r="A33" s="146"/>
      <c r="B33" s="146"/>
      <c r="C33" s="147"/>
    </row>
    <row r="34" spans="1:3">
      <c r="A34" s="146"/>
      <c r="B34" s="146"/>
      <c r="C34" s="147"/>
    </row>
    <row r="35" spans="1:3">
      <c r="A35" s="146"/>
      <c r="B35" s="146"/>
      <c r="C35" s="147"/>
    </row>
    <row r="36" spans="1:3">
      <c r="A36" s="146"/>
      <c r="B36" s="146"/>
      <c r="C36" s="147"/>
    </row>
    <row r="37" spans="1:3">
      <c r="A37" s="146"/>
      <c r="B37" s="146"/>
      <c r="C37" s="147"/>
    </row>
    <row r="38" spans="1:3">
      <c r="A38" s="146"/>
      <c r="B38" s="146"/>
      <c r="C38" s="147"/>
    </row>
    <row r="39" spans="1:3">
      <c r="A39" s="146"/>
      <c r="B39" s="146"/>
      <c r="C39" s="147"/>
    </row>
    <row r="40" spans="1:3">
      <c r="A40" s="146"/>
      <c r="B40" s="146"/>
      <c r="C40" s="147"/>
    </row>
    <row r="41" spans="1:3">
      <c r="A41" s="146"/>
      <c r="B41" s="146"/>
      <c r="C41" s="147"/>
    </row>
    <row r="42" spans="1:3">
      <c r="A42" s="146"/>
      <c r="B42" s="146"/>
      <c r="C42" s="147"/>
    </row>
    <row r="43" spans="1:3">
      <c r="A43" s="146"/>
      <c r="B43" s="146"/>
      <c r="C43" s="147"/>
    </row>
    <row r="44" spans="1:3">
      <c r="A44" s="146"/>
      <c r="B44" s="146"/>
      <c r="C44" s="147"/>
    </row>
    <row r="45" spans="1:3">
      <c r="A45" s="146"/>
      <c r="B45" s="146"/>
      <c r="C45" s="147"/>
    </row>
    <row r="46" spans="1:3">
      <c r="A46" s="146"/>
      <c r="B46" s="146"/>
      <c r="C46" s="147"/>
    </row>
    <row r="47" spans="1:3">
      <c r="A47" s="146"/>
      <c r="B47" s="146"/>
      <c r="C47" s="147"/>
    </row>
    <row r="48" spans="1:3">
      <c r="A48" s="146"/>
      <c r="B48" s="146"/>
      <c r="C48" s="147"/>
    </row>
    <row r="49" spans="1:3">
      <c r="A49" s="146"/>
      <c r="B49" s="146"/>
      <c r="C49" s="147"/>
    </row>
  </sheetData>
  <printOptions horizontalCentered="1" gridLines="1"/>
  <pageMargins left="0.25" right="0.25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A500+ BOM</vt:lpstr>
      <vt:lpstr>Change 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</dc:creator>
  <cp:lastModifiedBy>Nadeem</cp:lastModifiedBy>
  <dcterms:created xsi:type="dcterms:W3CDTF">2021-05-10T12:58:34Z</dcterms:created>
  <dcterms:modified xsi:type="dcterms:W3CDTF">2021-05-10T12:58:34Z</dcterms:modified>
</cp:coreProperties>
</file>