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drawings/drawing9.xml" ContentType="application/vnd.openxmlformats-officedocument.drawing+xml"/>
  <Override PartName="/xl/tables/table7.xml" ContentType="application/vnd.openxmlformats-officedocument.spreadsheetml.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drawings/drawing11.xml" ContentType="application/vnd.openxmlformats-officedocument.drawing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zero\Desktop\Curso-Excel\Projeto\"/>
    </mc:Choice>
  </mc:AlternateContent>
  <xr:revisionPtr revIDLastSave="0" documentId="13_ncr:1_{7DB2330C-68F3-469C-8BBE-21DBB5A9BC2C}" xr6:coauthVersionLast="47" xr6:coauthVersionMax="47" xr10:uidLastSave="{00000000-0000-0000-0000-000000000000}"/>
  <bookViews>
    <workbookView xWindow="-120" yWindow="-120" windowWidth="20730" windowHeight="11160" firstSheet="5" activeTab="6" xr2:uid="{00000000-000D-0000-FFFF-FFFF00000000}"/>
  </bookViews>
  <sheets>
    <sheet name="Menu" sheetId="1" r:id="rId1"/>
    <sheet name="Despesas" sheetId="2" r:id="rId2"/>
    <sheet name="Controle Mercadorias" sheetId="6" r:id="rId3"/>
    <sheet name="Investimentos" sheetId="7" r:id="rId4"/>
    <sheet name="Controle de Estoque" sheetId="8" r:id="rId5"/>
    <sheet name="Resultados" sheetId="4" r:id="rId6"/>
    <sheet name="Vendas" sheetId="3" r:id="rId7"/>
    <sheet name="Semana 1" sheetId="9" r:id="rId8"/>
    <sheet name="Semana 2" sheetId="10" r:id="rId9"/>
    <sheet name="Semana 3" sheetId="11" r:id="rId10"/>
    <sheet name="Semana 4" sheetId="12" r:id="rId11"/>
    <sheet name="Semana 5" sheetId="13" r:id="rId12"/>
    <sheet name="cálculos" sheetId="5" r:id="rId13"/>
  </sheets>
  <definedNames>
    <definedName name="_xlnm._FilterDatabase" localSheetId="12" hidden="1">cálculos!$M$6:$P$6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4" i="3" l="1"/>
  <c r="G13" i="3"/>
  <c r="G12" i="3"/>
  <c r="G11" i="3"/>
  <c r="G17" i="3" s="1"/>
  <c r="G10" i="3"/>
  <c r="D17" i="3"/>
  <c r="E5" i="13"/>
  <c r="E5" i="12"/>
  <c r="E5" i="11"/>
  <c r="E5" i="10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5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E16" i="9" l="1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G16" i="9"/>
  <c r="G17" i="9"/>
  <c r="H17" i="9" s="1"/>
  <c r="G18" i="9"/>
  <c r="G19" i="9"/>
  <c r="G20" i="9"/>
  <c r="G21" i="9"/>
  <c r="H21" i="9" s="1"/>
  <c r="G22" i="9"/>
  <c r="G23" i="9"/>
  <c r="G24" i="9"/>
  <c r="G25" i="9"/>
  <c r="H25" i="9" s="1"/>
  <c r="G26" i="9"/>
  <c r="G27" i="9"/>
  <c r="G28" i="9"/>
  <c r="G29" i="9"/>
  <c r="H29" i="9" s="1"/>
  <c r="H16" i="9"/>
  <c r="H18" i="9"/>
  <c r="H19" i="9"/>
  <c r="H20" i="9"/>
  <c r="L20" i="9" s="1"/>
  <c r="H22" i="9"/>
  <c r="H23" i="9"/>
  <c r="H24" i="9"/>
  <c r="H26" i="9"/>
  <c r="L26" i="9" s="1"/>
  <c r="H27" i="9"/>
  <c r="H28" i="9"/>
  <c r="L19" i="9"/>
  <c r="L16" i="9"/>
  <c r="L18" i="9"/>
  <c r="L22" i="9"/>
  <c r="L24" i="9"/>
  <c r="L27" i="9"/>
  <c r="L28" i="9"/>
  <c r="L29" i="9" l="1"/>
  <c r="L25" i="9"/>
  <c r="L21" i="9"/>
  <c r="L17" i="9"/>
  <c r="L23" i="9"/>
  <c r="M15" i="13" l="1"/>
  <c r="K15" i="13"/>
  <c r="G15" i="13"/>
  <c r="H15" i="13" s="1"/>
  <c r="L15" i="13" s="1"/>
  <c r="E15" i="13"/>
  <c r="M14" i="13"/>
  <c r="K14" i="13"/>
  <c r="G14" i="13"/>
  <c r="H14" i="13" s="1"/>
  <c r="L14" i="13" s="1"/>
  <c r="E14" i="13"/>
  <c r="M13" i="13"/>
  <c r="K13" i="13"/>
  <c r="G13" i="13"/>
  <c r="H13" i="13" s="1"/>
  <c r="L13" i="13" s="1"/>
  <c r="E13" i="13"/>
  <c r="M12" i="13"/>
  <c r="K12" i="13"/>
  <c r="G12" i="13"/>
  <c r="H12" i="13" s="1"/>
  <c r="L12" i="13" s="1"/>
  <c r="E12" i="13"/>
  <c r="M11" i="13"/>
  <c r="K11" i="13"/>
  <c r="G11" i="13"/>
  <c r="H11" i="13" s="1"/>
  <c r="L11" i="13" s="1"/>
  <c r="E11" i="13"/>
  <c r="M10" i="13"/>
  <c r="K10" i="13"/>
  <c r="G10" i="13"/>
  <c r="H10" i="13" s="1"/>
  <c r="L10" i="13" s="1"/>
  <c r="E10" i="13"/>
  <c r="M9" i="13"/>
  <c r="K9" i="13"/>
  <c r="G9" i="13"/>
  <c r="H9" i="13" s="1"/>
  <c r="L9" i="13" s="1"/>
  <c r="M8" i="13"/>
  <c r="L8" i="13"/>
  <c r="K8" i="13"/>
  <c r="H8" i="13"/>
  <c r="G8" i="13"/>
  <c r="M7" i="13"/>
  <c r="K7" i="13"/>
  <c r="G7" i="13"/>
  <c r="H7" i="13" s="1"/>
  <c r="L7" i="13" s="1"/>
  <c r="M6" i="13"/>
  <c r="K6" i="13"/>
  <c r="H6" i="13"/>
  <c r="L6" i="13" s="1"/>
  <c r="G6" i="13"/>
  <c r="M5" i="13"/>
  <c r="K5" i="13"/>
  <c r="M18" i="13" s="1"/>
  <c r="G5" i="13"/>
  <c r="H5" i="13" s="1"/>
  <c r="L5" i="13" s="1"/>
  <c r="M15" i="12"/>
  <c r="K15" i="12"/>
  <c r="G15" i="12"/>
  <c r="H15" i="12" s="1"/>
  <c r="L15" i="12" s="1"/>
  <c r="E15" i="12"/>
  <c r="M14" i="12"/>
  <c r="K14" i="12"/>
  <c r="H14" i="12"/>
  <c r="L14" i="12" s="1"/>
  <c r="G14" i="12"/>
  <c r="E14" i="12"/>
  <c r="M13" i="12"/>
  <c r="K13" i="12"/>
  <c r="G13" i="12"/>
  <c r="H13" i="12" s="1"/>
  <c r="L13" i="12" s="1"/>
  <c r="E13" i="12"/>
  <c r="M12" i="12"/>
  <c r="K12" i="12"/>
  <c r="H12" i="12"/>
  <c r="L12" i="12" s="1"/>
  <c r="G12" i="12"/>
  <c r="E12" i="12"/>
  <c r="M11" i="12"/>
  <c r="K11" i="12"/>
  <c r="G11" i="12"/>
  <c r="H11" i="12" s="1"/>
  <c r="L11" i="12" s="1"/>
  <c r="E11" i="12"/>
  <c r="M10" i="12"/>
  <c r="K10" i="12"/>
  <c r="H10" i="12"/>
  <c r="G10" i="12"/>
  <c r="E10" i="12"/>
  <c r="M9" i="12"/>
  <c r="K9" i="12"/>
  <c r="G9" i="12"/>
  <c r="H9" i="12" s="1"/>
  <c r="K8" i="12"/>
  <c r="H8" i="12"/>
  <c r="L8" i="12" s="1"/>
  <c r="G8" i="12"/>
  <c r="M7" i="12"/>
  <c r="K7" i="12"/>
  <c r="G7" i="12"/>
  <c r="H7" i="12" s="1"/>
  <c r="L7" i="12" s="1"/>
  <c r="M8" i="12" s="1"/>
  <c r="K6" i="12"/>
  <c r="H6" i="12"/>
  <c r="G6" i="12"/>
  <c r="K5" i="12"/>
  <c r="G5" i="12"/>
  <c r="H5" i="12" s="1"/>
  <c r="M15" i="11"/>
  <c r="K15" i="11"/>
  <c r="G15" i="11"/>
  <c r="H15" i="11" s="1"/>
  <c r="L15" i="11" s="1"/>
  <c r="E15" i="11"/>
  <c r="M14" i="11"/>
  <c r="K14" i="11"/>
  <c r="H14" i="11"/>
  <c r="L14" i="11" s="1"/>
  <c r="G14" i="11"/>
  <c r="E14" i="11"/>
  <c r="M13" i="11"/>
  <c r="K13" i="11"/>
  <c r="G13" i="11"/>
  <c r="H13" i="11" s="1"/>
  <c r="L13" i="11" s="1"/>
  <c r="E13" i="11"/>
  <c r="M12" i="11"/>
  <c r="K12" i="11"/>
  <c r="H12" i="11"/>
  <c r="L12" i="11" s="1"/>
  <c r="G12" i="11"/>
  <c r="E12" i="11"/>
  <c r="M11" i="11"/>
  <c r="K11" i="11"/>
  <c r="G11" i="11"/>
  <c r="H11" i="11" s="1"/>
  <c r="L11" i="11" s="1"/>
  <c r="E11" i="11"/>
  <c r="M10" i="11"/>
  <c r="K10" i="11"/>
  <c r="H10" i="11"/>
  <c r="L10" i="11" s="1"/>
  <c r="G10" i="11"/>
  <c r="E10" i="11"/>
  <c r="M9" i="11"/>
  <c r="K9" i="11"/>
  <c r="G9" i="11"/>
  <c r="H9" i="11" s="1"/>
  <c r="K8" i="11"/>
  <c r="G8" i="11"/>
  <c r="H8" i="11" s="1"/>
  <c r="M7" i="11"/>
  <c r="K7" i="11"/>
  <c r="G7" i="11"/>
  <c r="H7" i="11" s="1"/>
  <c r="L7" i="11" s="1"/>
  <c r="M8" i="11" s="1"/>
  <c r="K6" i="11"/>
  <c r="H6" i="11"/>
  <c r="L6" i="11" s="1"/>
  <c r="G6" i="11"/>
  <c r="M5" i="11"/>
  <c r="K5" i="11"/>
  <c r="G5" i="11"/>
  <c r="H5" i="11" s="1"/>
  <c r="L5" i="11" s="1"/>
  <c r="M15" i="10"/>
  <c r="K15" i="10"/>
  <c r="G15" i="10"/>
  <c r="H15" i="10" s="1"/>
  <c r="L15" i="10" s="1"/>
  <c r="E15" i="10"/>
  <c r="M14" i="10"/>
  <c r="K14" i="10"/>
  <c r="H14" i="10"/>
  <c r="L14" i="10" s="1"/>
  <c r="G14" i="10"/>
  <c r="E14" i="10"/>
  <c r="M13" i="10"/>
  <c r="K13" i="10"/>
  <c r="G13" i="10"/>
  <c r="H13" i="10" s="1"/>
  <c r="L13" i="10" s="1"/>
  <c r="M12" i="10"/>
  <c r="K12" i="10"/>
  <c r="H12" i="10"/>
  <c r="L12" i="10" s="1"/>
  <c r="G12" i="10"/>
  <c r="M11" i="10"/>
  <c r="K11" i="10"/>
  <c r="G11" i="10"/>
  <c r="H11" i="10" s="1"/>
  <c r="M10" i="10"/>
  <c r="K10" i="10"/>
  <c r="G10" i="10"/>
  <c r="H10" i="10" s="1"/>
  <c r="L10" i="10" s="1"/>
  <c r="M9" i="10"/>
  <c r="K9" i="10"/>
  <c r="G9" i="10"/>
  <c r="H9" i="10" s="1"/>
  <c r="L9" i="10" s="1"/>
  <c r="K8" i="10"/>
  <c r="H8" i="10"/>
  <c r="G8" i="10"/>
  <c r="M7" i="10"/>
  <c r="K7" i="10"/>
  <c r="G7" i="10"/>
  <c r="H7" i="10" s="1"/>
  <c r="K6" i="10"/>
  <c r="G6" i="10"/>
  <c r="H6" i="10" s="1"/>
  <c r="L6" i="10" s="1"/>
  <c r="K5" i="10"/>
  <c r="G5" i="10"/>
  <c r="H5" i="10" s="1"/>
  <c r="L5" i="10" l="1"/>
  <c r="M5" i="10" s="1"/>
  <c r="M17" i="13"/>
  <c r="L5" i="12"/>
  <c r="M5" i="12" s="1"/>
  <c r="L6" i="12"/>
  <c r="L9" i="12"/>
  <c r="M18" i="12"/>
  <c r="L10" i="12"/>
  <c r="M18" i="11"/>
  <c r="L8" i="11"/>
  <c r="L9" i="11"/>
  <c r="M18" i="10"/>
  <c r="L7" i="10"/>
  <c r="M8" i="10" s="1"/>
  <c r="L8" i="10"/>
  <c r="L11" i="10"/>
  <c r="M6" i="12"/>
  <c r="M17" i="12"/>
  <c r="M6" i="11"/>
  <c r="M17" i="11"/>
  <c r="M6" i="10"/>
  <c r="M32" i="9"/>
  <c r="G5" i="9"/>
  <c r="G6" i="9"/>
  <c r="H6" i="9" s="1"/>
  <c r="L6" i="9" s="1"/>
  <c r="G7" i="9"/>
  <c r="H7" i="9" s="1"/>
  <c r="L7" i="9" s="1"/>
  <c r="G8" i="9"/>
  <c r="H8" i="9" s="1"/>
  <c r="L8" i="9" s="1"/>
  <c r="G9" i="9"/>
  <c r="G10" i="9"/>
  <c r="G11" i="9"/>
  <c r="H11" i="9" s="1"/>
  <c r="L11" i="9" s="1"/>
  <c r="G12" i="9"/>
  <c r="H12" i="9" s="1"/>
  <c r="L12" i="9" s="1"/>
  <c r="G13" i="9"/>
  <c r="G14" i="9"/>
  <c r="G15" i="9"/>
  <c r="H15" i="9" s="1"/>
  <c r="L15" i="9" s="1"/>
  <c r="H5" i="9"/>
  <c r="L5" i="9" s="1"/>
  <c r="H9" i="9"/>
  <c r="L9" i="9" s="1"/>
  <c r="H10" i="9"/>
  <c r="L10" i="9" s="1"/>
  <c r="H13" i="9"/>
  <c r="L13" i="9" s="1"/>
  <c r="H14" i="9"/>
  <c r="L14" i="9" s="1"/>
  <c r="E5" i="9"/>
  <c r="E6" i="9"/>
  <c r="E7" i="9"/>
  <c r="E8" i="9"/>
  <c r="E9" i="9"/>
  <c r="E10" i="9"/>
  <c r="E11" i="9"/>
  <c r="E12" i="9"/>
  <c r="E13" i="9"/>
  <c r="E14" i="9"/>
  <c r="E15" i="9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J12" i="5" a="1"/>
  <c r="J12" i="5" s="1"/>
  <c r="J10" i="5"/>
  <c r="J8" i="5"/>
  <c r="J6" i="5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11" i="7"/>
  <c r="G5" i="6"/>
  <c r="G6" i="6"/>
  <c r="I6" i="6" s="1"/>
  <c r="G7" i="6"/>
  <c r="I7" i="6" s="1"/>
  <c r="G8" i="6"/>
  <c r="G9" i="6"/>
  <c r="G10" i="6"/>
  <c r="G11" i="6"/>
  <c r="I11" i="6" s="1"/>
  <c r="G12" i="6"/>
  <c r="I12" i="6" s="1"/>
  <c r="G13" i="6"/>
  <c r="I13" i="6" s="1"/>
  <c r="G14" i="6"/>
  <c r="I14" i="6" s="1"/>
  <c r="G15" i="6"/>
  <c r="I15" i="6" s="1"/>
  <c r="G16" i="6"/>
  <c r="I16" i="6" s="1"/>
  <c r="G17" i="6"/>
  <c r="G18" i="6"/>
  <c r="G19" i="6"/>
  <c r="I19" i="6" s="1"/>
  <c r="G20" i="6"/>
  <c r="G21" i="6"/>
  <c r="G22" i="6"/>
  <c r="I22" i="6" s="1"/>
  <c r="G23" i="6"/>
  <c r="G24" i="6"/>
  <c r="G25" i="6"/>
  <c r="G26" i="6"/>
  <c r="I9" i="6"/>
  <c r="I10" i="6"/>
  <c r="I21" i="6"/>
  <c r="I23" i="6"/>
  <c r="I24" i="6"/>
  <c r="I25" i="6"/>
  <c r="I26" i="6"/>
  <c r="I5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I8" i="6"/>
  <c r="I17" i="6"/>
  <c r="I18" i="6"/>
  <c r="I20" i="6"/>
  <c r="M17" i="10" l="1"/>
  <c r="M31" i="9"/>
  <c r="I28" i="6"/>
  <c r="G32" i="2" s="1"/>
  <c r="G21" i="2"/>
  <c r="G14" i="2"/>
  <c r="G6" i="2"/>
  <c r="G31" i="2" s="1"/>
  <c r="G34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zero</author>
  </authors>
  <commentList>
    <comment ref="C5" authorId="0" shapeId="0" xr:uid="{9B668FED-24AB-4179-82AE-7257BFF83955}">
      <text>
        <r>
          <rPr>
            <b/>
            <sz val="9"/>
            <color indexed="81"/>
            <rFont val="Segoe UI"/>
            <charset val="1"/>
          </rPr>
          <t>zero:</t>
        </r>
        <r>
          <rPr>
            <sz val="9"/>
            <color indexed="81"/>
            <rFont val="Segoe UI"/>
            <charset val="1"/>
          </rPr>
          <t xml:space="preserve">
Exibindo por meio do =índice que busca em determinada matriz, em determinada linha fornecida pelo retorno de corresp(onde pega o valor procurado e finda em uma matriz procurada -&gt; retornando o número da linha no find)
finalizando o match da fórmula fornecendo qual coluna findar -&gt; matriz, núm linha, núm colunm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<sst xmlns="http://schemas.openxmlformats.org/spreadsheetml/2006/main" count="337" uniqueCount="135">
  <si>
    <t>Resultados</t>
  </si>
  <si>
    <t>Manutenção de Equipamentos</t>
  </si>
  <si>
    <t>Impostos</t>
  </si>
  <si>
    <t>Limpeza</t>
  </si>
  <si>
    <t>Aluguel Loja</t>
  </si>
  <si>
    <t>Seguros</t>
  </si>
  <si>
    <t>Outros</t>
  </si>
  <si>
    <t>Vendas</t>
  </si>
  <si>
    <t>Receita Líquida</t>
  </si>
  <si>
    <t>Lucro Operacional Bruto</t>
  </si>
  <si>
    <t>Faturamento Bruto</t>
  </si>
  <si>
    <t>Lucro Líquido</t>
  </si>
  <si>
    <t>Despesas Fixas</t>
  </si>
  <si>
    <t>Compras Mercadorias</t>
  </si>
  <si>
    <t>Investimentos</t>
  </si>
  <si>
    <t>Controle de Estoque</t>
  </si>
  <si>
    <t>Salários</t>
  </si>
  <si>
    <t>Bonificações</t>
  </si>
  <si>
    <t>Vales (Refeição, Transporte)</t>
  </si>
  <si>
    <t>Informática</t>
  </si>
  <si>
    <t>Despesas Funcionamento (água, luz, gás, telefone, etc.)</t>
  </si>
  <si>
    <t>Serviços Terceirizados</t>
  </si>
  <si>
    <t>Escritório Contábil</t>
  </si>
  <si>
    <t>Escritório Advocacia</t>
  </si>
  <si>
    <t>Entregas</t>
  </si>
  <si>
    <t>Marketing</t>
  </si>
  <si>
    <t>Arroz</t>
  </si>
  <si>
    <t>Feijão</t>
  </si>
  <si>
    <t>Tomate</t>
  </si>
  <si>
    <t>Alface</t>
  </si>
  <si>
    <t>Carne</t>
  </si>
  <si>
    <t>Frango</t>
  </si>
  <si>
    <t>Peixe</t>
  </si>
  <si>
    <t>Queijo</t>
  </si>
  <si>
    <t>Vinho</t>
  </si>
  <si>
    <t>Suco</t>
  </si>
  <si>
    <t>Cenoura</t>
  </si>
  <si>
    <t>Vagem</t>
  </si>
  <si>
    <t>Amendoim</t>
  </si>
  <si>
    <t>Cerveja</t>
  </si>
  <si>
    <t>Vodka</t>
  </si>
  <si>
    <t>Couve</t>
  </si>
  <si>
    <t>Caixa de Fósforo</t>
  </si>
  <si>
    <t>Bala</t>
  </si>
  <si>
    <t>Chocolate</t>
  </si>
  <si>
    <t>Cigarro</t>
  </si>
  <si>
    <t>Barra de Cereal</t>
  </si>
  <si>
    <t>Despesas</t>
  </si>
  <si>
    <t>Despesas de Funcionamento</t>
  </si>
  <si>
    <t>Itens Despesas</t>
  </si>
  <si>
    <t>Data</t>
  </si>
  <si>
    <t>Observação</t>
  </si>
  <si>
    <t>Valor Intermediário</t>
  </si>
  <si>
    <t>Valor Final</t>
  </si>
  <si>
    <t>Funcionários</t>
  </si>
  <si>
    <t>Água</t>
  </si>
  <si>
    <t>Energia</t>
  </si>
  <si>
    <t>Gás</t>
  </si>
  <si>
    <t>Telefone</t>
  </si>
  <si>
    <t>Férias, Licença Maternidade</t>
  </si>
  <si>
    <t>Total de Despesas de Funcionamento</t>
  </si>
  <si>
    <t>Compras de Mercadoria</t>
  </si>
  <si>
    <t>Fornecedor</t>
  </si>
  <si>
    <t>Mercadoria</t>
  </si>
  <si>
    <t>Medida</t>
  </si>
  <si>
    <t>Quantidade</t>
  </si>
  <si>
    <t>Preço Unitário</t>
  </si>
  <si>
    <t>Desconto</t>
  </si>
  <si>
    <t>Valor Pago</t>
  </si>
  <si>
    <t>Produtos</t>
  </si>
  <si>
    <t>Preço de Compra Unitário</t>
  </si>
  <si>
    <t>Preço de Venda Unitário</t>
  </si>
  <si>
    <t>Unidade</t>
  </si>
  <si>
    <t>Pacote</t>
  </si>
  <si>
    <t>Kg</t>
  </si>
  <si>
    <t>Leite</t>
  </si>
  <si>
    <t>Litro</t>
  </si>
  <si>
    <t>Lata</t>
  </si>
  <si>
    <t>Barra</t>
  </si>
  <si>
    <t>Maço</t>
  </si>
  <si>
    <t>Pão de Forma</t>
  </si>
  <si>
    <t>Refrigerante</t>
  </si>
  <si>
    <t>Garrafa</t>
  </si>
  <si>
    <t>Fornecedor de Verduras</t>
  </si>
  <si>
    <t>Fornecedor de Grãos e Sementes</t>
  </si>
  <si>
    <t>Fornecedor de Bebidas</t>
  </si>
  <si>
    <t>Fornecedor de Cigarro</t>
  </si>
  <si>
    <t>Fornecedor de Doces</t>
  </si>
  <si>
    <t>Padaria</t>
  </si>
  <si>
    <t>Fornecedor de Frango</t>
  </si>
  <si>
    <t>Fornecedor de Peixe</t>
  </si>
  <si>
    <t>Fornecedor de Legumes</t>
  </si>
  <si>
    <t>Fornecedor de Carne</t>
  </si>
  <si>
    <t>Total de Compras de Mercadoria</t>
  </si>
  <si>
    <t>Total de Despesas</t>
  </si>
  <si>
    <t>Investimento</t>
  </si>
  <si>
    <t>Descrição</t>
  </si>
  <si>
    <t>Valor</t>
  </si>
  <si>
    <t>Estrutura</t>
  </si>
  <si>
    <t>Outras</t>
  </si>
  <si>
    <t>Equipamentos (Carrinhos, Balanças, Cortador de Queijo, etc)</t>
  </si>
  <si>
    <t>Documentação, Sistema de Informação, Estrutura Inicial, Sistema de Refrigeração, Equipamentos</t>
  </si>
  <si>
    <t>Produto</t>
  </si>
  <si>
    <t>Data da Última Compra</t>
  </si>
  <si>
    <t>Quantidade Inicial</t>
  </si>
  <si>
    <t>Quantidade Comprada</t>
  </si>
  <si>
    <t>Quantidade Vendida</t>
  </si>
  <si>
    <t>Quantidade Atual</t>
  </si>
  <si>
    <t>Situação</t>
  </si>
  <si>
    <t>Semana 1</t>
  </si>
  <si>
    <t>Id da Venda</t>
  </si>
  <si>
    <t>SubTotal</t>
  </si>
  <si>
    <t>Entrega</t>
  </si>
  <si>
    <t>Valor de Entrega</t>
  </si>
  <si>
    <t>Total</t>
  </si>
  <si>
    <t>Total para o Cliente</t>
  </si>
  <si>
    <t>Regiões de Entrega</t>
  </si>
  <si>
    <t>Preço</t>
  </si>
  <si>
    <t>Centro</t>
  </si>
  <si>
    <t>Loja</t>
  </si>
  <si>
    <t>Zona Norte</t>
  </si>
  <si>
    <t>Zona Oeste</t>
  </si>
  <si>
    <t>Zona Sul</t>
  </si>
  <si>
    <t>Receita de Vendas na Semana</t>
  </si>
  <si>
    <t>Receita de Entregas</t>
  </si>
  <si>
    <t>Semana 2</t>
  </si>
  <si>
    <t>Semana 3</t>
  </si>
  <si>
    <t>Semana 4</t>
  </si>
  <si>
    <t>Semana 5</t>
  </si>
  <si>
    <t>Agosto</t>
  </si>
  <si>
    <t>Total de vendas semana 1</t>
  </si>
  <si>
    <t>Total de vendas semana 2</t>
  </si>
  <si>
    <t>Total de vendas semana 3</t>
  </si>
  <si>
    <t>Total de vendas semana 4</t>
  </si>
  <si>
    <t>Total de vendas semana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</si>
</sst>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44" formatCode="_-&quot;R$&quot;\ * #,##0.00_-;\-&quot;R$&quot;\ * #,##0.00_-;_-&quot;R$&quot;\ * &quot;-&quot;??_-;_-@_-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9"/>
      <name val="Calibri"/>
      <family val="2"/>
      <scheme val="minor"/>
    </font>
    <font>
      <sz val="14"/>
      <color theme="9"/>
      <name val="Calibri"/>
      <family val="2"/>
      <scheme val="minor"/>
    </font>
    <font>
      <b/>
      <sz val="14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-0.499984740745262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ck">
        <color theme="9"/>
      </bottom>
      <diagonal/>
    </border>
    <border>
      <left/>
      <right/>
      <top style="thin">
        <color theme="9"/>
      </top>
      <bottom/>
      <diagonal/>
    </border>
    <border>
      <left/>
      <right/>
      <top/>
      <bottom style="thin">
        <color theme="9"/>
      </bottom>
      <diagonal/>
    </border>
    <border>
      <left style="thick">
        <color theme="9"/>
      </left>
      <right/>
      <top style="thick">
        <color theme="9"/>
      </top>
      <bottom/>
      <diagonal/>
    </border>
    <border>
      <left/>
      <right/>
      <top style="thick">
        <color theme="9"/>
      </top>
      <bottom/>
      <diagonal/>
    </border>
    <border>
      <left/>
      <right style="thick">
        <color theme="9"/>
      </right>
      <top style="thick">
        <color theme="9"/>
      </top>
      <bottom/>
      <diagonal/>
    </border>
    <border>
      <left style="thick">
        <color theme="9"/>
      </left>
      <right/>
      <top/>
      <bottom/>
      <diagonal/>
    </border>
    <border>
      <left/>
      <right style="thick">
        <color theme="9"/>
      </right>
      <top/>
      <bottom/>
      <diagonal/>
    </border>
    <border>
      <left style="thick">
        <color theme="9"/>
      </left>
      <right/>
      <top/>
      <bottom style="thick">
        <color theme="9"/>
      </bottom>
      <diagonal/>
    </border>
    <border>
      <left/>
      <right style="thick">
        <color theme="9"/>
      </right>
      <top/>
      <bottom style="thick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6">
    <xf numFmtId="0" fontId="0" fillId="0" borderId="0" xfId="0"/>
    <xf numFmtId="0" fontId="0" fillId="2" borderId="0" xfId="0" applyFill="1"/>
    <xf numFmtId="0" fontId="0" fillId="0" borderId="0" xfId="0" applyAlignment="1"/>
    <xf numFmtId="0" fontId="4" fillId="2" borderId="0" xfId="0" applyFont="1" applyFill="1" applyAlignment="1">
      <alignment vertical="center"/>
    </xf>
    <xf numFmtId="44" fontId="0" fillId="0" borderId="0" xfId="1" applyFont="1"/>
    <xf numFmtId="44" fontId="2" fillId="0" borderId="0" xfId="1" applyFont="1"/>
    <xf numFmtId="9" fontId="0" fillId="0" borderId="0" xfId="2" applyFont="1"/>
    <xf numFmtId="8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center"/>
    </xf>
    <xf numFmtId="0" fontId="3" fillId="0" borderId="1" xfId="0" applyFont="1" applyBorder="1"/>
    <xf numFmtId="44" fontId="3" fillId="0" borderId="1" xfId="0" applyNumberFormat="1" applyFont="1" applyBorder="1"/>
    <xf numFmtId="0" fontId="3" fillId="0" borderId="2" xfId="0" applyFont="1" applyBorder="1"/>
    <xf numFmtId="44" fontId="3" fillId="0" borderId="2" xfId="0" applyNumberFormat="1" applyFont="1" applyBorder="1"/>
    <xf numFmtId="14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5" fillId="3" borderId="0" xfId="0" applyFont="1" applyFill="1" applyAlignment="1">
      <alignment vertical="center"/>
    </xf>
    <xf numFmtId="0" fontId="0" fillId="0" borderId="0" xfId="0"/>
    <xf numFmtId="0" fontId="0" fillId="0" borderId="0" xfId="1" applyNumberFormat="1" applyFont="1"/>
    <xf numFmtId="0" fontId="3" fillId="0" borderId="3" xfId="0" applyFont="1" applyBorder="1"/>
    <xf numFmtId="44" fontId="3" fillId="0" borderId="3" xfId="0" applyNumberFormat="1" applyFont="1" applyBorder="1"/>
    <xf numFmtId="0" fontId="3" fillId="0" borderId="4" xfId="0" applyFont="1" applyBorder="1"/>
    <xf numFmtId="44" fontId="3" fillId="0" borderId="4" xfId="0" applyNumberFormat="1" applyFont="1" applyBorder="1"/>
    <xf numFmtId="14" fontId="0" fillId="0" borderId="5" xfId="0" applyNumberFormat="1" applyBorder="1"/>
    <xf numFmtId="0" fontId="0" fillId="0" borderId="0" xfId="0" applyNumberFormat="1"/>
    <xf numFmtId="44" fontId="0" fillId="0" borderId="0" xfId="1" applyNumberFormat="1" applyFont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0" fontId="0" fillId="0" borderId="15" xfId="0" applyBorder="1"/>
    <xf numFmtId="0" fontId="10" fillId="0" borderId="0" xfId="0" applyFont="1" applyBorder="1"/>
    <xf numFmtId="0" fontId="11" fillId="0" borderId="8" xfId="0" applyFont="1" applyBorder="1"/>
    <xf numFmtId="44" fontId="11" fillId="0" borderId="8" xfId="0" applyNumberFormat="1" applyFont="1" applyBorder="1"/>
    <xf numFmtId="0" fontId="11" fillId="0" borderId="16" xfId="0" applyFont="1" applyBorder="1"/>
    <xf numFmtId="44" fontId="11" fillId="0" borderId="16" xfId="0" applyNumberFormat="1" applyFont="1" applyBorder="1"/>
    <xf numFmtId="0" fontId="11" fillId="0" borderId="7" xfId="0" applyFont="1" applyBorder="1"/>
    <xf numFmtId="44" fontId="11" fillId="0" borderId="7" xfId="0" applyNumberFormat="1" applyFont="1" applyBorder="1"/>
    <xf numFmtId="0" fontId="12" fillId="0" borderId="0" xfId="0" applyFont="1" applyBorder="1"/>
    <xf numFmtId="44" fontId="12" fillId="0" borderId="0" xfId="0" applyNumberFormat="1" applyFont="1" applyBorder="1"/>
    <xf numFmtId="0" fontId="8" fillId="0" borderId="6" xfId="0" applyFont="1" applyBorder="1" applyAlignment="1">
      <alignment horizontal="right"/>
    </xf>
  </cellXfs>
  <cellStyles count="4">
    <cellStyle name="Moeda" xfId="1" builtinId="4"/>
    <cellStyle name="Moeda 2" xfId="3" xr:uid="{43C612B4-AE4A-476B-8C1F-D416BCD9B058}"/>
    <cellStyle name="Normal" xfId="0" builtinId="0"/>
    <cellStyle name="Porcentagem" xfId="2" builtinId="5"/>
  </cellStyles>
  <dxfs count="45">
    <dxf>
      <fill>
        <patternFill>
          <bgColor rgb="FFFF5050"/>
        </patternFill>
      </fill>
    </dxf>
    <dxf>
      <fill>
        <patternFill>
          <bgColor theme="7"/>
        </patternFill>
      </fill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0" formatCode="General"/>
    </dxf>
    <dxf>
      <numFmt numFmtId="19" formatCode="dd/mm/yyyy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358705161854764E-2"/>
          <c:y val="0.18300925925925926"/>
          <c:w val="0.88853018372703407"/>
          <c:h val="0.5528317293671624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Vendas!$E$10:$E$14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BD27-466B-93D5-B05232F480DA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Vendas!$F$10:$F$14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1-BD27-466B-93D5-B05232F480DA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Vendas!$D$10:$D$14</c:f>
              <c:strCache>
                <c:ptCount val="5"/>
                <c:pt idx="0">
                  <c:v>Total de vendas semana 1</c:v>
                </c:pt>
                <c:pt idx="1">
                  <c:v>Total de vendas semana 2</c:v>
                </c:pt>
                <c:pt idx="2">
                  <c:v>Total de vendas semana 3</c:v>
                </c:pt>
                <c:pt idx="3">
                  <c:v>Total de vendas semana 4</c:v>
                </c:pt>
                <c:pt idx="4">
                  <c:v>Total de vendas semana 5</c:v>
                </c:pt>
              </c:strCache>
            </c:strRef>
          </c:cat>
          <c:val>
            <c:numRef>
              <c:f>Vendas!$G$10:$G$14</c:f>
              <c:numCache>
                <c:formatCode>_("R$"* #,##0.00_);_("R$"* \(#,##0.00\);_("R$"* "-"??_);_(@_)</c:formatCode>
                <c:ptCount val="5"/>
                <c:pt idx="0">
                  <c:v>655.91200000000026</c:v>
                </c:pt>
                <c:pt idx="1">
                  <c:v>103.82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27-466B-93D5-B05232F480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1978415"/>
        <c:axId val="1948964863"/>
      </c:barChart>
      <c:catAx>
        <c:axId val="195197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48964863"/>
        <c:crosses val="autoZero"/>
        <c:auto val="1"/>
        <c:lblAlgn val="ctr"/>
        <c:lblOffset val="100"/>
        <c:noMultiLvlLbl val="0"/>
      </c:catAx>
      <c:valAx>
        <c:axId val="194896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1978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Controle Mercadorias'!A1"/><Relationship Id="rId7" Type="http://schemas.openxmlformats.org/officeDocument/2006/relationships/hyperlink" Target="#Vendas!A1"/><Relationship Id="rId2" Type="http://schemas.openxmlformats.org/officeDocument/2006/relationships/hyperlink" Target="#Despesas!A1"/><Relationship Id="rId1" Type="http://schemas.openxmlformats.org/officeDocument/2006/relationships/image" Target="../media/image1.png"/><Relationship Id="rId6" Type="http://schemas.openxmlformats.org/officeDocument/2006/relationships/hyperlink" Target="#Resultados!A1"/><Relationship Id="rId5" Type="http://schemas.openxmlformats.org/officeDocument/2006/relationships/hyperlink" Target="#'Controle de Estoque'!A1"/><Relationship Id="rId4" Type="http://schemas.openxmlformats.org/officeDocument/2006/relationships/hyperlink" Target="#Investimentos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Menu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hyperlink" Target="#Menu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Vendas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193055</xdr:colOff>
      <xdr:row>30</xdr:row>
      <xdr:rowOff>95250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190F2101-FF28-47ED-A75C-00437880DE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"/>
        <a:stretch/>
      </xdr:blipFill>
      <xdr:spPr>
        <a:xfrm>
          <a:off x="0" y="0"/>
          <a:ext cx="13604255" cy="5810250"/>
        </a:xfrm>
        <a:prstGeom prst="rect">
          <a:avLst/>
        </a:prstGeom>
      </xdr:spPr>
    </xdr:pic>
    <xdr:clientData/>
  </xdr:twoCellAnchor>
  <xdr:twoCellAnchor>
    <xdr:from>
      <xdr:col>0</xdr:col>
      <xdr:colOff>323850</xdr:colOff>
      <xdr:row>21</xdr:row>
      <xdr:rowOff>9525</xdr:rowOff>
    </xdr:from>
    <xdr:to>
      <xdr:col>3</xdr:col>
      <xdr:colOff>304800</xdr:colOff>
      <xdr:row>23</xdr:row>
      <xdr:rowOff>123825</xdr:rowOff>
    </xdr:to>
    <xdr:sp macro="" textlink="">
      <xdr:nvSpPr>
        <xdr:cNvPr id="2" name="Retângulo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A366F0-63ED-4512-A0AB-C9F856FC5ECD}"/>
            </a:ext>
          </a:extLst>
        </xdr:cNvPr>
        <xdr:cNvSpPr/>
      </xdr:nvSpPr>
      <xdr:spPr>
        <a:xfrm>
          <a:off x="323850" y="401002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Despesas</a:t>
          </a:r>
        </a:p>
      </xdr:txBody>
    </xdr:sp>
    <xdr:clientData/>
  </xdr:twoCellAnchor>
  <xdr:twoCellAnchor>
    <xdr:from>
      <xdr:col>4</xdr:col>
      <xdr:colOff>0</xdr:colOff>
      <xdr:row>21</xdr:row>
      <xdr:rowOff>19050</xdr:rowOff>
    </xdr:from>
    <xdr:to>
      <xdr:col>6</xdr:col>
      <xdr:colOff>590550</xdr:colOff>
      <xdr:row>23</xdr:row>
      <xdr:rowOff>133350</xdr:rowOff>
    </xdr:to>
    <xdr:sp macro="" textlink="">
      <xdr:nvSpPr>
        <xdr:cNvPr id="3" name="Retângulo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A63F9CF-E1BB-4C43-A57C-A0CB83FFFFB2}"/>
            </a:ext>
          </a:extLst>
        </xdr:cNvPr>
        <xdr:cNvSpPr/>
      </xdr:nvSpPr>
      <xdr:spPr>
        <a:xfrm>
          <a:off x="24384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Compras Mercadorias</a:t>
          </a:r>
        </a:p>
      </xdr:txBody>
    </xdr:sp>
    <xdr:clientData/>
  </xdr:twoCellAnchor>
  <xdr:twoCellAnchor>
    <xdr:from>
      <xdr:col>7</xdr:col>
      <xdr:colOff>333375</xdr:colOff>
      <xdr:row>21</xdr:row>
      <xdr:rowOff>19050</xdr:rowOff>
    </xdr:from>
    <xdr:to>
      <xdr:col>10</xdr:col>
      <xdr:colOff>314325</xdr:colOff>
      <xdr:row>23</xdr:row>
      <xdr:rowOff>133350</xdr:rowOff>
    </xdr:to>
    <xdr:sp macro="" textlink="">
      <xdr:nvSpPr>
        <xdr:cNvPr id="4" name="Retângulo 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7FCAB4-7B0C-46F0-BD2C-44D6F092877D}"/>
            </a:ext>
          </a:extLst>
        </xdr:cNvPr>
        <xdr:cNvSpPr/>
      </xdr:nvSpPr>
      <xdr:spPr>
        <a:xfrm>
          <a:off x="4600575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Investimentos</a:t>
          </a:r>
        </a:p>
      </xdr:txBody>
    </xdr:sp>
    <xdr:clientData/>
  </xdr:twoCellAnchor>
  <xdr:twoCellAnchor>
    <xdr:from>
      <xdr:col>11</xdr:col>
      <xdr:colOff>0</xdr:colOff>
      <xdr:row>21</xdr:row>
      <xdr:rowOff>19050</xdr:rowOff>
    </xdr:from>
    <xdr:to>
      <xdr:col>13</xdr:col>
      <xdr:colOff>590550</xdr:colOff>
      <xdr:row>23</xdr:row>
      <xdr:rowOff>133350</xdr:rowOff>
    </xdr:to>
    <xdr:sp macro="" textlink="">
      <xdr:nvSpPr>
        <xdr:cNvPr id="5" name="Retângulo 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5E9BB07-8430-42CB-A11E-6E78B46E53C4}"/>
            </a:ext>
          </a:extLst>
        </xdr:cNvPr>
        <xdr:cNvSpPr/>
      </xdr:nvSpPr>
      <xdr:spPr>
        <a:xfrm>
          <a:off x="6705600" y="4019550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Controle de Estoque</a:t>
          </a:r>
        </a:p>
      </xdr:txBody>
    </xdr:sp>
    <xdr:clientData/>
  </xdr:twoCellAnchor>
  <xdr:twoCellAnchor>
    <xdr:from>
      <xdr:col>18</xdr:col>
      <xdr:colOff>133350</xdr:colOff>
      <xdr:row>21</xdr:row>
      <xdr:rowOff>28575</xdr:rowOff>
    </xdr:from>
    <xdr:to>
      <xdr:col>21</xdr:col>
      <xdr:colOff>114300</xdr:colOff>
      <xdr:row>23</xdr:row>
      <xdr:rowOff>142875</xdr:rowOff>
    </xdr:to>
    <xdr:sp macro="" textlink="">
      <xdr:nvSpPr>
        <xdr:cNvPr id="6" name="Retângulo 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446B0-7377-4730-8C28-D36BCB8FBFB9}"/>
            </a:ext>
          </a:extLst>
        </xdr:cNvPr>
        <xdr:cNvSpPr/>
      </xdr:nvSpPr>
      <xdr:spPr>
        <a:xfrm>
          <a:off x="111061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Resultados</a:t>
          </a:r>
        </a:p>
      </xdr:txBody>
    </xdr:sp>
    <xdr:clientData/>
  </xdr:twoCellAnchor>
  <xdr:twoCellAnchor>
    <xdr:from>
      <xdr:col>14</xdr:col>
      <xdr:colOff>361950</xdr:colOff>
      <xdr:row>21</xdr:row>
      <xdr:rowOff>28575</xdr:rowOff>
    </xdr:from>
    <xdr:to>
      <xdr:col>17</xdr:col>
      <xdr:colOff>342900</xdr:colOff>
      <xdr:row>23</xdr:row>
      <xdr:rowOff>142875</xdr:rowOff>
    </xdr:to>
    <xdr:sp macro="" textlink="">
      <xdr:nvSpPr>
        <xdr:cNvPr id="7" name="Retângulo 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588D5EB-5C52-438C-B784-9569D54B0412}"/>
            </a:ext>
          </a:extLst>
        </xdr:cNvPr>
        <xdr:cNvSpPr/>
      </xdr:nvSpPr>
      <xdr:spPr>
        <a:xfrm>
          <a:off x="8896350" y="4029075"/>
          <a:ext cx="1809750" cy="4953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200026</xdr:colOff>
      <xdr:row>0</xdr:row>
      <xdr:rowOff>152400</xdr:rowOff>
    </xdr:from>
    <xdr:to>
      <xdr:col>7</xdr:col>
      <xdr:colOff>9525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3A3AA7-23BE-4868-B432-3784A233FE4B}"/>
            </a:ext>
          </a:extLst>
        </xdr:cNvPr>
        <xdr:cNvSpPr/>
      </xdr:nvSpPr>
      <xdr:spPr>
        <a:xfrm>
          <a:off x="9553576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0</xdr:row>
      <xdr:rowOff>171450</xdr:rowOff>
    </xdr:from>
    <xdr:to>
      <xdr:col>8</xdr:col>
      <xdr:colOff>1447799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17DDA9-C933-4C93-85EA-584EEA60DC69}"/>
            </a:ext>
          </a:extLst>
        </xdr:cNvPr>
        <xdr:cNvSpPr/>
      </xdr:nvSpPr>
      <xdr:spPr>
        <a:xfrm>
          <a:off x="770572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3695700</xdr:colOff>
      <xdr:row>0</xdr:row>
      <xdr:rowOff>171450</xdr:rowOff>
    </xdr:from>
    <xdr:to>
      <xdr:col>4</xdr:col>
      <xdr:colOff>1419224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944622-B1DE-4A6E-9D5E-0903CF1CB1D4}"/>
            </a:ext>
          </a:extLst>
        </xdr:cNvPr>
        <xdr:cNvSpPr/>
      </xdr:nvSpPr>
      <xdr:spPr>
        <a:xfrm>
          <a:off x="7229475" y="17145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0</xdr:row>
      <xdr:rowOff>152400</xdr:rowOff>
    </xdr:from>
    <xdr:to>
      <xdr:col>7</xdr:col>
      <xdr:colOff>704849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D5B4A9-1F27-40F3-B767-6E7D71726425}"/>
            </a:ext>
          </a:extLst>
        </xdr:cNvPr>
        <xdr:cNvSpPr/>
      </xdr:nvSpPr>
      <xdr:spPr>
        <a:xfrm>
          <a:off x="7943850" y="152400"/>
          <a:ext cx="1495424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495300</xdr:colOff>
      <xdr:row>0</xdr:row>
      <xdr:rowOff>171450</xdr:rowOff>
    </xdr:from>
    <xdr:to>
      <xdr:col>16</xdr:col>
      <xdr:colOff>19050</xdr:colOff>
      <xdr:row>2</xdr:row>
      <xdr:rowOff>47625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295A2D-C892-41A4-B02D-318CF5213A9A}"/>
            </a:ext>
          </a:extLst>
        </xdr:cNvPr>
        <xdr:cNvSpPr/>
      </xdr:nvSpPr>
      <xdr:spPr>
        <a:xfrm>
          <a:off x="8420100" y="171450"/>
          <a:ext cx="1352550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Home</a:t>
          </a:r>
        </a:p>
      </xdr:txBody>
    </xdr:sp>
    <xdr:clientData/>
  </xdr:twoCellAnchor>
  <xdr:twoCellAnchor>
    <xdr:from>
      <xdr:col>8</xdr:col>
      <xdr:colOff>66675</xdr:colOff>
      <xdr:row>6</xdr:row>
      <xdr:rowOff>147637</xdr:rowOff>
    </xdr:from>
    <xdr:to>
      <xdr:col>14</xdr:col>
      <xdr:colOff>981075</xdr:colOff>
      <xdr:row>19</xdr:row>
      <xdr:rowOff>119062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8BFE13B-9D84-43FC-94C9-01C34B3F6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152400</xdr:rowOff>
    </xdr:from>
    <xdr:to>
      <xdr:col>13</xdr:col>
      <xdr:colOff>9524</xdr:colOff>
      <xdr:row>2</xdr:row>
      <xdr:rowOff>28575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34C66F-FE51-4C5E-95AA-DA6A54C7AA52}"/>
            </a:ext>
          </a:extLst>
        </xdr:cNvPr>
        <xdr:cNvSpPr/>
      </xdr:nvSpPr>
      <xdr:spPr>
        <a:xfrm>
          <a:off x="9525000" y="152400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0</xdr:row>
      <xdr:rowOff>161925</xdr:rowOff>
    </xdr:from>
    <xdr:to>
      <xdr:col>12</xdr:col>
      <xdr:colOff>1352549</xdr:colOff>
      <xdr:row>2</xdr:row>
      <xdr:rowOff>38100</xdr:rowOff>
    </xdr:to>
    <xdr:sp macro="" textlink="">
      <xdr:nvSpPr>
        <xdr:cNvPr id="4" name="Retângulo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11E54D-6CAF-4B61-ABED-B77D7254798E}"/>
            </a:ext>
          </a:extLst>
        </xdr:cNvPr>
        <xdr:cNvSpPr/>
      </xdr:nvSpPr>
      <xdr:spPr>
        <a:xfrm>
          <a:off x="9515475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97AE0-8947-4BE8-ACF5-876C55120B5D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3" name="Retângulo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F7197-1522-4AEE-A3C5-1F17C7965E93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0</xdr:row>
      <xdr:rowOff>161925</xdr:rowOff>
    </xdr:from>
    <xdr:to>
      <xdr:col>13</xdr:col>
      <xdr:colOff>9524</xdr:colOff>
      <xdr:row>2</xdr:row>
      <xdr:rowOff>38100</xdr:rowOff>
    </xdr:to>
    <xdr:sp macro="" textlink="">
      <xdr:nvSpPr>
        <xdr:cNvPr id="2" name="Retângulo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603AD2-3F1A-4C55-86F8-9D4B29D5E97C}"/>
            </a:ext>
          </a:extLst>
        </xdr:cNvPr>
        <xdr:cNvSpPr/>
      </xdr:nvSpPr>
      <xdr:spPr>
        <a:xfrm>
          <a:off x="9525000" y="161925"/>
          <a:ext cx="1581149" cy="4191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/>
            <a:t>Vendas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1CB242-0FDA-4BC4-B43B-B0315FEC762A}" name="Tabela3" displayName="Tabela3" ref="B4:G29" totalsRowShown="0">
  <autoFilter ref="B4:G29" xr:uid="{0B1CB242-0FDA-4BC4-B43B-B0315FEC762A}"/>
  <tableColumns count="6">
    <tableColumn id="1" xr3:uid="{0B7A400C-D70B-4B7B-A57F-54832EE6E017}" name="Despesas de Funcionamento"/>
    <tableColumn id="2" xr3:uid="{D6C62100-B74D-4F31-AEC9-510678104F34}" name="Itens Despesas"/>
    <tableColumn id="3" xr3:uid="{90EFB5CF-C060-4EF7-BAD8-84AFCA8F2B14}" name="Data"/>
    <tableColumn id="4" xr3:uid="{46A17CC6-9909-46AA-B040-0B7A0D4DED75}" name="Observação"/>
    <tableColumn id="5" xr3:uid="{1A7540E0-EBF4-4DD2-A618-A1419133730B}" name="Valor Intermediário" dataCellStyle="Moeda"/>
    <tableColumn id="6" xr3:uid="{70873A7A-F3CC-40EA-8053-C40E9F85FE09}" name="Valor Final" dataCellStyle="Moeda"/>
  </tableColumns>
  <tableStyleInfo name="TableStyleMedium28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2720A9-1BD4-45A2-A452-63A7E6333F8F}" name="Tabela2" displayName="Tabela2" ref="B4:I26" totalsRowShown="0">
  <autoFilter ref="B4:I26" xr:uid="{352720A9-1BD4-45A2-A452-63A7E6333F8F}"/>
  <sortState xmlns:xlrd2="http://schemas.microsoft.com/office/spreadsheetml/2017/richdata2" ref="B5:I26">
    <sortCondition descending="1" ref="B4:B26"/>
  </sortState>
  <tableColumns count="8">
    <tableColumn id="1" xr3:uid="{70F01BB3-039F-4F6A-9127-0FE396F11917}" name="Data" dataDxfId="44"/>
    <tableColumn id="2" xr3:uid="{23FDBB76-891B-4BEF-88E5-CF45534E4FA6}" name="Fornecedor"/>
    <tableColumn id="3" xr3:uid="{47E77675-1CB5-4223-999C-CD7D30DA4298}" name="Mercadoria"/>
    <tableColumn id="4" xr3:uid="{50509D53-9FDE-434A-A21C-765E6322AE8A}" name="Medida" dataDxfId="43">
      <calculatedColumnFormula>IFERROR(VLOOKUP(Tabela2[[#This Row],[Mercadoria]],cálculos!$M$7:$P$34,4,FALSE),"")</calculatedColumnFormula>
    </tableColumn>
    <tableColumn id="5" xr3:uid="{FF08DCA9-D260-4B65-9D79-32D0EDA3AD9A}" name="Quantidade"/>
    <tableColumn id="6" xr3:uid="{BDD50E25-5158-4F1F-BC90-ABBF12938393}" name="Preço Unitário" dataDxfId="42" dataCellStyle="Moeda">
      <calculatedColumnFormula>IFERROR(VLOOKUP(Tabela2[[#This Row],[Mercadoria]],cálculos!$M$7:$P$34,2,FALSE),"")</calculatedColumnFormula>
    </tableColumn>
    <tableColumn id="7" xr3:uid="{FBF94F4E-37BE-4D76-BDDD-D3C765A36413}" name="Desconto" dataCellStyle="Porcentagem"/>
    <tableColumn id="8" xr3:uid="{AEFD3C74-15EE-4D2B-9559-6E09557523AE}" name="Valor Pago" dataDxfId="41" dataCellStyle="Moeda">
      <calculatedColumnFormula>Tabela2[[#This Row],[Quantidade]]*Tabela2[[#This Row],[Preço Unitário]]*(1-Tabela2[[#This Row],[Desconto]])</calculatedColumnFormula>
    </tableColumn>
  </tableColumns>
  <tableStyleInfo name="TableStyleMedium2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260D52-81F2-4162-98BF-30718AC2EAF3}" name="Tabela4" displayName="Tabela4" ref="B4:E9" totalsRowShown="0">
  <autoFilter ref="B4:E9" xr:uid="{C4260D52-81F2-4162-98BF-30718AC2EAF3}"/>
  <tableColumns count="4">
    <tableColumn id="1" xr3:uid="{3DE2EC2D-FE65-43D5-9E03-63CA32193761}" name="Investimento" dataDxfId="40"/>
    <tableColumn id="2" xr3:uid="{129E839C-F6BB-4D91-906F-D4AE5BA48C18}" name="Data" dataDxfId="39"/>
    <tableColumn id="3" xr3:uid="{81A341C0-EC03-4544-8A0B-6ECB312FEAC6}" name="Descrição" dataDxfId="38"/>
    <tableColumn id="4" xr3:uid="{8DA02AF3-1548-4A14-9A42-6E5373D624E7}" name="Valor" dataCellStyle="Moeda"/>
  </tableColumns>
  <tableStyleInfo name="TableStyleMedium2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CF6E44-08DA-45E7-A768-DF394F8148AD}" name="Tabela1" displayName="Tabela1" ref="B4:H28">
  <autoFilter ref="B4:H28" xr:uid="{64CF6E44-08DA-45E7-A768-DF394F8148AD}"/>
  <tableColumns count="7">
    <tableColumn id="1" xr3:uid="{46C366B8-BE15-4500-9E9A-C4C93EDADFBF}" name="Produto" totalsRowLabel="Total"/>
    <tableColumn id="2" xr3:uid="{9D624FE4-2073-40B5-AD69-FB6399F49BF6}" name="Data da Última Compra" dataDxfId="37">
      <calculatedColumnFormula>IFERROR(INDEX(Tabela2[],MATCH(Tabela1[[#This Row],[Produto]],Tabela2[Mercadoria],0),1),"")</calculatedColumnFormula>
    </tableColumn>
    <tableColumn id="3" xr3:uid="{34D575FB-E869-42B1-9733-C1CFD882C0FC}" name="Quantidade Inicial"/>
    <tableColumn id="4" xr3:uid="{28E8EF48-C2E8-4765-B5A6-39213CF6B625}" name="Quantidade Comprada" dataDxfId="36">
      <calculatedColumnFormula>SUMIF(Tabela2[Mercadoria],Tabela1[[#This Row],[Produto]],Tabela2[Quantidade])</calculatedColumnFormula>
    </tableColumn>
    <tableColumn id="5" xr3:uid="{3C6F5A4F-73EA-45E7-87BB-37AB4997CF61}" name="Quantidade Vendida"/>
    <tableColumn id="6" xr3:uid="{1B4BCCD1-849F-41FE-B38F-0C45630FAFDF}" name="Quantidade Atual" dataDxfId="35">
      <calculatedColumnFormula>Tabela1[[#This Row],[Quantidade Inicial]]+Tabela1[[#This Row],[Quantidade Comprada]]-Tabela1[[#This Row],[Quantidade Vendida]]</calculatedColumnFormula>
    </tableColumn>
    <tableColumn id="7" xr3:uid="{B347FC4C-1C5A-4E5F-85DB-5FA2798D7D01}" name="Situação" totalsRowFunction="count" dataDxfId="34">
      <calculatedColumnFormula>IF(Tabela1[[#This Row],[Quantidade Atual]]&lt;50,IF(Tabela1[[#This Row],[Quantidade Atual]]&lt;21,"Comprar","Atenção"),"Ok")</calculatedColumnFormula>
    </tableColumn>
  </tableColumns>
  <tableStyleInfo name="TableStyleMedium2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C993584-BA2D-43F0-93ED-D623A63EDD88}" name="Tabela5" displayName="Tabela5" ref="B4:M29" totalsRowShown="0">
  <autoFilter ref="B4:M29" xr:uid="{CC993584-BA2D-43F0-93ED-D623A63EDD88}"/>
  <sortState xmlns:xlrd2="http://schemas.microsoft.com/office/spreadsheetml/2017/richdata2" ref="B5:M29">
    <sortCondition descending="1" ref="B4:B29"/>
  </sortState>
  <tableColumns count="12">
    <tableColumn id="1" xr3:uid="{3737DABE-D6EE-4F59-A12C-034FE441E40A}" name="Id da Venda"/>
    <tableColumn id="2" xr3:uid="{37F6714B-5309-4E75-AC83-CA137426F275}" name="Data" dataDxfId="33"/>
    <tableColumn id="3" xr3:uid="{098A8685-426F-4B00-8B9A-AC231D18B90F}" name="Produto"/>
    <tableColumn id="4" xr3:uid="{260E818A-3D97-43C5-AA6F-6AD331804B75}" name="Medida" dataDxfId="32">
      <calculatedColumnFormula>IFERROR(VLOOKUP(Tabela5[[#This Row],[Produto]],cálculos!$M$7:$P$31,4,FALSE),"")</calculatedColumnFormula>
    </tableColumn>
    <tableColumn id="5" xr3:uid="{059DA008-4A32-4057-812C-3D932A132A79}" name="Quantidade"/>
    <tableColumn id="6" xr3:uid="{8166E928-B434-47CA-99B0-709F3F85DA94}" name="Preço Unitário" dataDxfId="31" dataCellStyle="Moeda">
      <calculatedColumnFormula>IFERROR(VLOOKUP(Tabela5[[#This Row],[Produto]],cálculos!$M$7:$P$31,3,FALSE),0)</calculatedColumnFormula>
    </tableColumn>
    <tableColumn id="7" xr3:uid="{5B0D52A9-73ED-4B29-AC74-D34DD4ECBFBA}" name="SubTotal" dataDxfId="30" dataCellStyle="Moeda">
      <calculatedColumnFormula>Tabela5[[#This Row],[Preço Unitário]]*Tabela5[[#This Row],[Quantidade]]</calculatedColumnFormula>
    </tableColumn>
    <tableColumn id="8" xr3:uid="{0FA4A39A-7392-4DAF-B8AD-9CDA986D4740}" name="Desconto" dataDxfId="29" dataCellStyle="Porcentagem"/>
    <tableColumn id="9" xr3:uid="{F725BE9C-C71B-49D8-B12C-03F7062FB43E}" name="Entrega"/>
    <tableColumn id="10" xr3:uid="{A1F728EA-36F0-45F2-8E8C-0DE5B31DAE1D}" name="Valor de Entrega" dataDxfId="28" dataCellStyle="Moeda">
      <calculatedColumnFormula>IF(Tabela5[[#This Row],[Id da Venda]]=B6,0,VLOOKUP(Tabela5[[#This Row],[Entrega]],cálculos!$B$7:$C$11,2,FALSE))</calculatedColumnFormula>
    </tableColumn>
    <tableColumn id="11" xr3:uid="{FB59B27A-F13E-4079-866F-8BBBE1ADE501}" name="Total" dataDxfId="27" dataCellStyle="Moeda">
      <calculatedColumnFormula>Tabela5[[#This Row],[SubTotal]]*(1 - Tabela5[[#This Row],[Desconto]])+Tabela5[[#This Row],[Valor de Entrega]]</calculatedColumnFormula>
    </tableColumn>
    <tableColumn id="12" xr3:uid="{F41EE8F0-5091-4212-AB61-6A6BB81E06EA}" name="Total para o Cliente" dataDxfId="26" dataCellStyle="Moeda">
      <calculatedColumnFormula>IF(Tabela5[[#This Row],[Id da Venda]]=B6,"",SUMIF(Tabela5[Id da Venda],Tabela5[[#This Row],[Id da Venda]],Tabela5[Total]))</calculatedColumnFormula>
    </tableColumn>
  </tableColumns>
  <tableStyleInfo name="TableStyleMedium28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3D15F4B-E598-493A-B142-F64C6D68C5F8}" name="Tabela57" displayName="Tabela57" ref="B4:M15" totalsRowShown="0">
  <autoFilter ref="B4:M15" xr:uid="{13D15F4B-E598-493A-B142-F64C6D68C5F8}"/>
  <tableColumns count="12">
    <tableColumn id="1" xr3:uid="{EF7D5F4F-E81D-4B69-8CDD-E570A7D9D93A}" name="Id da Venda"/>
    <tableColumn id="2" xr3:uid="{2B6FC9F5-E966-4CFF-98AF-CBBE8CEB93FE}" name="Data"/>
    <tableColumn id="3" xr3:uid="{856465FB-BF97-4416-8BB3-C3ACF7D41AA6}" name="Produto"/>
    <tableColumn id="4" xr3:uid="{DD38D336-5E77-46E1-9B33-BF93FC0E788C}" name="Medida" dataDxfId="25">
      <calculatedColumnFormula>IFERROR(VLOOKUP(Tabela57[[#This Row],[Produto]],cálculos!$M$7:$P$31,4,FALSE),"")</calculatedColumnFormula>
    </tableColumn>
    <tableColumn id="5" xr3:uid="{AD93DD2E-782E-4666-B095-0BE2EDC800D0}" name="Quantidade"/>
    <tableColumn id="6" xr3:uid="{49B276E8-AF1C-4EB9-A19B-4E32AA04FEFD}" name="Preço Unitário" dataDxfId="24" dataCellStyle="Moeda">
      <calculatedColumnFormula>IFERROR(VLOOKUP(Tabela57[[#This Row],[Produto]],cálculos!$M$7:$P$31,3,FALSE),0)</calculatedColumnFormula>
    </tableColumn>
    <tableColumn id="7" xr3:uid="{609C5A11-606B-46DF-87F4-D62A4539BDEC}" name="SubTotal" dataDxfId="23" dataCellStyle="Moeda">
      <calculatedColumnFormula>Tabela57[[#This Row],[Preço Unitário]]*Tabela57[[#This Row],[Quantidade]]</calculatedColumnFormula>
    </tableColumn>
    <tableColumn id="8" xr3:uid="{02E3827B-C0A7-4EB6-9714-8C45E1805E50}" name="Desconto" dataCellStyle="Porcentagem"/>
    <tableColumn id="9" xr3:uid="{18E066A9-A495-4229-91F2-958EE9A77257}" name="Entrega"/>
    <tableColumn id="10" xr3:uid="{868D6B54-6FCE-444C-9A98-327F8252289B}" name="Valor de Entrega" dataDxfId="22" dataCellStyle="Moeda">
      <calculatedColumnFormula>IFERROR(VLOOKUP(Tabela57[[#This Row],[Entrega]],cálculos!$B$7:$C$11,2,FALSE),0)</calculatedColumnFormula>
    </tableColumn>
    <tableColumn id="11" xr3:uid="{7CF1F82D-735D-402F-B0CF-B3FE1FCD42BE}" name="Total" dataDxfId="21" dataCellStyle="Moeda">
      <calculatedColumnFormula>Tabela57[[#This Row],[SubTotal]]*(1 - Tabela57[[#This Row],[Desconto]])+Tabela57[[#This Row],[Valor de Entrega]]</calculatedColumnFormula>
    </tableColumn>
    <tableColumn id="12" xr3:uid="{A839CEB0-FFD4-473A-B9DD-173894133EF3}" name="Total para o Cliente" dataDxfId="20" dataCellStyle="Moeda">
      <calculatedColumnFormula>IF(Tabela57[[#This Row],[Id da Venda]]=B6,"",SUMIF(Tabela57[Id da Venda],Tabela57[[#This Row],[Id da Venda]],Tabela57[Total]))</calculatedColumnFormula>
    </tableColumn>
  </tableColumns>
  <tableStyleInfo name="TableStyleMedium28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E36CA1-1935-4AAF-8FA3-56A7B54B1F7B}" name="Tabela58" displayName="Tabela58" ref="B4:M15" totalsRowShown="0">
  <autoFilter ref="B4:M15" xr:uid="{90E36CA1-1935-4AAF-8FA3-56A7B54B1F7B}"/>
  <tableColumns count="12">
    <tableColumn id="1" xr3:uid="{9DFB229B-DA21-4029-A82D-6469CB1FD9C3}" name="Id da Venda"/>
    <tableColumn id="2" xr3:uid="{D1D96CF1-90F1-4E06-B6D2-77A8F5050BF4}" name="Data"/>
    <tableColumn id="3" xr3:uid="{63903A64-01C2-4183-81ED-62F5971C61B2}" name="Produto"/>
    <tableColumn id="4" xr3:uid="{5AEE8A70-0BE2-4C9B-909B-D6311A223E94}" name="Medida" dataDxfId="19">
      <calculatedColumnFormula>IFERROR(VLOOKUP(Tabela58[[#This Row],[Produto]],cálculos!$M$7:$P$31,4,FALSE),"")</calculatedColumnFormula>
    </tableColumn>
    <tableColumn id="5" xr3:uid="{D9D3FB24-2C9C-409B-ACEE-7FFC875B7663}" name="Quantidade"/>
    <tableColumn id="6" xr3:uid="{D0F473B5-1921-47BF-B8F9-EBC560004371}" name="Preço Unitário" dataDxfId="18" dataCellStyle="Moeda">
      <calculatedColumnFormula>IFERROR(VLOOKUP(Tabela58[[#This Row],[Produto]],cálculos!$M$7:$P$31,3,FALSE),0)</calculatedColumnFormula>
    </tableColumn>
    <tableColumn id="7" xr3:uid="{8A7B683E-1EE9-49AD-9A38-2F14490713B3}" name="SubTotal" dataDxfId="17" dataCellStyle="Moeda">
      <calculatedColumnFormula>Tabela58[[#This Row],[Preço Unitário]]*Tabela58[[#This Row],[Quantidade]]</calculatedColumnFormula>
    </tableColumn>
    <tableColumn id="8" xr3:uid="{2609A5E7-65E1-40F1-A55D-4A085B5458D5}" name="Desconto" dataCellStyle="Porcentagem"/>
    <tableColumn id="9" xr3:uid="{B60D6E5B-8DAB-4FEE-B47A-6746ED368BFC}" name="Entrega"/>
    <tableColumn id="10" xr3:uid="{1AA1BBEB-FA48-4868-B788-3BE480EC3641}" name="Valor de Entrega" dataDxfId="16" dataCellStyle="Moeda">
      <calculatedColumnFormula>IFERROR(VLOOKUP(Tabela58[[#This Row],[Entrega]],cálculos!$B$7:$C$11,2,FALSE),0)</calculatedColumnFormula>
    </tableColumn>
    <tableColumn id="11" xr3:uid="{D1A75EBE-1E56-4116-9973-B379F1A5E6F0}" name="Total" dataDxfId="15" dataCellStyle="Moeda">
      <calculatedColumnFormula>Tabela58[[#This Row],[SubTotal]]*(1 - Tabela58[[#This Row],[Desconto]])+Tabela58[[#This Row],[Valor de Entrega]]</calculatedColumnFormula>
    </tableColumn>
    <tableColumn id="12" xr3:uid="{DAEC0DE5-B891-47A0-8B19-5307A968E3CC}" name="Total para o Cliente" dataDxfId="14" dataCellStyle="Moeda">
      <calculatedColumnFormula>IF(Tabela58[[#This Row],[Id da Venda]]=B6,"",SUMIF(Tabela58[Id da Venda],Tabela58[[#This Row],[Id da Venda]],Tabela58[Total]))</calculatedColumnFormula>
    </tableColumn>
  </tableColumns>
  <tableStyleInfo name="TableStyleMedium28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097CE8E-BDC1-4A0C-A072-D23268B5186F}" name="Tabela59" displayName="Tabela59" ref="B4:M15" totalsRowShown="0">
  <autoFilter ref="B4:M15" xr:uid="{E097CE8E-BDC1-4A0C-A072-D23268B5186F}"/>
  <tableColumns count="12">
    <tableColumn id="1" xr3:uid="{BAD241FC-FEF6-4531-BB4B-2B112245EC84}" name="Id da Venda"/>
    <tableColumn id="2" xr3:uid="{4213A27C-100E-4E40-B852-6DAD63221A71}" name="Data"/>
    <tableColumn id="3" xr3:uid="{FBB10A83-F749-4D61-BA4D-9A6533B7FEB8}" name="Produto"/>
    <tableColumn id="4" xr3:uid="{E8FA974C-0C3B-401A-B6FD-25063F2E6478}" name="Medida" dataDxfId="13">
      <calculatedColumnFormula>IFERROR(VLOOKUP(Tabela59[[#This Row],[Produto]],cálculos!$M$7:$P$31,4,FALSE),"")</calculatedColumnFormula>
    </tableColumn>
    <tableColumn id="5" xr3:uid="{93E6AF85-0AA0-4B14-9513-91ED7FB3602A}" name="Quantidade"/>
    <tableColumn id="6" xr3:uid="{A01183EB-74C9-4E6B-B3A8-532DAE9C0EC9}" name="Preço Unitário" dataDxfId="12" dataCellStyle="Moeda">
      <calculatedColumnFormula>IFERROR(VLOOKUP(Tabela59[[#This Row],[Produto]],cálculos!$M$7:$P$31,3,FALSE),0)</calculatedColumnFormula>
    </tableColumn>
    <tableColumn id="7" xr3:uid="{24DCBB98-DF97-4E91-88B7-EB3FF4AACAA6}" name="SubTotal" dataDxfId="11" dataCellStyle="Moeda">
      <calculatedColumnFormula>Tabela59[[#This Row],[Preço Unitário]]*Tabela59[[#This Row],[Quantidade]]</calculatedColumnFormula>
    </tableColumn>
    <tableColumn id="8" xr3:uid="{71CEAB54-BC14-4977-9F4A-9AE74EFCF934}" name="Desconto" dataCellStyle="Porcentagem"/>
    <tableColumn id="9" xr3:uid="{AEE7F2D7-AF98-4C33-80C6-8AE18239157E}" name="Entrega"/>
    <tableColumn id="10" xr3:uid="{E043D4D8-B241-41EB-9FA2-28B03F0464A1}" name="Valor de Entrega" dataDxfId="10" dataCellStyle="Moeda">
      <calculatedColumnFormula>IFERROR(VLOOKUP(Tabela59[[#This Row],[Entrega]],cálculos!$B$7:$C$11,2,FALSE),0)</calculatedColumnFormula>
    </tableColumn>
    <tableColumn id="11" xr3:uid="{D00BD8CD-4E8D-4099-A6AF-DC6C39383E89}" name="Total" dataDxfId="9" dataCellStyle="Moeda">
      <calculatedColumnFormula>Tabela59[[#This Row],[SubTotal]]*(1 - Tabela59[[#This Row],[Desconto]])+Tabela59[[#This Row],[Valor de Entrega]]</calculatedColumnFormula>
    </tableColumn>
    <tableColumn id="12" xr3:uid="{FA37B1A0-582E-493C-BDB3-028730689B4F}" name="Total para o Cliente" dataDxfId="8" dataCellStyle="Moeda">
      <calculatedColumnFormula>IF(Tabela59[[#This Row],[Id da Venda]]=B6,"",SUMIF(Tabela59[Id da Venda],Tabela59[[#This Row],[Id da Venda]],Tabela59[Total]))</calculatedColumnFormula>
    </tableColumn>
  </tableColumns>
  <tableStyleInfo name="TableStyleMedium28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C24C24-25C2-4B0E-A179-AD483E09D722}" name="Tabela5910" displayName="Tabela5910" ref="B4:M15" totalsRowShown="0">
  <autoFilter ref="B4:M15" xr:uid="{58C24C24-25C2-4B0E-A179-AD483E09D722}"/>
  <tableColumns count="12">
    <tableColumn id="1" xr3:uid="{0FCFF496-1814-410F-ABF4-CB2A27F6C181}" name="Id da Venda"/>
    <tableColumn id="2" xr3:uid="{D98BEDD6-0C49-4F7A-8A6B-F1A8275F59BB}" name="Data"/>
    <tableColumn id="3" xr3:uid="{2497BEF2-F9CC-479D-944E-75AFB9C63334}" name="Produto"/>
    <tableColumn id="4" xr3:uid="{95F6C9B9-35CA-45A8-BCB1-58B84AB19A5A}" name="Medida" dataDxfId="7">
      <calculatedColumnFormula>IFERROR(VLOOKUP(Tabela5910[[#This Row],[Produto]],cálculos!$M$7:$P$31,4,FALSE),"")</calculatedColumnFormula>
    </tableColumn>
    <tableColumn id="5" xr3:uid="{6BEBE7C6-A3F7-4015-B659-714498201054}" name="Quantidade"/>
    <tableColumn id="6" xr3:uid="{A0018570-D78F-4AF7-863D-4A87B33FFEB6}" name="Preço Unitário" dataDxfId="6" dataCellStyle="Moeda">
      <calculatedColumnFormula>IFERROR(VLOOKUP(Tabela5910[[#This Row],[Produto]],cálculos!$M$7:$P$31,3,FALSE),0)</calculatedColumnFormula>
    </tableColumn>
    <tableColumn id="7" xr3:uid="{21D8DD35-CDAC-4A87-A570-E4AC6842F334}" name="SubTotal" dataDxfId="5" dataCellStyle="Moeda">
      <calculatedColumnFormula>Tabela5910[[#This Row],[Preço Unitário]]*Tabela5910[[#This Row],[Quantidade]]</calculatedColumnFormula>
    </tableColumn>
    <tableColumn id="8" xr3:uid="{45C60647-4AFD-46F9-BBCB-D010B8C4D5A3}" name="Desconto" dataCellStyle="Porcentagem"/>
    <tableColumn id="9" xr3:uid="{67B3CCC2-89B9-4DE5-8561-05A98ABA1597}" name="Entrega"/>
    <tableColumn id="10" xr3:uid="{E679215B-C7A3-48DE-B602-5AE0FBCAAAE5}" name="Valor de Entrega" dataDxfId="4" dataCellStyle="Moeda">
      <calculatedColumnFormula>IFERROR(VLOOKUP(Tabela5910[[#This Row],[Entrega]],cálculos!$B$7:$C$11,2,FALSE),0)</calculatedColumnFormula>
    </tableColumn>
    <tableColumn id="11" xr3:uid="{043824D5-311C-4DEE-A15B-7E0406417187}" name="Total" dataDxfId="3" dataCellStyle="Moeda">
      <calculatedColumnFormula>Tabela5910[[#This Row],[SubTotal]]*(1 - Tabela5910[[#This Row],[Desconto]])+Tabela5910[[#This Row],[Valor de Entrega]]</calculatedColumnFormula>
    </tableColumn>
    <tableColumn id="12" xr3:uid="{9F29B0E6-5B32-42BC-ABD3-C98CAF68E066}" name="Total para o Cliente" dataDxfId="2" dataCellStyle="Moeda">
      <calculatedColumnFormula>IF(Tabela5910[[#This Row],[Id da Venda]]=B6,"",SUMIF(Tabela5910[Id da Venda],Tabela5910[[#This Row],[Id da Venda]],Tabela5910[Total]))</calculatedColumnFormula>
    </tableColumn>
  </tableColumns>
  <tableStyleInfo name="TableStyleMedium28" showFirstColumn="1" showLastColumn="1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3"/>
  <sheetViews>
    <sheetView showGridLines="0" zoomScaleNormal="100" workbookViewId="0"/>
  </sheetViews>
  <sheetFormatPr defaultRowHeight="15" x14ac:dyDescent="0.25"/>
  <sheetData>
    <row r="3" spans="2:2" x14ac:dyDescent="0.25">
      <c r="B3" t="s">
        <v>12</v>
      </c>
    </row>
    <row r="5" spans="2:2" x14ac:dyDescent="0.25">
      <c r="B5" t="s">
        <v>13</v>
      </c>
    </row>
    <row r="7" spans="2:2" x14ac:dyDescent="0.25">
      <c r="B7" t="s">
        <v>14</v>
      </c>
    </row>
    <row r="9" spans="2:2" x14ac:dyDescent="0.25">
      <c r="B9" t="s">
        <v>15</v>
      </c>
    </row>
    <row r="11" spans="2:2" x14ac:dyDescent="0.25">
      <c r="B11" t="s">
        <v>0</v>
      </c>
    </row>
    <row r="13" spans="2:2" x14ac:dyDescent="0.25">
      <c r="B13" t="s">
        <v>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H34"/>
  <sheetViews>
    <sheetView showGridLines="0" workbookViewId="0"/>
  </sheetViews>
  <sheetFormatPr defaultRowHeight="15" x14ac:dyDescent="0.25"/>
  <cols>
    <col min="2" max="2" width="51.42578125" bestFit="1" customWidth="1"/>
    <col min="3" max="3" width="26.5703125" bestFit="1" customWidth="1"/>
    <col min="4" max="4" width="7.140625" customWidth="1"/>
    <col min="5" max="5" width="25.42578125" customWidth="1"/>
    <col min="6" max="6" width="20.5703125" customWidth="1"/>
    <col min="7" max="7" width="25.28515625" bestFit="1" customWidth="1"/>
  </cols>
  <sheetData>
    <row r="2" spans="2:8" s="1" customFormat="1" ht="27.95" customHeight="1" x14ac:dyDescent="0.25">
      <c r="B2" s="3" t="s">
        <v>47</v>
      </c>
    </row>
    <row r="4" spans="2:8" x14ac:dyDescent="0.25">
      <c r="B4" t="s">
        <v>48</v>
      </c>
      <c r="C4" t="s">
        <v>49</v>
      </c>
      <c r="D4" t="s">
        <v>50</v>
      </c>
      <c r="E4" t="s">
        <v>51</v>
      </c>
      <c r="F4" t="s">
        <v>52</v>
      </c>
      <c r="G4" t="s">
        <v>53</v>
      </c>
    </row>
    <row r="5" spans="2:8" x14ac:dyDescent="0.25">
      <c r="B5" t="s">
        <v>4</v>
      </c>
      <c r="F5" s="4"/>
      <c r="G5" s="4">
        <v>1000</v>
      </c>
    </row>
    <row r="6" spans="2:8" x14ac:dyDescent="0.25">
      <c r="B6" t="s">
        <v>54</v>
      </c>
      <c r="F6" s="4"/>
      <c r="G6" s="4">
        <f>SUM(F7:F11)</f>
        <v>17500</v>
      </c>
    </row>
    <row r="7" spans="2:8" x14ac:dyDescent="0.25">
      <c r="C7" t="s">
        <v>16</v>
      </c>
      <c r="F7" s="4">
        <v>10000</v>
      </c>
      <c r="G7" s="4"/>
    </row>
    <row r="8" spans="2:8" x14ac:dyDescent="0.25">
      <c r="C8" t="s">
        <v>17</v>
      </c>
      <c r="F8" s="4">
        <v>500</v>
      </c>
      <c r="G8" s="4"/>
    </row>
    <row r="9" spans="2:8" x14ac:dyDescent="0.25">
      <c r="C9" t="s">
        <v>2</v>
      </c>
      <c r="F9" s="4">
        <v>3000</v>
      </c>
      <c r="G9" s="4"/>
    </row>
    <row r="10" spans="2:8" x14ac:dyDescent="0.25">
      <c r="C10" t="s">
        <v>18</v>
      </c>
      <c r="F10" s="4">
        <v>2500</v>
      </c>
      <c r="G10" s="4"/>
      <c r="H10" s="2"/>
    </row>
    <row r="11" spans="2:8" x14ac:dyDescent="0.25">
      <c r="C11" t="s">
        <v>6</v>
      </c>
      <c r="E11" t="s">
        <v>59</v>
      </c>
      <c r="F11" s="4">
        <v>1500</v>
      </c>
      <c r="G11" s="4"/>
    </row>
    <row r="12" spans="2:8" x14ac:dyDescent="0.25">
      <c r="B12" t="s">
        <v>1</v>
      </c>
      <c r="F12" s="4"/>
      <c r="G12" s="4">
        <v>900</v>
      </c>
    </row>
    <row r="13" spans="2:8" x14ac:dyDescent="0.25">
      <c r="B13" t="s">
        <v>2</v>
      </c>
      <c r="F13" s="4"/>
      <c r="G13" s="4">
        <v>6000</v>
      </c>
    </row>
    <row r="14" spans="2:8" x14ac:dyDescent="0.25">
      <c r="B14" t="s">
        <v>20</v>
      </c>
      <c r="F14" s="4"/>
      <c r="G14" s="4">
        <f>SUM(F15:F19)</f>
        <v>5300</v>
      </c>
    </row>
    <row r="15" spans="2:8" x14ac:dyDescent="0.25">
      <c r="C15" t="s">
        <v>55</v>
      </c>
      <c r="F15" s="4">
        <v>800</v>
      </c>
      <c r="G15" s="4"/>
    </row>
    <row r="16" spans="2:8" x14ac:dyDescent="0.25">
      <c r="C16" t="s">
        <v>56</v>
      </c>
      <c r="F16" s="4">
        <v>3200</v>
      </c>
      <c r="G16" s="4"/>
    </row>
    <row r="17" spans="2:7" x14ac:dyDescent="0.25">
      <c r="C17" t="s">
        <v>57</v>
      </c>
      <c r="F17" s="4">
        <v>500</v>
      </c>
      <c r="G17" s="5"/>
    </row>
    <row r="18" spans="2:7" x14ac:dyDescent="0.25">
      <c r="C18" t="s">
        <v>58</v>
      </c>
      <c r="F18" s="4">
        <v>800</v>
      </c>
      <c r="G18" s="4"/>
    </row>
    <row r="19" spans="2:7" x14ac:dyDescent="0.25">
      <c r="C19" t="s">
        <v>6</v>
      </c>
      <c r="F19" s="4">
        <v>0</v>
      </c>
      <c r="G19" s="4"/>
    </row>
    <row r="20" spans="2:7" x14ac:dyDescent="0.25">
      <c r="B20" t="s">
        <v>3</v>
      </c>
      <c r="F20" s="4"/>
      <c r="G20" s="4">
        <v>300</v>
      </c>
    </row>
    <row r="21" spans="2:7" x14ac:dyDescent="0.25">
      <c r="B21" t="s">
        <v>21</v>
      </c>
      <c r="F21" s="4"/>
      <c r="G21" s="4">
        <f>SUM(F22:F27)</f>
        <v>11950</v>
      </c>
    </row>
    <row r="22" spans="2:7" x14ac:dyDescent="0.25">
      <c r="C22" t="s">
        <v>22</v>
      </c>
      <c r="F22" s="4">
        <v>1650</v>
      </c>
      <c r="G22" s="4"/>
    </row>
    <row r="23" spans="2:7" x14ac:dyDescent="0.25">
      <c r="C23" t="s">
        <v>23</v>
      </c>
      <c r="F23" s="4">
        <v>3000</v>
      </c>
      <c r="G23" s="4"/>
    </row>
    <row r="24" spans="2:7" x14ac:dyDescent="0.25">
      <c r="C24" t="s">
        <v>24</v>
      </c>
      <c r="F24" s="4">
        <v>3000</v>
      </c>
      <c r="G24" s="4"/>
    </row>
    <row r="25" spans="2:7" x14ac:dyDescent="0.25">
      <c r="C25" t="s">
        <v>25</v>
      </c>
      <c r="F25" s="4">
        <v>2700</v>
      </c>
      <c r="G25" s="4"/>
    </row>
    <row r="26" spans="2:7" x14ac:dyDescent="0.25">
      <c r="C26" t="s">
        <v>19</v>
      </c>
      <c r="F26" s="4">
        <v>1500</v>
      </c>
      <c r="G26" s="4"/>
    </row>
    <row r="27" spans="2:7" x14ac:dyDescent="0.25">
      <c r="C27" t="s">
        <v>6</v>
      </c>
      <c r="F27" s="4">
        <v>100</v>
      </c>
      <c r="G27" s="4"/>
    </row>
    <row r="28" spans="2:7" x14ac:dyDescent="0.25">
      <c r="B28" t="s">
        <v>5</v>
      </c>
      <c r="F28" s="4"/>
      <c r="G28" s="4">
        <v>1500</v>
      </c>
    </row>
    <row r="29" spans="2:7" x14ac:dyDescent="0.25">
      <c r="B29" t="s">
        <v>6</v>
      </c>
      <c r="F29" s="4"/>
      <c r="G29" s="4">
        <v>957</v>
      </c>
    </row>
    <row r="31" spans="2:7" ht="21" x14ac:dyDescent="0.35">
      <c r="B31" s="12" t="s">
        <v>60</v>
      </c>
      <c r="C31" s="12"/>
      <c r="D31" s="12"/>
      <c r="E31" s="12"/>
      <c r="F31" s="12"/>
      <c r="G31" s="13">
        <f>SUM(Tabela3[Valor Final])</f>
        <v>45407</v>
      </c>
    </row>
    <row r="32" spans="2:7" ht="21" x14ac:dyDescent="0.35">
      <c r="B32" s="12" t="s">
        <v>93</v>
      </c>
      <c r="C32" s="12"/>
      <c r="D32" s="12"/>
      <c r="E32" s="12"/>
      <c r="F32" s="12"/>
      <c r="G32" s="13">
        <f>'Controle Mercadorias'!I28</f>
        <v>13178.064999999999</v>
      </c>
    </row>
    <row r="34" spans="2:7" ht="21" x14ac:dyDescent="0.35">
      <c r="B34" s="12" t="s">
        <v>94</v>
      </c>
      <c r="C34" s="12"/>
      <c r="D34" s="12"/>
      <c r="E34" s="12"/>
      <c r="F34" s="12"/>
      <c r="G34" s="13">
        <f>SUM(G32,G31)</f>
        <v>58585.065000000002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28"/>
  <sheetViews>
    <sheetView showGridLines="0" workbookViewId="0"/>
  </sheetViews>
  <sheetFormatPr defaultRowHeight="15" x14ac:dyDescent="0.25"/>
  <cols>
    <col min="2" max="2" width="12.7109375" customWidth="1"/>
    <col min="3" max="3" width="30.85546875" bestFit="1" customWidth="1"/>
    <col min="4" max="8" width="12.7109375" customWidth="1"/>
    <col min="9" max="9" width="21.7109375" bestFit="1" customWidth="1"/>
  </cols>
  <sheetData>
    <row r="2" spans="2:9" s="1" customFormat="1" ht="27.95" customHeight="1" x14ac:dyDescent="0.25">
      <c r="B2" s="3" t="s">
        <v>61</v>
      </c>
    </row>
    <row r="4" spans="2:9" x14ac:dyDescent="0.25">
      <c r="B4" t="s">
        <v>50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t="s">
        <v>67</v>
      </c>
      <c r="I4" t="s">
        <v>68</v>
      </c>
    </row>
    <row r="5" spans="2:9" x14ac:dyDescent="0.25">
      <c r="B5" s="9">
        <v>42190</v>
      </c>
      <c r="C5" t="s">
        <v>83</v>
      </c>
      <c r="D5" t="s">
        <v>41</v>
      </c>
      <c r="E5" t="str">
        <f>IFERROR(VLOOKUP(Tabela2[[#This Row],[Mercadoria]],cálculos!$M$7:$P$34,4,FALSE),"")</f>
        <v>Unidade</v>
      </c>
      <c r="F5">
        <v>50</v>
      </c>
      <c r="G5" s="4">
        <f>IFERROR(VLOOKUP(Tabela2[[#This Row],[Mercadoria]],cálculos!$M$7:$P$34,2,FALSE),"")</f>
        <v>2.37</v>
      </c>
      <c r="H5" s="6">
        <v>0.05</v>
      </c>
      <c r="I5" s="4">
        <f>Tabela2[[#This Row],[Quantidade]]*Tabela2[[#This Row],[Preço Unitário]]*(1-Tabela2[[#This Row],[Desconto]])</f>
        <v>112.57499999999999</v>
      </c>
    </row>
    <row r="6" spans="2:9" x14ac:dyDescent="0.25">
      <c r="B6" s="9">
        <v>42190</v>
      </c>
      <c r="C6" t="s">
        <v>84</v>
      </c>
      <c r="D6" t="s">
        <v>27</v>
      </c>
      <c r="E6" t="str">
        <f>IFERROR(VLOOKUP(Tabela2[[#This Row],[Mercadoria]],cálculos!$M$7:$P$34,4,FALSE),"")</f>
        <v>Kg</v>
      </c>
      <c r="F6">
        <v>120</v>
      </c>
      <c r="G6" s="4">
        <f>IFERROR(VLOOKUP(Tabela2[[#This Row],[Mercadoria]],cálculos!$M$7:$P$34,2,FALSE),"")</f>
        <v>4.07</v>
      </c>
      <c r="H6" s="6"/>
      <c r="I6" s="4">
        <f>Tabela2[[#This Row],[Quantidade]]*Tabela2[[#This Row],[Preço Unitário]]*(1-Tabela2[[#This Row],[Desconto]])</f>
        <v>488.40000000000003</v>
      </c>
    </row>
    <row r="7" spans="2:9" x14ac:dyDescent="0.25">
      <c r="B7" s="9">
        <v>42189</v>
      </c>
      <c r="C7" t="s">
        <v>84</v>
      </c>
      <c r="D7" t="s">
        <v>27</v>
      </c>
      <c r="E7" t="str">
        <f>IFERROR(VLOOKUP(Tabela2[[#This Row],[Mercadoria]],cálculos!$M$7:$P$34,4,FALSE),"")</f>
        <v>Kg</v>
      </c>
      <c r="F7">
        <v>150</v>
      </c>
      <c r="G7" s="4">
        <f>IFERROR(VLOOKUP(Tabela2[[#This Row],[Mercadoria]],cálculos!$M$7:$P$34,2,FALSE),"")</f>
        <v>4.07</v>
      </c>
      <c r="H7" s="6"/>
      <c r="I7" s="4">
        <f>Tabela2[[#This Row],[Quantidade]]*Tabela2[[#This Row],[Preço Unitário]]*(1-Tabela2[[#This Row],[Desconto]])</f>
        <v>610.5</v>
      </c>
    </row>
    <row r="8" spans="2:9" x14ac:dyDescent="0.25">
      <c r="B8" s="9">
        <v>42189</v>
      </c>
      <c r="C8" t="s">
        <v>84</v>
      </c>
      <c r="D8" t="s">
        <v>26</v>
      </c>
      <c r="E8" t="str">
        <f>IFERROR(VLOOKUP(Tabela2[[#This Row],[Mercadoria]],cálculos!$M$7:$P$34,4,FALSE),"")</f>
        <v>Kg</v>
      </c>
      <c r="F8">
        <v>150</v>
      </c>
      <c r="G8" s="4">
        <f>IFERROR(VLOOKUP(Tabela2[[#This Row],[Mercadoria]],cálculos!$M$7:$P$34,2,FALSE),"")</f>
        <v>2.34</v>
      </c>
      <c r="H8" s="6"/>
      <c r="I8" s="4">
        <f>Tabela2[[#This Row],[Quantidade]]*Tabela2[[#This Row],[Preço Unitário]]*(1-Tabela2[[#This Row],[Desconto]])</f>
        <v>351</v>
      </c>
    </row>
    <row r="9" spans="2:9" x14ac:dyDescent="0.25">
      <c r="B9" s="9">
        <v>42189</v>
      </c>
      <c r="C9" t="s">
        <v>85</v>
      </c>
      <c r="D9" t="s">
        <v>39</v>
      </c>
      <c r="E9" t="str">
        <f>IFERROR(VLOOKUP(Tabela2[[#This Row],[Mercadoria]],cálculos!$M$7:$P$34,4,FALSE),"")</f>
        <v>Lata</v>
      </c>
      <c r="F9">
        <v>100</v>
      </c>
      <c r="G9" s="4">
        <f>IFERROR(VLOOKUP(Tabela2[[#This Row],[Mercadoria]],cálculos!$M$7:$P$34,2,FALSE),"")</f>
        <v>2.1</v>
      </c>
      <c r="H9" s="6"/>
      <c r="I9" s="4">
        <f>Tabela2[[#This Row],[Quantidade]]*Tabela2[[#This Row],[Preço Unitário]]*(1-Tabela2[[#This Row],[Desconto]])</f>
        <v>210</v>
      </c>
    </row>
    <row r="10" spans="2:9" x14ac:dyDescent="0.25">
      <c r="B10" s="9">
        <v>42189</v>
      </c>
      <c r="C10" t="s">
        <v>85</v>
      </c>
      <c r="D10" t="s">
        <v>35</v>
      </c>
      <c r="E10" t="str">
        <f>IFERROR(VLOOKUP(Tabela2[[#This Row],[Mercadoria]],cálculos!$M$7:$P$34,4,FALSE),"")</f>
        <v>Litro</v>
      </c>
      <c r="F10">
        <v>200</v>
      </c>
      <c r="G10" s="4">
        <f>IFERROR(VLOOKUP(Tabela2[[#This Row],[Mercadoria]],cálculos!$M$7:$P$34,2,FALSE),"")</f>
        <v>3.21</v>
      </c>
      <c r="H10" s="6"/>
      <c r="I10" s="4">
        <f>Tabela2[[#This Row],[Quantidade]]*Tabela2[[#This Row],[Preço Unitário]]*(1-Tabela2[[#This Row],[Desconto]])</f>
        <v>642</v>
      </c>
    </row>
    <row r="11" spans="2:9" x14ac:dyDescent="0.25">
      <c r="B11" s="9">
        <v>42188</v>
      </c>
      <c r="C11" t="s">
        <v>86</v>
      </c>
      <c r="D11" t="s">
        <v>45</v>
      </c>
      <c r="E11" t="str">
        <f>IFERROR(VLOOKUP(Tabela2[[#This Row],[Mercadoria]],cálculos!$M$7:$P$34,4,FALSE),"")</f>
        <v>Maço</v>
      </c>
      <c r="F11">
        <v>100</v>
      </c>
      <c r="G11" s="4">
        <f>IFERROR(VLOOKUP(Tabela2[[#This Row],[Mercadoria]],cálculos!$M$7:$P$34,2,FALSE),"")</f>
        <v>6.35</v>
      </c>
      <c r="H11" s="6"/>
      <c r="I11" s="4">
        <f>Tabela2[[#This Row],[Quantidade]]*Tabela2[[#This Row],[Preço Unitário]]*(1-Tabela2[[#This Row],[Desconto]])</f>
        <v>635</v>
      </c>
    </row>
    <row r="12" spans="2:9" x14ac:dyDescent="0.25">
      <c r="B12" s="9">
        <v>42188</v>
      </c>
      <c r="C12" t="s">
        <v>87</v>
      </c>
      <c r="D12" t="s">
        <v>44</v>
      </c>
      <c r="E12" t="str">
        <f>IFERROR(VLOOKUP(Tabela2[[#This Row],[Mercadoria]],cálculos!$M$7:$P$34,4,FALSE),"")</f>
        <v>Barra</v>
      </c>
      <c r="F12">
        <v>100</v>
      </c>
      <c r="G12" s="4">
        <f>IFERROR(VLOOKUP(Tabela2[[#This Row],[Mercadoria]],cálculos!$M$7:$P$34,2,FALSE),"")</f>
        <v>4.54</v>
      </c>
      <c r="H12" s="6"/>
      <c r="I12" s="4">
        <f>Tabela2[[#This Row],[Quantidade]]*Tabela2[[#This Row],[Preço Unitário]]*(1-Tabela2[[#This Row],[Desconto]])</f>
        <v>454</v>
      </c>
    </row>
    <row r="13" spans="2:9" x14ac:dyDescent="0.25">
      <c r="B13" s="9">
        <v>42188</v>
      </c>
      <c r="C13" t="s">
        <v>84</v>
      </c>
      <c r="D13" t="s">
        <v>27</v>
      </c>
      <c r="E13" t="str">
        <f>IFERROR(VLOOKUP(Tabela2[[#This Row],[Mercadoria]],cálculos!$M$7:$P$34,4,FALSE),"")</f>
        <v>Kg</v>
      </c>
      <c r="F13">
        <v>300</v>
      </c>
      <c r="G13" s="4">
        <f>IFERROR(VLOOKUP(Tabela2[[#This Row],[Mercadoria]],cálculos!$M$7:$P$34,2,FALSE),"")</f>
        <v>4.07</v>
      </c>
      <c r="H13" s="6"/>
      <c r="I13" s="4">
        <f>Tabela2[[#This Row],[Quantidade]]*Tabela2[[#This Row],[Preço Unitário]]*(1-Tabela2[[#This Row],[Desconto]])</f>
        <v>1221</v>
      </c>
    </row>
    <row r="14" spans="2:9" x14ac:dyDescent="0.25">
      <c r="B14" s="9">
        <v>42188</v>
      </c>
      <c r="C14" t="s">
        <v>84</v>
      </c>
      <c r="D14" t="s">
        <v>38</v>
      </c>
      <c r="E14" t="str">
        <f>IFERROR(VLOOKUP(Tabela2[[#This Row],[Mercadoria]],cálculos!$M$7:$P$34,4,FALSE),"")</f>
        <v>Pacote</v>
      </c>
      <c r="F14">
        <v>50</v>
      </c>
      <c r="G14" s="4">
        <f>IFERROR(VLOOKUP(Tabela2[[#This Row],[Mercadoria]],cálculos!$M$7:$P$34,2,FALSE),"")</f>
        <v>1.06</v>
      </c>
      <c r="H14" s="6"/>
      <c r="I14" s="4">
        <f>Tabela2[[#This Row],[Quantidade]]*Tabela2[[#This Row],[Preço Unitário]]*(1-Tabela2[[#This Row],[Desconto]])</f>
        <v>53</v>
      </c>
    </row>
    <row r="15" spans="2:9" x14ac:dyDescent="0.25">
      <c r="B15" s="9">
        <v>42188</v>
      </c>
      <c r="C15" t="s">
        <v>88</v>
      </c>
      <c r="D15" t="s">
        <v>80</v>
      </c>
      <c r="E15" t="str">
        <f>IFERROR(VLOOKUP(Tabela2[[#This Row],[Mercadoria]],cálculos!$M$7:$P$34,4,FALSE),"")</f>
        <v>Unidade</v>
      </c>
      <c r="F15">
        <v>300</v>
      </c>
      <c r="G15" s="4">
        <f>IFERROR(VLOOKUP(Tabela2[[#This Row],[Mercadoria]],cálculos!$M$7:$P$34,2,FALSE),"")</f>
        <v>2.63</v>
      </c>
      <c r="H15" s="6"/>
      <c r="I15" s="4">
        <f>Tabela2[[#This Row],[Quantidade]]*Tabela2[[#This Row],[Preço Unitário]]*(1-Tabela2[[#This Row],[Desconto]])</f>
        <v>789</v>
      </c>
    </row>
    <row r="16" spans="2:9" x14ac:dyDescent="0.25">
      <c r="B16" s="9">
        <v>42188</v>
      </c>
      <c r="C16" t="s">
        <v>87</v>
      </c>
      <c r="D16" t="s">
        <v>43</v>
      </c>
      <c r="E16" t="str">
        <f>IFERROR(VLOOKUP(Tabela2[[#This Row],[Mercadoria]],cálculos!$M$7:$P$34,4,FALSE),"")</f>
        <v>Pacote</v>
      </c>
      <c r="F16">
        <v>100</v>
      </c>
      <c r="G16" s="4">
        <f>IFERROR(VLOOKUP(Tabela2[[#This Row],[Mercadoria]],cálculos!$M$7:$P$34,2,FALSE),"")</f>
        <v>1.85</v>
      </c>
      <c r="H16" s="6"/>
      <c r="I16" s="4">
        <f>Tabela2[[#This Row],[Quantidade]]*Tabela2[[#This Row],[Preço Unitário]]*(1-Tabela2[[#This Row],[Desconto]])</f>
        <v>185</v>
      </c>
    </row>
    <row r="17" spans="2:9" x14ac:dyDescent="0.25">
      <c r="B17" s="9">
        <v>42188</v>
      </c>
      <c r="C17" t="s">
        <v>85</v>
      </c>
      <c r="D17" t="s">
        <v>39</v>
      </c>
      <c r="E17" t="str">
        <f>IFERROR(VLOOKUP(Tabela2[[#This Row],[Mercadoria]],cálculos!$M$7:$P$34,4,FALSE),"")</f>
        <v>Lata</v>
      </c>
      <c r="F17">
        <v>100</v>
      </c>
      <c r="G17" s="4">
        <f>IFERROR(VLOOKUP(Tabela2[[#This Row],[Mercadoria]],cálculos!$M$7:$P$34,2,FALSE),"")</f>
        <v>2.1</v>
      </c>
      <c r="H17" s="6"/>
      <c r="I17" s="4">
        <f>Tabela2[[#This Row],[Quantidade]]*Tabela2[[#This Row],[Preço Unitário]]*(1-Tabela2[[#This Row],[Desconto]])</f>
        <v>210</v>
      </c>
    </row>
    <row r="18" spans="2:9" x14ac:dyDescent="0.25">
      <c r="B18" s="9">
        <v>42188</v>
      </c>
      <c r="C18" t="s">
        <v>89</v>
      </c>
      <c r="D18" t="s">
        <v>31</v>
      </c>
      <c r="E18" t="str">
        <f>IFERROR(VLOOKUP(Tabela2[[#This Row],[Mercadoria]],cálculos!$M$7:$P$34,4,FALSE),"")</f>
        <v>Kg</v>
      </c>
      <c r="F18">
        <v>110</v>
      </c>
      <c r="G18" s="4">
        <f>IFERROR(VLOOKUP(Tabela2[[#This Row],[Mercadoria]],cálculos!$M$7:$P$34,2,FALSE),"")</f>
        <v>6.42</v>
      </c>
      <c r="H18" s="6"/>
      <c r="I18" s="4">
        <f>Tabela2[[#This Row],[Quantidade]]*Tabela2[[#This Row],[Preço Unitário]]*(1-Tabela2[[#This Row],[Desconto]])</f>
        <v>706.2</v>
      </c>
    </row>
    <row r="19" spans="2:9" x14ac:dyDescent="0.25">
      <c r="B19" s="9">
        <v>42188</v>
      </c>
      <c r="C19" t="s">
        <v>90</v>
      </c>
      <c r="D19" t="s">
        <v>32</v>
      </c>
      <c r="E19" t="str">
        <f>IFERROR(VLOOKUP(Tabela2[[#This Row],[Mercadoria]],cálculos!$M$7:$P$34,4,FALSE),"")</f>
        <v>Kg</v>
      </c>
      <c r="F19">
        <v>50</v>
      </c>
      <c r="G19" s="4">
        <f>IFERROR(VLOOKUP(Tabela2[[#This Row],[Mercadoria]],cálculos!$M$7:$P$34,2,FALSE),"")</f>
        <v>22.23</v>
      </c>
      <c r="H19" s="6">
        <v>0.5</v>
      </c>
      <c r="I19" s="4">
        <f>Tabela2[[#This Row],[Quantidade]]*Tabela2[[#This Row],[Preço Unitário]]*(1-Tabela2[[#This Row],[Desconto]])</f>
        <v>555.75</v>
      </c>
    </row>
    <row r="20" spans="2:9" x14ac:dyDescent="0.25">
      <c r="B20" s="9">
        <v>42187</v>
      </c>
      <c r="C20" t="s">
        <v>84</v>
      </c>
      <c r="D20" t="s">
        <v>26</v>
      </c>
      <c r="E20" t="str">
        <f>IFERROR(VLOOKUP(Tabela2[[#This Row],[Mercadoria]],cálculos!$M$7:$P$34,4,FALSE),"")</f>
        <v>Kg</v>
      </c>
      <c r="F20">
        <v>300</v>
      </c>
      <c r="G20" s="4">
        <f>IFERROR(VLOOKUP(Tabela2[[#This Row],[Mercadoria]],cálculos!$M$7:$P$34,2,FALSE),"")</f>
        <v>2.34</v>
      </c>
      <c r="H20" s="6"/>
      <c r="I20" s="4">
        <f>Tabela2[[#This Row],[Quantidade]]*Tabela2[[#This Row],[Preço Unitário]]*(1-Tabela2[[#This Row],[Desconto]])</f>
        <v>702</v>
      </c>
    </row>
    <row r="21" spans="2:9" x14ac:dyDescent="0.25">
      <c r="B21" s="9">
        <v>42187</v>
      </c>
      <c r="C21" t="s">
        <v>83</v>
      </c>
      <c r="D21" t="s">
        <v>29</v>
      </c>
      <c r="E21" t="str">
        <f>IFERROR(VLOOKUP(Tabela2[[#This Row],[Mercadoria]],cálculos!$M$7:$P$34,4,FALSE),"")</f>
        <v>Unidade</v>
      </c>
      <c r="F21">
        <v>150</v>
      </c>
      <c r="G21" s="4">
        <f>IFERROR(VLOOKUP(Tabela2[[#This Row],[Mercadoria]],cálculos!$M$7:$P$34,2,FALSE),"")</f>
        <v>2.84</v>
      </c>
      <c r="H21" s="6"/>
      <c r="I21" s="4">
        <f>Tabela2[[#This Row],[Quantidade]]*Tabela2[[#This Row],[Preço Unitário]]*(1-Tabela2[[#This Row],[Desconto]])</f>
        <v>426</v>
      </c>
    </row>
    <row r="22" spans="2:9" x14ac:dyDescent="0.25">
      <c r="B22" s="9">
        <v>42187</v>
      </c>
      <c r="C22" t="s">
        <v>91</v>
      </c>
      <c r="D22" t="s">
        <v>36</v>
      </c>
      <c r="E22" t="str">
        <f>IFERROR(VLOOKUP(Tabela2[[#This Row],[Mercadoria]],cálculos!$M$7:$P$34,4,FALSE),"")</f>
        <v>Kg</v>
      </c>
      <c r="F22">
        <v>150</v>
      </c>
      <c r="G22" s="4">
        <f>IFERROR(VLOOKUP(Tabela2[[#This Row],[Mercadoria]],cálculos!$M$7:$P$34,2,FALSE),"")</f>
        <v>3.63</v>
      </c>
      <c r="H22" s="6"/>
      <c r="I22" s="4">
        <f>Tabela2[[#This Row],[Quantidade]]*Tabela2[[#This Row],[Preço Unitário]]*(1-Tabela2[[#This Row],[Desconto]])</f>
        <v>544.5</v>
      </c>
    </row>
    <row r="23" spans="2:9" x14ac:dyDescent="0.25">
      <c r="B23" s="9">
        <v>42187</v>
      </c>
      <c r="C23" t="s">
        <v>92</v>
      </c>
      <c r="D23" t="s">
        <v>30</v>
      </c>
      <c r="E23" t="str">
        <f>IFERROR(VLOOKUP(Tabela2[[#This Row],[Mercadoria]],cálculos!$M$7:$P$34,4,FALSE),"")</f>
        <v>Kg</v>
      </c>
      <c r="F23">
        <v>150</v>
      </c>
      <c r="G23" s="4">
        <f>IFERROR(VLOOKUP(Tabela2[[#This Row],[Mercadoria]],cálculos!$M$7:$P$34,2,FALSE),"")</f>
        <v>14.47</v>
      </c>
      <c r="H23" s="6"/>
      <c r="I23" s="4">
        <f>Tabela2[[#This Row],[Quantidade]]*Tabela2[[#This Row],[Preço Unitário]]*(1-Tabela2[[#This Row],[Desconto]])</f>
        <v>2170.5</v>
      </c>
    </row>
    <row r="24" spans="2:9" x14ac:dyDescent="0.25">
      <c r="B24" s="9">
        <v>42187</v>
      </c>
      <c r="C24" t="s">
        <v>85</v>
      </c>
      <c r="D24" t="s">
        <v>39</v>
      </c>
      <c r="E24" t="str">
        <f>IFERROR(VLOOKUP(Tabela2[[#This Row],[Mercadoria]],cálculos!$M$7:$P$34,4,FALSE),"")</f>
        <v>Lata</v>
      </c>
      <c r="F24">
        <v>100</v>
      </c>
      <c r="G24" s="4">
        <f>IFERROR(VLOOKUP(Tabela2[[#This Row],[Mercadoria]],cálculos!$M$7:$P$34,2,FALSE),"")</f>
        <v>2.1</v>
      </c>
      <c r="H24" s="6"/>
      <c r="I24" s="4">
        <f>Tabela2[[#This Row],[Quantidade]]*Tabela2[[#This Row],[Preço Unitário]]*(1-Tabela2[[#This Row],[Desconto]])</f>
        <v>210</v>
      </c>
    </row>
    <row r="25" spans="2:9" x14ac:dyDescent="0.25">
      <c r="B25" s="9">
        <v>42187</v>
      </c>
      <c r="C25" t="s">
        <v>85</v>
      </c>
      <c r="D25" t="s">
        <v>34</v>
      </c>
      <c r="E25" t="str">
        <f>IFERROR(VLOOKUP(Tabela2[[#This Row],[Mercadoria]],cálculos!$M$7:$P$34,4,FALSE),"")</f>
        <v>Garrafa</v>
      </c>
      <c r="F25">
        <v>80</v>
      </c>
      <c r="G25" s="4">
        <f>IFERROR(VLOOKUP(Tabela2[[#This Row],[Mercadoria]],cálculos!$M$7:$P$34,2,FALSE),"")</f>
        <v>26.01</v>
      </c>
      <c r="H25" s="6">
        <v>0.2</v>
      </c>
      <c r="I25" s="4">
        <f>Tabela2[[#This Row],[Quantidade]]*Tabela2[[#This Row],[Preço Unitário]]*(1-Tabela2[[#This Row],[Desconto]])</f>
        <v>1664.6400000000003</v>
      </c>
    </row>
    <row r="26" spans="2:9" x14ac:dyDescent="0.25">
      <c r="B26" s="9">
        <v>42187</v>
      </c>
      <c r="C26" t="s">
        <v>83</v>
      </c>
      <c r="D26" t="s">
        <v>41</v>
      </c>
      <c r="E26" t="str">
        <f>IFERROR(VLOOKUP(Tabela2[[#This Row],[Mercadoria]],cálculos!$M$7:$P$34,4,FALSE),"")</f>
        <v>Unidade</v>
      </c>
      <c r="F26">
        <v>100</v>
      </c>
      <c r="G26" s="4">
        <f>IFERROR(VLOOKUP(Tabela2[[#This Row],[Mercadoria]],cálculos!$M$7:$P$34,2,FALSE),"")</f>
        <v>2.37</v>
      </c>
      <c r="H26" s="6"/>
      <c r="I26" s="4">
        <f>Tabela2[[#This Row],[Quantidade]]*Tabela2[[#This Row],[Preço Unitário]]*(1-Tabela2[[#This Row],[Desconto]])</f>
        <v>237</v>
      </c>
    </row>
    <row r="27" spans="2:9" ht="15.75" thickBot="1" x14ac:dyDescent="0.3"/>
    <row r="28" spans="2:9" ht="21.75" thickBot="1" x14ac:dyDescent="0.4">
      <c r="B28" s="10" t="s">
        <v>93</v>
      </c>
      <c r="C28" s="10"/>
      <c r="D28" s="10"/>
      <c r="E28" s="10"/>
      <c r="F28" s="10"/>
      <c r="G28" s="10"/>
      <c r="H28" s="10"/>
      <c r="I28" s="11">
        <f>SUM(Tabela2[Valor Pago])</f>
        <v>13178.064999999999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E11"/>
  <sheetViews>
    <sheetView showGridLines="0" workbookViewId="0">
      <selection activeCell="B11" sqref="B11:E11"/>
    </sheetView>
  </sheetViews>
  <sheetFormatPr defaultRowHeight="15" x14ac:dyDescent="0.25"/>
  <cols>
    <col min="2" max="2" width="33.140625" bestFit="1" customWidth="1"/>
    <col min="3" max="3" width="10.7109375" bestFit="1" customWidth="1"/>
    <col min="4" max="4" width="56.5703125" customWidth="1"/>
    <col min="5" max="5" width="21.42578125" bestFit="1" customWidth="1"/>
  </cols>
  <sheetData>
    <row r="2" spans="2:5" s="1" customFormat="1" ht="27.75" customHeight="1" x14ac:dyDescent="0.25">
      <c r="B2" s="3" t="s">
        <v>14</v>
      </c>
    </row>
    <row r="4" spans="2:5" x14ac:dyDescent="0.25">
      <c r="B4" t="s">
        <v>95</v>
      </c>
      <c r="C4" t="s">
        <v>50</v>
      </c>
      <c r="D4" t="s">
        <v>96</v>
      </c>
      <c r="E4" t="s">
        <v>97</v>
      </c>
    </row>
    <row r="5" spans="2:5" ht="30" customHeight="1" x14ac:dyDescent="0.25">
      <c r="B5" s="15" t="s">
        <v>95</v>
      </c>
      <c r="C5" s="14">
        <v>43590</v>
      </c>
      <c r="D5" s="15" t="s">
        <v>101</v>
      </c>
      <c r="E5" s="4">
        <v>400000</v>
      </c>
    </row>
    <row r="6" spans="2:5" ht="30" customHeight="1" x14ac:dyDescent="0.25">
      <c r="B6" s="15" t="s">
        <v>19</v>
      </c>
      <c r="C6" s="14"/>
      <c r="D6" s="15"/>
      <c r="E6" s="4">
        <v>0</v>
      </c>
    </row>
    <row r="7" spans="2:5" ht="30" customHeight="1" x14ac:dyDescent="0.25">
      <c r="B7" s="15" t="s">
        <v>100</v>
      </c>
      <c r="C7" s="14"/>
      <c r="D7" s="15"/>
      <c r="E7" s="4">
        <v>0</v>
      </c>
    </row>
    <row r="8" spans="2:5" ht="30" customHeight="1" x14ac:dyDescent="0.25">
      <c r="B8" s="15" t="s">
        <v>98</v>
      </c>
      <c r="C8" s="14"/>
      <c r="D8" s="15"/>
      <c r="E8" s="4">
        <v>0</v>
      </c>
    </row>
    <row r="9" spans="2:5" ht="30" customHeight="1" x14ac:dyDescent="0.25">
      <c r="B9" s="15" t="s">
        <v>99</v>
      </c>
      <c r="C9" s="14"/>
      <c r="D9" s="15"/>
      <c r="E9" s="4">
        <v>0</v>
      </c>
    </row>
    <row r="11" spans="2:5" ht="21" x14ac:dyDescent="0.35">
      <c r="B11" s="12" t="s">
        <v>94</v>
      </c>
      <c r="C11" s="12"/>
      <c r="D11" s="12"/>
      <c r="E11" s="13">
        <f>SUM(Tabela4[Valor])</f>
        <v>400000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H28"/>
  <sheetViews>
    <sheetView workbookViewId="0">
      <selection activeCell="D13" sqref="D13"/>
    </sheetView>
  </sheetViews>
  <sheetFormatPr defaultRowHeight="15" x14ac:dyDescent="0.25"/>
  <cols>
    <col min="2" max="2" width="16.140625" customWidth="1"/>
    <col min="3" max="3" width="23.28515625" customWidth="1"/>
    <col min="4" max="4" width="19.28515625" customWidth="1"/>
    <col min="5" max="5" width="23" customWidth="1"/>
    <col min="6" max="6" width="21.42578125" customWidth="1"/>
    <col min="7" max="7" width="18.7109375" customWidth="1"/>
    <col min="8" max="8" width="10.5703125" customWidth="1"/>
  </cols>
  <sheetData>
    <row r="2" spans="2:8" s="16" customFormat="1" ht="27.75" customHeight="1" x14ac:dyDescent="0.25">
      <c r="B2" s="17" t="s">
        <v>15</v>
      </c>
    </row>
    <row r="4" spans="2:8" x14ac:dyDescent="0.25">
      <c r="B4" t="s">
        <v>102</v>
      </c>
      <c r="C4" t="s">
        <v>103</v>
      </c>
      <c r="D4" t="s">
        <v>104</v>
      </c>
      <c r="E4" t="s">
        <v>105</v>
      </c>
      <c r="F4" t="s">
        <v>106</v>
      </c>
      <c r="G4" t="s">
        <v>107</v>
      </c>
      <c r="H4" t="s">
        <v>108</v>
      </c>
    </row>
    <row r="5" spans="2:8" x14ac:dyDescent="0.25">
      <c r="B5" t="s">
        <v>29</v>
      </c>
      <c r="C5" s="14">
        <f>IFERROR(INDEX(Tabela2[],MATCH(Tabela1[[#This Row],[Produto]],Tabela2[Mercadoria],0),1),"")</f>
        <v>42187</v>
      </c>
      <c r="D5" s="18">
        <v>15</v>
      </c>
      <c r="E5">
        <f>SUMIF(Tabela2[Mercadoria],Tabela1[[#This Row],[Produto]],Tabela2[Quantidade])</f>
        <v>150</v>
      </c>
      <c r="G5">
        <f>Tabela1[[#This Row],[Quantidade Inicial]]+Tabela1[[#This Row],[Quantidade Comprada]]-Tabela1[[#This Row],[Quantidade Vendida]]</f>
        <v>165</v>
      </c>
      <c r="H5" t="str">
        <f>IF(Tabela1[[#This Row],[Quantidade Atual]]&lt;50,IF(Tabela1[[#This Row],[Quantidade Atual]]&lt;21,"Comprar","Atenção"),"Ok")</f>
        <v>Ok</v>
      </c>
    </row>
    <row r="6" spans="2:8" x14ac:dyDescent="0.25">
      <c r="B6" t="s">
        <v>38</v>
      </c>
      <c r="C6" s="14">
        <f>IFERROR(INDEX(Tabela2[],MATCH(Tabela1[[#This Row],[Produto]],Tabela2[Mercadoria],0),1),"")</f>
        <v>42188</v>
      </c>
      <c r="D6" s="18">
        <v>10</v>
      </c>
      <c r="E6">
        <f>SUMIF(Tabela2[Mercadoria],Tabela1[[#This Row],[Produto]],Tabela2[Quantidade])</f>
        <v>50</v>
      </c>
      <c r="G6">
        <f>Tabela1[[#This Row],[Quantidade Inicial]]+Tabela1[[#This Row],[Quantidade Comprada]]-Tabela1[[#This Row],[Quantidade Vendida]]</f>
        <v>60</v>
      </c>
      <c r="H6" t="str">
        <f>IF(Tabela1[[#This Row],[Quantidade Atual]]&lt;50,IF(Tabela1[[#This Row],[Quantidade Atual]]&lt;21,"Comprar","Atenção"),"Ok")</f>
        <v>Ok</v>
      </c>
    </row>
    <row r="7" spans="2:8" x14ac:dyDescent="0.25">
      <c r="B7" t="s">
        <v>26</v>
      </c>
      <c r="C7" s="14">
        <f>IFERROR(INDEX(Tabela2[],MATCH(Tabela1[[#This Row],[Produto]],Tabela2[Mercadoria],0),1),"")</f>
        <v>42189</v>
      </c>
      <c r="D7" s="18">
        <v>0</v>
      </c>
      <c r="E7">
        <f>SUMIF(Tabela2[Mercadoria],Tabela1[[#This Row],[Produto]],Tabela2[Quantidade])</f>
        <v>450</v>
      </c>
      <c r="G7">
        <f>Tabela1[[#This Row],[Quantidade Inicial]]+Tabela1[[#This Row],[Quantidade Comprada]]-Tabela1[[#This Row],[Quantidade Vendida]]</f>
        <v>450</v>
      </c>
      <c r="H7" t="str">
        <f>IF(Tabela1[[#This Row],[Quantidade Atual]]&lt;50,IF(Tabela1[[#This Row],[Quantidade Atual]]&lt;21,"Comprar","Atenção"),"Ok")</f>
        <v>Ok</v>
      </c>
    </row>
    <row r="8" spans="2:8" x14ac:dyDescent="0.25">
      <c r="B8" t="s">
        <v>43</v>
      </c>
      <c r="C8" s="14">
        <f>IFERROR(INDEX(Tabela2[],MATCH(Tabela1[[#This Row],[Produto]],Tabela2[Mercadoria],0),1),"")</f>
        <v>42188</v>
      </c>
      <c r="D8" s="18">
        <v>0</v>
      </c>
      <c r="E8">
        <f>SUMIF(Tabela2[Mercadoria],Tabela1[[#This Row],[Produto]],Tabela2[Quantidade])</f>
        <v>100</v>
      </c>
      <c r="G8">
        <f>Tabela1[[#This Row],[Quantidade Inicial]]+Tabela1[[#This Row],[Quantidade Comprada]]-Tabela1[[#This Row],[Quantidade Vendida]]</f>
        <v>100</v>
      </c>
      <c r="H8" t="str">
        <f>IF(Tabela1[[#This Row],[Quantidade Atual]]&lt;50,IF(Tabela1[[#This Row],[Quantidade Atual]]&lt;21,"Comprar","Atenção"),"Ok")</f>
        <v>Ok</v>
      </c>
    </row>
    <row r="9" spans="2:8" x14ac:dyDescent="0.25">
      <c r="B9" t="s">
        <v>46</v>
      </c>
      <c r="C9" s="14" t="str">
        <f>IFERROR(INDEX(Tabela2[],MATCH(Tabela1[[#This Row],[Produto]],Tabela2[Mercadoria],0),1),"")</f>
        <v/>
      </c>
      <c r="D9" s="18">
        <v>150</v>
      </c>
      <c r="E9">
        <f>SUMIF(Tabela2[Mercadoria],Tabela1[[#This Row],[Produto]],Tabela2[Quantidade])</f>
        <v>0</v>
      </c>
      <c r="G9">
        <f>Tabela1[[#This Row],[Quantidade Inicial]]+Tabela1[[#This Row],[Quantidade Comprada]]-Tabela1[[#This Row],[Quantidade Vendida]]</f>
        <v>150</v>
      </c>
      <c r="H9" t="str">
        <f>IF(Tabela1[[#This Row],[Quantidade Atual]]&lt;50,IF(Tabela1[[#This Row],[Quantidade Atual]]&lt;21,"Comprar","Atenção"),"Ok")</f>
        <v>Ok</v>
      </c>
    </row>
    <row r="10" spans="2:8" x14ac:dyDescent="0.25">
      <c r="B10" t="s">
        <v>42</v>
      </c>
      <c r="C10" s="14" t="str">
        <f>IFERROR(INDEX(Tabela2[],MATCH(Tabela1[[#This Row],[Produto]],Tabela2[Mercadoria],0),1),"")</f>
        <v/>
      </c>
      <c r="D10" s="18">
        <v>15</v>
      </c>
      <c r="E10">
        <f>SUMIF(Tabela2[Mercadoria],Tabela1[[#This Row],[Produto]],Tabela2[Quantidade])</f>
        <v>0</v>
      </c>
      <c r="G10">
        <f>Tabela1[[#This Row],[Quantidade Inicial]]+Tabela1[[#This Row],[Quantidade Comprada]]-Tabela1[[#This Row],[Quantidade Vendida]]</f>
        <v>15</v>
      </c>
      <c r="H10" t="str">
        <f>IF(Tabela1[[#This Row],[Quantidade Atual]]&lt;50,IF(Tabela1[[#This Row],[Quantidade Atual]]&lt;21,"Comprar","Atenção"),"Ok")</f>
        <v>Comprar</v>
      </c>
    </row>
    <row r="11" spans="2:8" x14ac:dyDescent="0.25">
      <c r="B11" t="s">
        <v>30</v>
      </c>
      <c r="C11" s="14">
        <f>IFERROR(INDEX(Tabela2[],MATCH(Tabela1[[#This Row],[Produto]],Tabela2[Mercadoria],0),1),"")</f>
        <v>42187</v>
      </c>
      <c r="D11" s="18">
        <v>25</v>
      </c>
      <c r="E11">
        <f>SUMIF(Tabela2[Mercadoria],Tabela1[[#This Row],[Produto]],Tabela2[Quantidade])</f>
        <v>150</v>
      </c>
      <c r="G11">
        <f>Tabela1[[#This Row],[Quantidade Inicial]]+Tabela1[[#This Row],[Quantidade Comprada]]-Tabela1[[#This Row],[Quantidade Vendida]]</f>
        <v>175</v>
      </c>
      <c r="H11" t="str">
        <f>IF(Tabela1[[#This Row],[Quantidade Atual]]&lt;50,IF(Tabela1[[#This Row],[Quantidade Atual]]&lt;21,"Comprar","Atenção"),"Ok")</f>
        <v>Ok</v>
      </c>
    </row>
    <row r="12" spans="2:8" x14ac:dyDescent="0.25">
      <c r="B12" t="s">
        <v>36</v>
      </c>
      <c r="C12" s="14">
        <f>IFERROR(INDEX(Tabela2[],MATCH(Tabela1[[#This Row],[Produto]],Tabela2[Mercadoria],0),1),"")</f>
        <v>42187</v>
      </c>
      <c r="D12" s="18">
        <v>0</v>
      </c>
      <c r="E12">
        <f>SUMIF(Tabela2[Mercadoria],Tabela1[[#This Row],[Produto]],Tabela2[Quantidade])</f>
        <v>150</v>
      </c>
      <c r="G12">
        <f>Tabela1[[#This Row],[Quantidade Inicial]]+Tabela1[[#This Row],[Quantidade Comprada]]-Tabela1[[#This Row],[Quantidade Vendida]]</f>
        <v>150</v>
      </c>
      <c r="H12" t="str">
        <f>IF(Tabela1[[#This Row],[Quantidade Atual]]&lt;50,IF(Tabela1[[#This Row],[Quantidade Atual]]&lt;21,"Comprar","Atenção"),"Ok")</f>
        <v>Ok</v>
      </c>
    </row>
    <row r="13" spans="2:8" x14ac:dyDescent="0.25">
      <c r="B13" t="s">
        <v>39</v>
      </c>
      <c r="C13" s="14">
        <f>IFERROR(INDEX(Tabela2[],MATCH(Tabela1[[#This Row],[Produto]],Tabela2[Mercadoria],0),1),"")</f>
        <v>42189</v>
      </c>
      <c r="D13" s="18">
        <v>0</v>
      </c>
      <c r="E13">
        <f>SUMIF(Tabela2[Mercadoria],Tabela1[[#This Row],[Produto]],Tabela2[Quantidade])</f>
        <v>300</v>
      </c>
      <c r="G13">
        <f>Tabela1[[#This Row],[Quantidade Inicial]]+Tabela1[[#This Row],[Quantidade Comprada]]-Tabela1[[#This Row],[Quantidade Vendida]]</f>
        <v>300</v>
      </c>
      <c r="H13" t="str">
        <f>IF(Tabela1[[#This Row],[Quantidade Atual]]&lt;50,IF(Tabela1[[#This Row],[Quantidade Atual]]&lt;21,"Comprar","Atenção"),"Ok")</f>
        <v>Ok</v>
      </c>
    </row>
    <row r="14" spans="2:8" x14ac:dyDescent="0.25">
      <c r="B14" t="s">
        <v>44</v>
      </c>
      <c r="C14" s="14">
        <f>IFERROR(INDEX(Tabela2[],MATCH(Tabela1[[#This Row],[Produto]],Tabela2[Mercadoria],0),1),"")</f>
        <v>42188</v>
      </c>
      <c r="D14" s="18">
        <v>30</v>
      </c>
      <c r="E14">
        <f>SUMIF(Tabela2[Mercadoria],Tabela1[[#This Row],[Produto]],Tabela2[Quantidade])</f>
        <v>100</v>
      </c>
      <c r="G14">
        <f>Tabela1[[#This Row],[Quantidade Inicial]]+Tabela1[[#This Row],[Quantidade Comprada]]-Tabela1[[#This Row],[Quantidade Vendida]]</f>
        <v>130</v>
      </c>
      <c r="H14" t="str">
        <f>IF(Tabela1[[#This Row],[Quantidade Atual]]&lt;50,IF(Tabela1[[#This Row],[Quantidade Atual]]&lt;21,"Comprar","Atenção"),"Ok")</f>
        <v>Ok</v>
      </c>
    </row>
    <row r="15" spans="2:8" x14ac:dyDescent="0.25">
      <c r="B15" t="s">
        <v>45</v>
      </c>
      <c r="C15" s="14">
        <f>IFERROR(INDEX(Tabela2[],MATCH(Tabela1[[#This Row],[Produto]],Tabela2[Mercadoria],0),1),"")</f>
        <v>42188</v>
      </c>
      <c r="D15" s="18">
        <v>0</v>
      </c>
      <c r="E15">
        <f>SUMIF(Tabela2[Mercadoria],Tabela1[[#This Row],[Produto]],Tabela2[Quantidade])</f>
        <v>100</v>
      </c>
      <c r="G15">
        <f>Tabela1[[#This Row],[Quantidade Inicial]]+Tabela1[[#This Row],[Quantidade Comprada]]-Tabela1[[#This Row],[Quantidade Vendida]]</f>
        <v>100</v>
      </c>
      <c r="H15" t="str">
        <f>IF(Tabela1[[#This Row],[Quantidade Atual]]&lt;50,IF(Tabela1[[#This Row],[Quantidade Atual]]&lt;21,"Comprar","Atenção"),"Ok")</f>
        <v>Ok</v>
      </c>
    </row>
    <row r="16" spans="2:8" x14ac:dyDescent="0.25">
      <c r="B16" t="s">
        <v>41</v>
      </c>
      <c r="C16" s="14">
        <f>IFERROR(INDEX(Tabela2[],MATCH(Tabela1[[#This Row],[Produto]],Tabela2[Mercadoria],0),1),"")</f>
        <v>42190</v>
      </c>
      <c r="D16" s="18">
        <v>0</v>
      </c>
      <c r="E16">
        <f>SUMIF(Tabela2[Mercadoria],Tabela1[[#This Row],[Produto]],Tabela2[Quantidade])</f>
        <v>150</v>
      </c>
      <c r="G16">
        <f>Tabela1[[#This Row],[Quantidade Inicial]]+Tabela1[[#This Row],[Quantidade Comprada]]-Tabela1[[#This Row],[Quantidade Vendida]]</f>
        <v>150</v>
      </c>
      <c r="H16" t="str">
        <f>IF(Tabela1[[#This Row],[Quantidade Atual]]&lt;50,IF(Tabela1[[#This Row],[Quantidade Atual]]&lt;21,"Comprar","Atenção"),"Ok")</f>
        <v>Ok</v>
      </c>
    </row>
    <row r="17" spans="2:8" x14ac:dyDescent="0.25">
      <c r="B17" t="s">
        <v>27</v>
      </c>
      <c r="C17" s="14">
        <f>IFERROR(INDEX(Tabela2[],MATCH(Tabela1[[#This Row],[Produto]],Tabela2[Mercadoria],0),1),"")</f>
        <v>42190</v>
      </c>
      <c r="D17" s="18">
        <v>0</v>
      </c>
      <c r="E17">
        <f>SUMIF(Tabela2[Mercadoria],Tabela1[[#This Row],[Produto]],Tabela2[Quantidade])</f>
        <v>570</v>
      </c>
      <c r="G17">
        <f>Tabela1[[#This Row],[Quantidade Inicial]]+Tabela1[[#This Row],[Quantidade Comprada]]-Tabela1[[#This Row],[Quantidade Vendida]]</f>
        <v>570</v>
      </c>
      <c r="H17" t="str">
        <f>IF(Tabela1[[#This Row],[Quantidade Atual]]&lt;50,IF(Tabela1[[#This Row],[Quantidade Atual]]&lt;21,"Comprar","Atenção"),"Ok")</f>
        <v>Ok</v>
      </c>
    </row>
    <row r="18" spans="2:8" x14ac:dyDescent="0.25">
      <c r="B18" t="s">
        <v>31</v>
      </c>
      <c r="C18" s="14">
        <f>IFERROR(INDEX(Tabela2[],MATCH(Tabela1[[#This Row],[Produto]],Tabela2[Mercadoria],0),1),"")</f>
        <v>42188</v>
      </c>
      <c r="D18" s="18">
        <v>0</v>
      </c>
      <c r="E18">
        <f>SUMIF(Tabela2[Mercadoria],Tabela1[[#This Row],[Produto]],Tabela2[Quantidade])</f>
        <v>110</v>
      </c>
      <c r="G18">
        <f>Tabela1[[#This Row],[Quantidade Inicial]]+Tabela1[[#This Row],[Quantidade Comprada]]-Tabela1[[#This Row],[Quantidade Vendida]]</f>
        <v>110</v>
      </c>
      <c r="H18" t="str">
        <f>IF(Tabela1[[#This Row],[Quantidade Atual]]&lt;50,IF(Tabela1[[#This Row],[Quantidade Atual]]&lt;21,"Comprar","Atenção"),"Ok")</f>
        <v>Ok</v>
      </c>
    </row>
    <row r="19" spans="2:8" x14ac:dyDescent="0.25">
      <c r="B19" t="s">
        <v>75</v>
      </c>
      <c r="C19" s="14" t="str">
        <f>IFERROR(INDEX(Tabela2[],MATCH(Tabela1[[#This Row],[Produto]],Tabela2[Mercadoria],0),1),"")</f>
        <v/>
      </c>
      <c r="D19" s="18">
        <v>39</v>
      </c>
      <c r="E19">
        <f>SUMIF(Tabela2[Mercadoria],Tabela1[[#This Row],[Produto]],Tabela2[Quantidade])</f>
        <v>0</v>
      </c>
      <c r="G19">
        <f>Tabela1[[#This Row],[Quantidade Inicial]]+Tabela1[[#This Row],[Quantidade Comprada]]-Tabela1[[#This Row],[Quantidade Vendida]]</f>
        <v>39</v>
      </c>
      <c r="H19" t="str">
        <f>IF(Tabela1[[#This Row],[Quantidade Atual]]&lt;50,IF(Tabela1[[#This Row],[Quantidade Atual]]&lt;21,"Comprar","Atenção"),"Ok")</f>
        <v>Atenção</v>
      </c>
    </row>
    <row r="20" spans="2:8" x14ac:dyDescent="0.25">
      <c r="B20" t="s">
        <v>80</v>
      </c>
      <c r="C20" s="14">
        <f>IFERROR(INDEX(Tabela2[],MATCH(Tabela1[[#This Row],[Produto]],Tabela2[Mercadoria],0),1),"")</f>
        <v>42188</v>
      </c>
      <c r="D20" s="18">
        <v>0</v>
      </c>
      <c r="E20">
        <f>SUMIF(Tabela2[Mercadoria],Tabela1[[#This Row],[Produto]],Tabela2[Quantidade])</f>
        <v>300</v>
      </c>
      <c r="G20">
        <f>Tabela1[[#This Row],[Quantidade Inicial]]+Tabela1[[#This Row],[Quantidade Comprada]]-Tabela1[[#This Row],[Quantidade Vendida]]</f>
        <v>300</v>
      </c>
      <c r="H20" t="str">
        <f>IF(Tabela1[[#This Row],[Quantidade Atual]]&lt;50,IF(Tabela1[[#This Row],[Quantidade Atual]]&lt;21,"Comprar","Atenção"),"Ok")</f>
        <v>Ok</v>
      </c>
    </row>
    <row r="21" spans="2:8" x14ac:dyDescent="0.25">
      <c r="B21" t="s">
        <v>32</v>
      </c>
      <c r="C21" s="14">
        <f>IFERROR(INDEX(Tabela2[],MATCH(Tabela1[[#This Row],[Produto]],Tabela2[Mercadoria],0),1),"")</f>
        <v>42188</v>
      </c>
      <c r="D21" s="18">
        <v>0</v>
      </c>
      <c r="E21">
        <f>SUMIF(Tabela2[Mercadoria],Tabela1[[#This Row],[Produto]],Tabela2[Quantidade])</f>
        <v>50</v>
      </c>
      <c r="G21">
        <f>Tabela1[[#This Row],[Quantidade Inicial]]+Tabela1[[#This Row],[Quantidade Comprada]]-Tabela1[[#This Row],[Quantidade Vendida]]</f>
        <v>50</v>
      </c>
      <c r="H21" t="str">
        <f>IF(Tabela1[[#This Row],[Quantidade Atual]]&lt;50,IF(Tabela1[[#This Row],[Quantidade Atual]]&lt;21,"Comprar","Atenção"),"Ok")</f>
        <v>Ok</v>
      </c>
    </row>
    <row r="22" spans="2:8" x14ac:dyDescent="0.25">
      <c r="B22" t="s">
        <v>33</v>
      </c>
      <c r="C22" s="14" t="str">
        <f>IFERROR(INDEX(Tabela2[],MATCH(Tabela1[[#This Row],[Produto]],Tabela2[Mercadoria],0),1),"")</f>
        <v/>
      </c>
      <c r="D22" s="18">
        <v>10</v>
      </c>
      <c r="E22">
        <f>SUMIF(Tabela2[Mercadoria],Tabela1[[#This Row],[Produto]],Tabela2[Quantidade])</f>
        <v>0</v>
      </c>
      <c r="G22">
        <f>Tabela1[[#This Row],[Quantidade Inicial]]+Tabela1[[#This Row],[Quantidade Comprada]]-Tabela1[[#This Row],[Quantidade Vendida]]</f>
        <v>10</v>
      </c>
      <c r="H22" t="str">
        <f>IF(Tabela1[[#This Row],[Quantidade Atual]]&lt;50,IF(Tabela1[[#This Row],[Quantidade Atual]]&lt;21,"Comprar","Atenção"),"Ok")</f>
        <v>Comprar</v>
      </c>
    </row>
    <row r="23" spans="2:8" x14ac:dyDescent="0.25">
      <c r="B23" t="s">
        <v>81</v>
      </c>
      <c r="C23" s="14" t="str">
        <f>IFERROR(INDEX(Tabela2[],MATCH(Tabela1[[#This Row],[Produto]],Tabela2[Mercadoria],0),1),"")</f>
        <v/>
      </c>
      <c r="D23" s="18">
        <v>100</v>
      </c>
      <c r="E23">
        <f>SUMIF(Tabela2[Mercadoria],Tabela1[[#This Row],[Produto]],Tabela2[Quantidade])</f>
        <v>0</v>
      </c>
      <c r="G23">
        <f>Tabela1[[#This Row],[Quantidade Inicial]]+Tabela1[[#This Row],[Quantidade Comprada]]-Tabela1[[#This Row],[Quantidade Vendida]]</f>
        <v>100</v>
      </c>
      <c r="H23" t="str">
        <f>IF(Tabela1[[#This Row],[Quantidade Atual]]&lt;50,IF(Tabela1[[#This Row],[Quantidade Atual]]&lt;21,"Comprar","Atenção"),"Ok")</f>
        <v>Ok</v>
      </c>
    </row>
    <row r="24" spans="2:8" x14ac:dyDescent="0.25">
      <c r="B24" t="s">
        <v>35</v>
      </c>
      <c r="C24" s="14">
        <f>IFERROR(INDEX(Tabela2[],MATCH(Tabela1[[#This Row],[Produto]],Tabela2[Mercadoria],0),1),"")</f>
        <v>42189</v>
      </c>
      <c r="D24" s="18">
        <v>0</v>
      </c>
      <c r="E24">
        <f>SUMIF(Tabela2[Mercadoria],Tabela1[[#This Row],[Produto]],Tabela2[Quantidade])</f>
        <v>200</v>
      </c>
      <c r="G24">
        <f>Tabela1[[#This Row],[Quantidade Inicial]]+Tabela1[[#This Row],[Quantidade Comprada]]-Tabela1[[#This Row],[Quantidade Vendida]]</f>
        <v>200</v>
      </c>
      <c r="H24" t="str">
        <f>IF(Tabela1[[#This Row],[Quantidade Atual]]&lt;50,IF(Tabela1[[#This Row],[Quantidade Atual]]&lt;21,"Comprar","Atenção"),"Ok")</f>
        <v>Ok</v>
      </c>
    </row>
    <row r="25" spans="2:8" x14ac:dyDescent="0.25">
      <c r="B25" t="s">
        <v>28</v>
      </c>
      <c r="C25" s="14" t="str">
        <f>IFERROR(INDEX(Tabela2[],MATCH(Tabela1[[#This Row],[Produto]],Tabela2[Mercadoria],0),1),"")</f>
        <v/>
      </c>
      <c r="D25" s="18">
        <v>30</v>
      </c>
      <c r="E25">
        <f>SUMIF(Tabela2[Mercadoria],Tabela1[[#This Row],[Produto]],Tabela2[Quantidade])</f>
        <v>0</v>
      </c>
      <c r="G25">
        <f>Tabela1[[#This Row],[Quantidade Inicial]]+Tabela1[[#This Row],[Quantidade Comprada]]-Tabela1[[#This Row],[Quantidade Vendida]]</f>
        <v>30</v>
      </c>
      <c r="H25" t="str">
        <f>IF(Tabela1[[#This Row],[Quantidade Atual]]&lt;50,IF(Tabela1[[#This Row],[Quantidade Atual]]&lt;21,"Comprar","Atenção"),"Ok")</f>
        <v>Atenção</v>
      </c>
    </row>
    <row r="26" spans="2:8" x14ac:dyDescent="0.25">
      <c r="B26" t="s">
        <v>37</v>
      </c>
      <c r="C26" s="14" t="str">
        <f>IFERROR(INDEX(Tabela2[],MATCH(Tabela1[[#This Row],[Produto]],Tabela2[Mercadoria],0),1),"")</f>
        <v/>
      </c>
      <c r="D26" s="18">
        <v>50</v>
      </c>
      <c r="E26">
        <f>SUMIF(Tabela2[Mercadoria],Tabela1[[#This Row],[Produto]],Tabela2[Quantidade])</f>
        <v>0</v>
      </c>
      <c r="G26">
        <f>Tabela1[[#This Row],[Quantidade Inicial]]+Tabela1[[#This Row],[Quantidade Comprada]]-Tabela1[[#This Row],[Quantidade Vendida]]</f>
        <v>50</v>
      </c>
      <c r="H26" t="str">
        <f>IF(Tabela1[[#This Row],[Quantidade Atual]]&lt;50,IF(Tabela1[[#This Row],[Quantidade Atual]]&lt;21,"Comprar","Atenção"),"Ok")</f>
        <v>Ok</v>
      </c>
    </row>
    <row r="27" spans="2:8" x14ac:dyDescent="0.25">
      <c r="B27" t="s">
        <v>34</v>
      </c>
      <c r="C27" s="14">
        <f>IFERROR(INDEX(Tabela2[],MATCH(Tabela1[[#This Row],[Produto]],Tabela2[Mercadoria],0),1),"")</f>
        <v>42187</v>
      </c>
      <c r="D27" s="18">
        <v>0</v>
      </c>
      <c r="E27">
        <f>SUMIF(Tabela2[Mercadoria],Tabela1[[#This Row],[Produto]],Tabela2[Quantidade])</f>
        <v>80</v>
      </c>
      <c r="G27">
        <f>Tabela1[[#This Row],[Quantidade Inicial]]+Tabela1[[#This Row],[Quantidade Comprada]]-Tabela1[[#This Row],[Quantidade Vendida]]</f>
        <v>80</v>
      </c>
      <c r="H27" t="str">
        <f>IF(Tabela1[[#This Row],[Quantidade Atual]]&lt;50,IF(Tabela1[[#This Row],[Quantidade Atual]]&lt;21,"Comprar","Atenção"),"Ok")</f>
        <v>Ok</v>
      </c>
    </row>
    <row r="28" spans="2:8" x14ac:dyDescent="0.25">
      <c r="B28" t="s">
        <v>40</v>
      </c>
      <c r="C28" s="14" t="str">
        <f>IFERROR(INDEX(Tabela2[],MATCH(Tabela1[[#This Row],[Produto]],Tabela2[Mercadoria],0),1),"")</f>
        <v/>
      </c>
      <c r="D28" s="18">
        <v>20</v>
      </c>
      <c r="E28">
        <f>SUMIF(Tabela2[Mercadoria],Tabela1[[#This Row],[Produto]],Tabela2[Quantidade])</f>
        <v>0</v>
      </c>
      <c r="G28">
        <f>Tabela1[[#This Row],[Quantidade Inicial]]+Tabela1[[#This Row],[Quantidade Comprada]]-Tabela1[[#This Row],[Quantidade Vendida]]</f>
        <v>20</v>
      </c>
      <c r="H28" t="str">
        <f>IF(Tabela1[[#This Row],[Quantidade Atual]]&lt;50,IF(Tabela1[[#This Row],[Quantidade Atual]]&lt;21,"Comprar","Atenção"),"Ok")</f>
        <v>Comprar</v>
      </c>
    </row>
  </sheetData>
  <conditionalFormatting sqref="H5:H28">
    <cfRule type="containsText" dxfId="1" priority="1" operator="containsText" text="Atenção">
      <formula>NOT(ISERROR(SEARCH("Atenção",H5)))</formula>
    </cfRule>
    <cfRule type="containsText" dxfId="0" priority="3" operator="containsText" text="Comprar">
      <formula>NOT(ISERROR(SEARCH("Comprar",H5)))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B12"/>
  <sheetViews>
    <sheetView workbookViewId="0"/>
  </sheetViews>
  <sheetFormatPr defaultRowHeight="15" x14ac:dyDescent="0.25"/>
  <sheetData>
    <row r="3" spans="2:2" x14ac:dyDescent="0.25">
      <c r="B3" t="s">
        <v>10</v>
      </c>
    </row>
    <row r="6" spans="2:2" x14ac:dyDescent="0.25">
      <c r="B6" t="s">
        <v>8</v>
      </c>
    </row>
    <row r="9" spans="2:2" x14ac:dyDescent="0.25">
      <c r="B9" t="s">
        <v>9</v>
      </c>
    </row>
    <row r="12" spans="2:2" x14ac:dyDescent="0.25">
      <c r="B12" t="s">
        <v>11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O22"/>
  <sheetViews>
    <sheetView tabSelected="1" workbookViewId="0">
      <selection activeCell="Q22" sqref="Q22"/>
    </sheetView>
  </sheetViews>
  <sheetFormatPr defaultRowHeight="15" x14ac:dyDescent="0.25"/>
  <cols>
    <col min="6" max="6" width="12.7109375" customWidth="1"/>
    <col min="7" max="7" width="14.42578125" bestFit="1" customWidth="1"/>
    <col min="8" max="8" width="9.140625" customWidth="1"/>
    <col min="15" max="15" width="20.7109375" customWidth="1"/>
  </cols>
  <sheetData>
    <row r="1" spans="2:15" s="18" customFormat="1" x14ac:dyDescent="0.25"/>
    <row r="2" spans="2:15" s="1" customFormat="1" ht="27.75" customHeight="1" x14ac:dyDescent="0.25">
      <c r="B2" s="3" t="s">
        <v>7</v>
      </c>
    </row>
    <row r="3" spans="2:15" s="18" customFormat="1" x14ac:dyDescent="0.25"/>
    <row r="5" spans="2:15" ht="21.75" thickBot="1" x14ac:dyDescent="0.4">
      <c r="O5" s="45" t="s">
        <v>129</v>
      </c>
    </row>
    <row r="6" spans="2:15" ht="16.5" thickTop="1" thickBot="1" x14ac:dyDescent="0.3"/>
    <row r="7" spans="2:15" ht="15.75" thickTop="1" x14ac:dyDescent="0.25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30"/>
    </row>
    <row r="8" spans="2:15" x14ac:dyDescent="0.25">
      <c r="B8" s="31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32"/>
    </row>
    <row r="9" spans="2:15" x14ac:dyDescent="0.25">
      <c r="B9" s="31"/>
      <c r="C9" s="27"/>
      <c r="H9" s="27"/>
      <c r="I9" s="27"/>
      <c r="J9" s="27"/>
      <c r="K9" s="27"/>
      <c r="L9" s="27"/>
      <c r="M9" s="27"/>
      <c r="N9" s="27"/>
      <c r="O9" s="32"/>
    </row>
    <row r="10" spans="2:15" ht="18.75" x14ac:dyDescent="0.3">
      <c r="B10" s="31"/>
      <c r="C10" s="27"/>
      <c r="D10" s="37" t="s">
        <v>130</v>
      </c>
      <c r="E10" s="37"/>
      <c r="F10" s="37"/>
      <c r="G10" s="38">
        <f>'Semana 1'!$M$31</f>
        <v>655.91200000000026</v>
      </c>
      <c r="H10" s="27"/>
      <c r="I10" s="27"/>
      <c r="J10" s="27"/>
      <c r="K10" s="27"/>
      <c r="L10" s="27"/>
      <c r="M10" s="27"/>
      <c r="N10" s="27"/>
      <c r="O10" s="32"/>
    </row>
    <row r="11" spans="2:15" ht="18.75" x14ac:dyDescent="0.3">
      <c r="B11" s="31"/>
      <c r="C11" s="27"/>
      <c r="D11" s="39" t="s">
        <v>131</v>
      </c>
      <c r="E11" s="39"/>
      <c r="F11" s="39"/>
      <c r="G11" s="40">
        <f>'Semana 2'!M17</f>
        <v>103.82</v>
      </c>
      <c r="H11" s="27"/>
      <c r="I11" s="27"/>
      <c r="J11" s="27"/>
      <c r="K11" s="27"/>
      <c r="L11" s="27"/>
      <c r="M11" s="27"/>
      <c r="N11" s="27"/>
      <c r="O11" s="32"/>
    </row>
    <row r="12" spans="2:15" ht="18.75" x14ac:dyDescent="0.3">
      <c r="B12" s="31"/>
      <c r="C12" s="27"/>
      <c r="D12" s="39" t="s">
        <v>132</v>
      </c>
      <c r="E12" s="39"/>
      <c r="F12" s="39"/>
      <c r="G12" s="40">
        <f>'Semana 3'!M17</f>
        <v>0</v>
      </c>
      <c r="H12" s="27"/>
      <c r="I12" s="27"/>
      <c r="J12" s="27"/>
      <c r="K12" s="27"/>
      <c r="L12" s="27"/>
      <c r="M12" s="27"/>
      <c r="N12" s="27"/>
      <c r="O12" s="32"/>
    </row>
    <row r="13" spans="2:15" ht="18.75" x14ac:dyDescent="0.3">
      <c r="B13" s="31"/>
      <c r="C13" s="27"/>
      <c r="D13" s="39" t="s">
        <v>133</v>
      </c>
      <c r="E13" s="39"/>
      <c r="F13" s="39"/>
      <c r="G13" s="40">
        <f>'Semana 4'!M17</f>
        <v>0</v>
      </c>
      <c r="H13" s="27"/>
      <c r="I13" s="27"/>
      <c r="J13" s="27"/>
      <c r="K13" s="27"/>
      <c r="L13" s="27"/>
      <c r="M13" s="27"/>
      <c r="N13" s="27"/>
      <c r="O13" s="32"/>
    </row>
    <row r="14" spans="2:15" ht="18.75" x14ac:dyDescent="0.3">
      <c r="B14" s="31"/>
      <c r="C14" s="27"/>
      <c r="D14" s="41" t="s">
        <v>134</v>
      </c>
      <c r="E14" s="41"/>
      <c r="F14" s="41"/>
      <c r="G14" s="42">
        <f>'Semana 5'!M17</f>
        <v>0</v>
      </c>
      <c r="H14" s="27"/>
      <c r="I14" s="27"/>
      <c r="J14" s="27"/>
      <c r="K14" s="27"/>
      <c r="L14" s="27"/>
      <c r="M14" s="27"/>
      <c r="N14" s="27"/>
      <c r="O14" s="32"/>
    </row>
    <row r="15" spans="2:15" x14ac:dyDescent="0.25">
      <c r="B15" s="31"/>
      <c r="C15" s="27"/>
      <c r="D15" s="36"/>
      <c r="E15" s="36"/>
      <c r="F15" s="36"/>
      <c r="G15" s="36"/>
      <c r="H15" s="27"/>
      <c r="I15" s="27"/>
      <c r="J15" s="27"/>
      <c r="K15" s="27"/>
      <c r="L15" s="27"/>
      <c r="M15" s="27"/>
      <c r="N15" s="27"/>
      <c r="O15" s="32"/>
    </row>
    <row r="16" spans="2:15" x14ac:dyDescent="0.25">
      <c r="B16" s="31"/>
      <c r="C16" s="27"/>
      <c r="D16" s="36"/>
      <c r="E16" s="36"/>
      <c r="F16" s="36"/>
      <c r="G16" s="36"/>
      <c r="H16" s="27"/>
      <c r="I16" s="27"/>
      <c r="J16" s="27"/>
      <c r="K16" s="27"/>
      <c r="L16" s="27"/>
      <c r="M16" s="27"/>
      <c r="N16" s="27"/>
      <c r="O16" s="32"/>
    </row>
    <row r="17" spans="2:15" ht="18.75" x14ac:dyDescent="0.3">
      <c r="B17" s="31"/>
      <c r="C17" s="27"/>
      <c r="D17" s="43" t="str">
        <f>"Total de vendas de "&amp;O5</f>
        <v>Total de vendas de Agosto</v>
      </c>
      <c r="E17" s="43"/>
      <c r="F17" s="43"/>
      <c r="G17" s="44">
        <f>SUM(G10:G14)</f>
        <v>759.7320000000002</v>
      </c>
      <c r="H17" s="27"/>
      <c r="I17" s="27"/>
      <c r="J17" s="27"/>
      <c r="K17" s="27"/>
      <c r="L17" s="27"/>
      <c r="M17" s="27"/>
      <c r="N17" s="27"/>
      <c r="O17" s="32"/>
    </row>
    <row r="18" spans="2:15" x14ac:dyDescent="0.25">
      <c r="B18" s="31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32"/>
    </row>
    <row r="19" spans="2:15" x14ac:dyDescent="0.25">
      <c r="B19" s="31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32"/>
    </row>
    <row r="20" spans="2:15" x14ac:dyDescent="0.25">
      <c r="B20" s="31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32"/>
    </row>
    <row r="21" spans="2:15" ht="15.75" thickBot="1" x14ac:dyDescent="0.3">
      <c r="B21" s="33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5"/>
    </row>
    <row r="22" spans="2:15" ht="15.75" thickTop="1" x14ac:dyDescent="0.25"/>
  </sheetData>
  <phoneticPr fontId="9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52C30-8CEE-4E95-8103-1820B67CA8FF}">
  <dimension ref="B1:M32"/>
  <sheetViews>
    <sheetView topLeftCell="A13" workbookViewId="0">
      <selection sqref="A1:XFD3"/>
    </sheetView>
  </sheetViews>
  <sheetFormatPr defaultRowHeight="15" x14ac:dyDescent="0.25"/>
  <cols>
    <col min="2" max="2" width="15.28515625" bestFit="1" customWidth="1"/>
    <col min="3" max="3" width="10.7109375" bestFit="1" customWidth="1"/>
    <col min="4" max="4" width="10.28515625" customWidth="1"/>
    <col min="5" max="5" width="9.85546875" customWidth="1"/>
    <col min="6" max="6" width="13.5703125" customWidth="1"/>
    <col min="7" max="7" width="15.7109375" customWidth="1"/>
    <col min="8" max="8" width="10.85546875" customWidth="1"/>
    <col min="9" max="9" width="11.42578125" customWidth="1"/>
    <col min="10" max="10" width="11" bestFit="1" customWidth="1"/>
    <col min="11" max="11" width="17.7109375" customWidth="1"/>
    <col min="12" max="12" width="10.5703125" bestFit="1" customWidth="1"/>
    <col min="13" max="13" width="20.28515625" customWidth="1"/>
  </cols>
  <sheetData>
    <row r="1" spans="2:13" s="18" customFormat="1" x14ac:dyDescent="0.25"/>
    <row r="2" spans="2:13" s="1" customFormat="1" ht="27.75" customHeight="1" x14ac:dyDescent="0.25">
      <c r="B2" s="3" t="s">
        <v>109</v>
      </c>
    </row>
    <row r="3" spans="2:13" s="18" customFormat="1" x14ac:dyDescent="0.25"/>
    <row r="4" spans="2:13" x14ac:dyDescent="0.25">
      <c r="B4" t="s">
        <v>110</v>
      </c>
      <c r="C4" t="s">
        <v>50</v>
      </c>
      <c r="D4" t="s">
        <v>102</v>
      </c>
      <c r="E4" t="s">
        <v>64</v>
      </c>
      <c r="F4" t="s">
        <v>65</v>
      </c>
      <c r="G4" t="s">
        <v>66</v>
      </c>
      <c r="H4" t="s">
        <v>111</v>
      </c>
      <c r="I4" t="s">
        <v>67</v>
      </c>
      <c r="J4" t="s">
        <v>112</v>
      </c>
      <c r="K4" t="s">
        <v>113</v>
      </c>
      <c r="L4" t="s">
        <v>114</v>
      </c>
      <c r="M4" t="s">
        <v>115</v>
      </c>
    </row>
    <row r="5" spans="2:13" x14ac:dyDescent="0.25">
      <c r="B5" s="18">
        <v>13</v>
      </c>
      <c r="C5" s="24">
        <v>42190</v>
      </c>
      <c r="D5" s="18" t="s">
        <v>38</v>
      </c>
      <c r="E5" t="str">
        <f>IFERROR(VLOOKUP(Tabela5[[#This Row],[Produto]],cálculos!$M$7:$P$31,4,FALSE),"")</f>
        <v>Pacote</v>
      </c>
      <c r="F5" s="18">
        <v>10</v>
      </c>
      <c r="G5" s="4">
        <f>IFERROR(VLOOKUP(Tabela5[[#This Row],[Produto]],cálculos!$M$7:$P$31,3,FALSE),0)</f>
        <v>1.1499999999999999</v>
      </c>
      <c r="H5" s="4">
        <f>Tabela5[[#This Row],[Preço Unitário]]*Tabela5[[#This Row],[Quantidade]]</f>
        <v>11.5</v>
      </c>
      <c r="I5" s="6"/>
      <c r="J5" s="18" t="s">
        <v>122</v>
      </c>
      <c r="K5" s="4">
        <f>IF(Tabela5[[#This Row],[Id da Venda]]=B6,0,VLOOKUP(Tabela5[[#This Row],[Entrega]],cálculos!$B$7:$C$11,2,FALSE))</f>
        <v>0</v>
      </c>
      <c r="L5" s="4">
        <f>Tabela5[[#This Row],[SubTotal]]*(1 - Tabela5[[#This Row],[Desconto]])+Tabela5[[#This Row],[Valor de Entrega]]</f>
        <v>11.5</v>
      </c>
      <c r="M5" s="4" t="str">
        <f>IF(Tabela5[[#This Row],[Id da Venda]]=B6,"",SUMIF(Tabela5[Id da Venda],Tabela5[[#This Row],[Id da Venda]],Tabela5[Total]))</f>
        <v/>
      </c>
    </row>
    <row r="6" spans="2:13" x14ac:dyDescent="0.25">
      <c r="B6" s="18">
        <v>13</v>
      </c>
      <c r="C6" s="24">
        <v>42190</v>
      </c>
      <c r="D6" s="18" t="s">
        <v>42</v>
      </c>
      <c r="E6" t="str">
        <f>IFERROR(VLOOKUP(Tabela5[[#This Row],[Produto]],cálculos!$M$7:$P$31,4,FALSE),"")</f>
        <v>Pacote</v>
      </c>
      <c r="F6" s="18">
        <v>1</v>
      </c>
      <c r="G6" s="4">
        <f>IFERROR(VLOOKUP(Tabela5[[#This Row],[Produto]],cálculos!$M$7:$P$31,3,FALSE),0)</f>
        <v>0.79</v>
      </c>
      <c r="H6" s="4">
        <f>Tabela5[[#This Row],[Preço Unitário]]*Tabela5[[#This Row],[Quantidade]]</f>
        <v>0.79</v>
      </c>
      <c r="I6" s="6"/>
      <c r="J6" s="18" t="s">
        <v>122</v>
      </c>
      <c r="K6" s="4">
        <f>IF(Tabela5[[#This Row],[Id da Venda]]=B7,0,VLOOKUP(Tabela5[[#This Row],[Entrega]],cálculos!$B$7:$C$11,2,FALSE))</f>
        <v>0</v>
      </c>
      <c r="L6" s="4">
        <f>Tabela5[[#This Row],[SubTotal]]*(1 - Tabela5[[#This Row],[Desconto]])+Tabela5[[#This Row],[Valor de Entrega]]</f>
        <v>0.79</v>
      </c>
      <c r="M6" s="4" t="str">
        <f>IF(Tabela5[[#This Row],[Id da Venda]]=B7,"",SUMIF(Tabela5[Id da Venda],Tabela5[[#This Row],[Id da Venda]],Tabela5[Total]))</f>
        <v/>
      </c>
    </row>
    <row r="7" spans="2:13" x14ac:dyDescent="0.25">
      <c r="B7" s="18">
        <v>13</v>
      </c>
      <c r="C7" s="24">
        <v>42190</v>
      </c>
      <c r="D7" s="18" t="s">
        <v>30</v>
      </c>
      <c r="E7" t="str">
        <f>IFERROR(VLOOKUP(Tabela5[[#This Row],[Produto]],cálculos!$M$7:$P$31,4,FALSE),"")</f>
        <v>Kg</v>
      </c>
      <c r="F7" s="18">
        <v>10</v>
      </c>
      <c r="G7" s="4">
        <f>IFERROR(VLOOKUP(Tabela5[[#This Row],[Produto]],cálculos!$M$7:$P$31,3,FALSE),0)</f>
        <v>15.9</v>
      </c>
      <c r="H7" s="4">
        <f>Tabela5[[#This Row],[Preço Unitário]]*Tabela5[[#This Row],[Quantidade]]</f>
        <v>159</v>
      </c>
      <c r="I7" s="6">
        <v>0.05</v>
      </c>
      <c r="J7" s="18" t="s">
        <v>122</v>
      </c>
      <c r="K7" s="4">
        <f>IF(Tabela5[[#This Row],[Id da Venda]]=B8,0,VLOOKUP(Tabela5[[#This Row],[Entrega]],cálculos!$B$7:$C$11,2,FALSE))</f>
        <v>0</v>
      </c>
      <c r="L7" s="4">
        <f>Tabela5[[#This Row],[SubTotal]]*(1 - Tabela5[[#This Row],[Desconto]])+Tabela5[[#This Row],[Valor de Entrega]]</f>
        <v>151.04999999999998</v>
      </c>
      <c r="M7" s="4" t="str">
        <f>IF(Tabela5[[#This Row],[Id da Venda]]=B8,"",SUMIF(Tabela5[Id da Venda],Tabela5[[#This Row],[Id da Venda]],Tabela5[Total]))</f>
        <v/>
      </c>
    </row>
    <row r="8" spans="2:13" x14ac:dyDescent="0.25">
      <c r="B8" s="18">
        <v>13</v>
      </c>
      <c r="C8" s="24">
        <v>42190</v>
      </c>
      <c r="D8" s="18" t="s">
        <v>39</v>
      </c>
      <c r="E8" t="str">
        <f>IFERROR(VLOOKUP(Tabela5[[#This Row],[Produto]],cálculos!$M$7:$P$31,4,FALSE),"")</f>
        <v>Lata</v>
      </c>
      <c r="F8" s="18">
        <v>24</v>
      </c>
      <c r="G8" s="4">
        <f>IFERROR(VLOOKUP(Tabela5[[#This Row],[Produto]],cálculos!$M$7:$P$31,3,FALSE),0)</f>
        <v>2.19</v>
      </c>
      <c r="H8" s="4">
        <f>Tabela5[[#This Row],[Preço Unitário]]*Tabela5[[#This Row],[Quantidade]]</f>
        <v>52.56</v>
      </c>
      <c r="I8" s="6">
        <v>0.05</v>
      </c>
      <c r="J8" s="18" t="s">
        <v>122</v>
      </c>
      <c r="K8" s="4">
        <f>IF(Tabela5[[#This Row],[Id da Venda]]=B9,0,VLOOKUP(Tabela5[[#This Row],[Entrega]],cálculos!$B$7:$C$11,2,FALSE))</f>
        <v>6.5</v>
      </c>
      <c r="L8" s="4">
        <f>Tabela5[[#This Row],[SubTotal]]*(1 - Tabela5[[#This Row],[Desconto]])+Tabela5[[#This Row],[Valor de Entrega]]</f>
        <v>56.432000000000002</v>
      </c>
      <c r="M8" s="4">
        <f>IF(Tabela5[[#This Row],[Id da Venda]]=B9,"",SUMIF(Tabela5[Id da Venda],Tabela5[[#This Row],[Id da Venda]],Tabela5[Total]))</f>
        <v>219.77199999999999</v>
      </c>
    </row>
    <row r="9" spans="2:13" x14ac:dyDescent="0.25">
      <c r="B9" s="18">
        <v>12</v>
      </c>
      <c r="C9" s="24">
        <v>42189</v>
      </c>
      <c r="D9" s="18" t="s">
        <v>39</v>
      </c>
      <c r="E9" t="str">
        <f>IFERROR(VLOOKUP(Tabela5[[#This Row],[Produto]],cálculos!$M$7:$P$31,4,FALSE),"")</f>
        <v>Lata</v>
      </c>
      <c r="F9" s="18">
        <v>1</v>
      </c>
      <c r="G9" s="4">
        <f>IFERROR(VLOOKUP(Tabela5[[#This Row],[Produto]],cálculos!$M$7:$P$31,3,FALSE),0)</f>
        <v>2.19</v>
      </c>
      <c r="H9" s="4">
        <f>Tabela5[[#This Row],[Preço Unitário]]*Tabela5[[#This Row],[Quantidade]]</f>
        <v>2.19</v>
      </c>
      <c r="I9" s="6"/>
      <c r="J9" s="18" t="s">
        <v>119</v>
      </c>
      <c r="K9" s="4">
        <f>IF(Tabela5[[#This Row],[Id da Venda]]=B10,0,VLOOKUP(Tabela5[[#This Row],[Entrega]],cálculos!$B$7:$C$11,2,FALSE))</f>
        <v>0</v>
      </c>
      <c r="L9" s="4">
        <f>Tabela5[[#This Row],[SubTotal]]*(1 - Tabela5[[#This Row],[Desconto]])+Tabela5[[#This Row],[Valor de Entrega]]</f>
        <v>2.19</v>
      </c>
      <c r="M9" s="4">
        <f>IF(Tabela5[[#This Row],[Id da Venda]]=B10,"",SUMIF(Tabela5[Id da Venda],Tabela5[[#This Row],[Id da Venda]],Tabela5[Total]))</f>
        <v>2.19</v>
      </c>
    </row>
    <row r="10" spans="2:13" x14ac:dyDescent="0.25">
      <c r="B10" s="18">
        <v>11</v>
      </c>
      <c r="C10" s="24">
        <v>42189</v>
      </c>
      <c r="D10" s="18" t="s">
        <v>39</v>
      </c>
      <c r="E10" t="str">
        <f>IFERROR(VLOOKUP(Tabela5[[#This Row],[Produto]],cálculos!$M$7:$P$31,4,FALSE),"")</f>
        <v>Lata</v>
      </c>
      <c r="F10" s="18">
        <v>10</v>
      </c>
      <c r="G10" s="4">
        <f>IFERROR(VLOOKUP(Tabela5[[#This Row],[Produto]],cálculos!$M$7:$P$31,3,FALSE),0)</f>
        <v>2.19</v>
      </c>
      <c r="H10" s="4">
        <f>Tabela5[[#This Row],[Preço Unitário]]*Tabela5[[#This Row],[Quantidade]]</f>
        <v>21.9</v>
      </c>
      <c r="I10" s="6"/>
      <c r="J10" s="18" t="s">
        <v>119</v>
      </c>
      <c r="K10" s="4">
        <f>IF(Tabela5[[#This Row],[Id da Venda]]=B11,0,VLOOKUP(Tabela5[[#This Row],[Entrega]],cálculos!$B$7:$C$11,2,FALSE))</f>
        <v>0</v>
      </c>
      <c r="L10" s="4">
        <f>Tabela5[[#This Row],[SubTotal]]*(1 - Tabela5[[#This Row],[Desconto]])+Tabela5[[#This Row],[Valor de Entrega]]</f>
        <v>21.9</v>
      </c>
      <c r="M10" s="4">
        <f>IF(Tabela5[[#This Row],[Id da Venda]]=B11,"",SUMIF(Tabela5[Id da Venda],Tabela5[[#This Row],[Id da Venda]],Tabela5[Total]))</f>
        <v>21.9</v>
      </c>
    </row>
    <row r="11" spans="2:13" x14ac:dyDescent="0.25">
      <c r="B11" s="18">
        <v>10</v>
      </c>
      <c r="C11" s="24">
        <v>42189</v>
      </c>
      <c r="D11" s="18" t="s">
        <v>27</v>
      </c>
      <c r="E11" t="str">
        <f>IFERROR(VLOOKUP(Tabela5[[#This Row],[Produto]],cálculos!$M$7:$P$31,4,FALSE),"")</f>
        <v>Kg</v>
      </c>
      <c r="F11" s="18">
        <v>6</v>
      </c>
      <c r="G11" s="4">
        <f>IFERROR(VLOOKUP(Tabela5[[#This Row],[Produto]],cálculos!$M$7:$P$31,3,FALSE),0)</f>
        <v>4.28</v>
      </c>
      <c r="H11" s="4">
        <f>Tabela5[[#This Row],[Preço Unitário]]*Tabela5[[#This Row],[Quantidade]]</f>
        <v>25.68</v>
      </c>
      <c r="I11" s="6"/>
      <c r="J11" s="18" t="s">
        <v>119</v>
      </c>
      <c r="K11" s="4">
        <f>IF(Tabela5[[#This Row],[Id da Venda]]=B12,0,VLOOKUP(Tabela5[[#This Row],[Entrega]],cálculos!$B$7:$C$11,2,FALSE))</f>
        <v>0</v>
      </c>
      <c r="L11" s="4">
        <f>Tabela5[[#This Row],[SubTotal]]*(1 - Tabela5[[#This Row],[Desconto]])+Tabela5[[#This Row],[Valor de Entrega]]</f>
        <v>25.68</v>
      </c>
      <c r="M11" s="4" t="str">
        <f>IF(Tabela5[[#This Row],[Id da Venda]]=B12,"",SUMIF(Tabela5[Id da Venda],Tabela5[[#This Row],[Id da Venda]],Tabela5[Total]))</f>
        <v/>
      </c>
    </row>
    <row r="12" spans="2:13" x14ac:dyDescent="0.25">
      <c r="B12" s="18">
        <v>10</v>
      </c>
      <c r="C12" s="24">
        <v>42189</v>
      </c>
      <c r="D12" s="18" t="s">
        <v>81</v>
      </c>
      <c r="E12" t="str">
        <f>IFERROR(VLOOKUP(Tabela5[[#This Row],[Produto]],cálculos!$M$7:$P$31,4,FALSE),"")</f>
        <v>Litro</v>
      </c>
      <c r="F12" s="18">
        <v>4</v>
      </c>
      <c r="G12" s="4">
        <f>IFERROR(VLOOKUP(Tabela5[[#This Row],[Produto]],cálculos!$M$7:$P$31,3,FALSE),0)</f>
        <v>2.39</v>
      </c>
      <c r="H12" s="4">
        <f>Tabela5[[#This Row],[Preço Unitário]]*Tabela5[[#This Row],[Quantidade]]</f>
        <v>9.56</v>
      </c>
      <c r="I12" s="6"/>
      <c r="J12" s="18" t="s">
        <v>119</v>
      </c>
      <c r="K12" s="4">
        <f>IF(Tabela5[[#This Row],[Id da Venda]]=B13,0,VLOOKUP(Tabela5[[#This Row],[Entrega]],cálculos!$B$7:$C$11,2,FALSE))</f>
        <v>0</v>
      </c>
      <c r="L12" s="4">
        <f>Tabela5[[#This Row],[SubTotal]]*(1 - Tabela5[[#This Row],[Desconto]])+Tabela5[[#This Row],[Valor de Entrega]]</f>
        <v>9.56</v>
      </c>
      <c r="M12" s="4">
        <f>IF(Tabela5[[#This Row],[Id da Venda]]=B13,"",SUMIF(Tabela5[Id da Venda],Tabela5[[#This Row],[Id da Venda]],Tabela5[Total]))</f>
        <v>35.24</v>
      </c>
    </row>
    <row r="13" spans="2:13" x14ac:dyDescent="0.25">
      <c r="B13" s="18">
        <v>9</v>
      </c>
      <c r="C13" s="24">
        <v>42188</v>
      </c>
      <c r="D13" s="18" t="s">
        <v>80</v>
      </c>
      <c r="E13" t="str">
        <f>IFERROR(VLOOKUP(Tabela5[[#This Row],[Produto]],cálculos!$M$7:$P$31,4,FALSE),"")</f>
        <v>Unidade</v>
      </c>
      <c r="F13" s="18">
        <v>5</v>
      </c>
      <c r="G13" s="4">
        <f>IFERROR(VLOOKUP(Tabela5[[#This Row],[Produto]],cálculos!$M$7:$P$31,3,FALSE),0)</f>
        <v>2.89</v>
      </c>
      <c r="H13" s="4">
        <f>Tabela5[[#This Row],[Preço Unitário]]*Tabela5[[#This Row],[Quantidade]]</f>
        <v>14.450000000000001</v>
      </c>
      <c r="I13" s="6"/>
      <c r="J13" s="18" t="s">
        <v>119</v>
      </c>
      <c r="K13" s="4">
        <f>IF(Tabela5[[#This Row],[Id da Venda]]=B14,0,VLOOKUP(Tabela5[[#This Row],[Entrega]],cálculos!$B$7:$C$11,2,FALSE))</f>
        <v>0</v>
      </c>
      <c r="L13" s="4">
        <f>Tabela5[[#This Row],[SubTotal]]*(1 - Tabela5[[#This Row],[Desconto]])+Tabela5[[#This Row],[Valor de Entrega]]</f>
        <v>14.450000000000001</v>
      </c>
      <c r="M13" s="4" t="str">
        <f>IF(Tabela5[[#This Row],[Id da Venda]]=B14,"",SUMIF(Tabela5[Id da Venda],Tabela5[[#This Row],[Id da Venda]],Tabela5[Total]))</f>
        <v/>
      </c>
    </row>
    <row r="14" spans="2:13" x14ac:dyDescent="0.25">
      <c r="B14" s="18">
        <v>9</v>
      </c>
      <c r="C14" s="24">
        <v>42188</v>
      </c>
      <c r="D14" s="18" t="s">
        <v>37</v>
      </c>
      <c r="E14" t="str">
        <f>IFERROR(VLOOKUP(Tabela5[[#This Row],[Produto]],cálculos!$M$7:$P$31,4,FALSE),"")</f>
        <v>Kg</v>
      </c>
      <c r="F14" s="18">
        <v>2</v>
      </c>
      <c r="G14" s="4">
        <f>IFERROR(VLOOKUP(Tabela5[[#This Row],[Produto]],cálculos!$M$7:$P$31,3,FALSE),0)</f>
        <v>9.58</v>
      </c>
      <c r="H14" s="4">
        <f>Tabela5[[#This Row],[Preço Unitário]]*Tabela5[[#This Row],[Quantidade]]</f>
        <v>19.16</v>
      </c>
      <c r="I14" s="6"/>
      <c r="J14" s="18" t="s">
        <v>119</v>
      </c>
      <c r="K14" s="4">
        <f>IF(Tabela5[[#This Row],[Id da Venda]]=B15,0,VLOOKUP(Tabela5[[#This Row],[Entrega]],cálculos!$B$7:$C$11,2,FALSE))</f>
        <v>0</v>
      </c>
      <c r="L14" s="4">
        <f>Tabela5[[#This Row],[SubTotal]]*(1 - Tabela5[[#This Row],[Desconto]])+Tabela5[[#This Row],[Valor de Entrega]]</f>
        <v>19.16</v>
      </c>
      <c r="M14" s="4" t="str">
        <f>IF(Tabela5[[#This Row],[Id da Venda]]=B15,"",SUMIF(Tabela5[Id da Venda],Tabela5[[#This Row],[Id da Venda]],Tabela5[Total]))</f>
        <v/>
      </c>
    </row>
    <row r="15" spans="2:13" x14ac:dyDescent="0.25">
      <c r="B15" s="18">
        <v>9</v>
      </c>
      <c r="C15" s="24">
        <v>42188</v>
      </c>
      <c r="D15" s="18" t="s">
        <v>33</v>
      </c>
      <c r="E15" t="str">
        <f>IFERROR(VLOOKUP(Tabela5[[#This Row],[Produto]],cálculos!$M$7:$P$31,4,FALSE),"")</f>
        <v>Kg</v>
      </c>
      <c r="F15" s="18">
        <v>1.5</v>
      </c>
      <c r="G15" s="4">
        <f>IFERROR(VLOOKUP(Tabela5[[#This Row],[Produto]],cálculos!$M$7:$P$31,3,FALSE),0)</f>
        <v>25.9</v>
      </c>
      <c r="H15" s="4">
        <f>Tabela5[[#This Row],[Preço Unitário]]*Tabela5[[#This Row],[Quantidade]]</f>
        <v>38.849999999999994</v>
      </c>
      <c r="I15" s="6"/>
      <c r="J15" s="18" t="s">
        <v>119</v>
      </c>
      <c r="K15" s="4">
        <f>IF(Tabela5[[#This Row],[Id da Venda]]=B16,0,VLOOKUP(Tabela5[[#This Row],[Entrega]],cálculos!$B$7:$C$11,2,FALSE))</f>
        <v>0</v>
      </c>
      <c r="L15" s="4">
        <f>Tabela5[[#This Row],[SubTotal]]*(1 - Tabela5[[#This Row],[Desconto]])+Tabela5[[#This Row],[Valor de Entrega]]</f>
        <v>38.849999999999994</v>
      </c>
      <c r="M15" s="4" t="str">
        <f>IF(Tabela5[[#This Row],[Id da Venda]]=B16,"",SUMIF(Tabela5[Id da Venda],Tabela5[[#This Row],[Id da Venda]],Tabela5[Total]))</f>
        <v/>
      </c>
    </row>
    <row r="16" spans="2:13" x14ac:dyDescent="0.25">
      <c r="B16" s="18">
        <v>9</v>
      </c>
      <c r="C16" s="24">
        <v>42188</v>
      </c>
      <c r="D16" s="18" t="s">
        <v>27</v>
      </c>
      <c r="E16" s="25" t="str">
        <f>IFERROR(VLOOKUP(Tabela5[[#This Row],[Produto]],cálculos!$M$7:$P$31,4,FALSE),"")</f>
        <v>Kg</v>
      </c>
      <c r="F16" s="18">
        <v>4</v>
      </c>
      <c r="G16" s="26">
        <f>IFERROR(VLOOKUP(Tabela5[[#This Row],[Produto]],cálculos!$M$7:$P$31,3,FALSE),0)</f>
        <v>4.28</v>
      </c>
      <c r="H16" s="26">
        <f>Tabela5[[#This Row],[Preço Unitário]]*Tabela5[[#This Row],[Quantidade]]</f>
        <v>17.12</v>
      </c>
      <c r="I16" s="6"/>
      <c r="J16" s="18" t="s">
        <v>119</v>
      </c>
      <c r="K16" s="26">
        <f>IF(Tabela5[[#This Row],[Id da Venda]]=B17,0,VLOOKUP(Tabela5[[#This Row],[Entrega]],cálculos!$B$7:$C$11,2,FALSE))</f>
        <v>0</v>
      </c>
      <c r="L16" s="26">
        <f>Tabela5[[#This Row],[SubTotal]]*(1 - Tabela5[[#This Row],[Desconto]])+Tabela5[[#This Row],[Valor de Entrega]]</f>
        <v>17.12</v>
      </c>
      <c r="M16" s="4">
        <f>IF(Tabela5[[#This Row],[Id da Venda]]=B17,"",SUMIF(Tabela5[Id da Venda],Tabela5[[#This Row],[Id da Venda]],Tabela5[Total]))</f>
        <v>89.58</v>
      </c>
    </row>
    <row r="17" spans="2:13" x14ac:dyDescent="0.25">
      <c r="B17" s="18">
        <v>8</v>
      </c>
      <c r="C17" s="24">
        <v>42188</v>
      </c>
      <c r="D17" s="18" t="s">
        <v>39</v>
      </c>
      <c r="E17" s="25" t="str">
        <f>IFERROR(VLOOKUP(Tabela5[[#This Row],[Produto]],cálculos!$M$7:$P$31,4,FALSE),"")</f>
        <v>Lata</v>
      </c>
      <c r="F17" s="18">
        <v>20</v>
      </c>
      <c r="G17" s="26">
        <f>IFERROR(VLOOKUP(Tabela5[[#This Row],[Produto]],cálculos!$M$7:$P$31,3,FALSE),0)</f>
        <v>2.19</v>
      </c>
      <c r="H17" s="26">
        <f>Tabela5[[#This Row],[Preço Unitário]]*Tabela5[[#This Row],[Quantidade]]</f>
        <v>43.8</v>
      </c>
      <c r="I17" s="6">
        <v>0.05</v>
      </c>
      <c r="J17" s="18" t="s">
        <v>122</v>
      </c>
      <c r="K17" s="26">
        <f>IF(Tabela5[[#This Row],[Id da Venda]]=B18,0,VLOOKUP(Tabela5[[#This Row],[Entrega]],cálculos!$B$7:$C$11,2,FALSE))</f>
        <v>6.5</v>
      </c>
      <c r="L17" s="26">
        <f>Tabela5[[#This Row],[SubTotal]]*(1 - Tabela5[[#This Row],[Desconto]])+Tabela5[[#This Row],[Valor de Entrega]]</f>
        <v>48.109999999999992</v>
      </c>
      <c r="M17" s="4">
        <f>IF(Tabela5[[#This Row],[Id da Venda]]=B18,"",SUMIF(Tabela5[Id da Venda],Tabela5[[#This Row],[Id da Venda]],Tabela5[Total]))</f>
        <v>48.109999999999992</v>
      </c>
    </row>
    <row r="18" spans="2:13" x14ac:dyDescent="0.25">
      <c r="B18" s="18">
        <v>7</v>
      </c>
      <c r="C18" s="24">
        <v>42188</v>
      </c>
      <c r="D18" s="18" t="s">
        <v>39</v>
      </c>
      <c r="E18" s="25" t="str">
        <f>IFERROR(VLOOKUP(Tabela5[[#This Row],[Produto]],cálculos!$M$7:$P$31,4,FALSE),"")</f>
        <v>Lata</v>
      </c>
      <c r="F18" s="18">
        <v>20</v>
      </c>
      <c r="G18" s="26">
        <f>IFERROR(VLOOKUP(Tabela5[[#This Row],[Produto]],cálculos!$M$7:$P$31,3,FALSE),0)</f>
        <v>2.19</v>
      </c>
      <c r="H18" s="26">
        <f>Tabela5[[#This Row],[Preço Unitário]]*Tabela5[[#This Row],[Quantidade]]</f>
        <v>43.8</v>
      </c>
      <c r="I18" s="6">
        <v>0.05</v>
      </c>
      <c r="J18" s="18" t="s">
        <v>119</v>
      </c>
      <c r="K18" s="26">
        <f>IF(Tabela5[[#This Row],[Id da Venda]]=B19,0,VLOOKUP(Tabela5[[#This Row],[Entrega]],cálculos!$B$7:$C$11,2,FALSE))</f>
        <v>0</v>
      </c>
      <c r="L18" s="26">
        <f>Tabela5[[#This Row],[SubTotal]]*(1 - Tabela5[[#This Row],[Desconto]])+Tabela5[[#This Row],[Valor de Entrega]]</f>
        <v>41.609999999999992</v>
      </c>
      <c r="M18" s="4">
        <f>IF(Tabela5[[#This Row],[Id da Venda]]=B19,"",SUMIF(Tabela5[Id da Venda],Tabela5[[#This Row],[Id da Venda]],Tabela5[Total]))</f>
        <v>41.609999999999992</v>
      </c>
    </row>
    <row r="19" spans="2:13" x14ac:dyDescent="0.25">
      <c r="B19" s="18">
        <v>6</v>
      </c>
      <c r="C19" s="24">
        <v>42188</v>
      </c>
      <c r="D19" s="18" t="s">
        <v>42</v>
      </c>
      <c r="E19" s="25" t="str">
        <f>IFERROR(VLOOKUP(Tabela5[[#This Row],[Produto]],cálculos!$M$7:$P$31,4,FALSE),"")</f>
        <v>Pacote</v>
      </c>
      <c r="F19" s="18">
        <v>2</v>
      </c>
      <c r="G19" s="26">
        <f>IFERROR(VLOOKUP(Tabela5[[#This Row],[Produto]],cálculos!$M$7:$P$31,3,FALSE),0)</f>
        <v>0.79</v>
      </c>
      <c r="H19" s="26">
        <f>Tabela5[[#This Row],[Preço Unitário]]*Tabela5[[#This Row],[Quantidade]]</f>
        <v>1.58</v>
      </c>
      <c r="I19" s="6"/>
      <c r="J19" s="18" t="s">
        <v>119</v>
      </c>
      <c r="K19" s="26">
        <f>IF(Tabela5[[#This Row],[Id da Venda]]=B20,0,VLOOKUP(Tabela5[[#This Row],[Entrega]],cálculos!$B$7:$C$11,2,FALSE))</f>
        <v>0</v>
      </c>
      <c r="L19" s="26">
        <f>Tabela5[[#This Row],[SubTotal]]*(1 - Tabela5[[#This Row],[Desconto]])+Tabela5[[#This Row],[Valor de Entrega]]</f>
        <v>1.58</v>
      </c>
      <c r="M19" s="4" t="str">
        <f>IF(Tabela5[[#This Row],[Id da Venda]]=B20,"",SUMIF(Tabela5[Id da Venda],Tabela5[[#This Row],[Id da Venda]],Tabela5[Total]))</f>
        <v/>
      </c>
    </row>
    <row r="20" spans="2:13" x14ac:dyDescent="0.25">
      <c r="B20" s="18">
        <v>6</v>
      </c>
      <c r="C20" s="24">
        <v>42188</v>
      </c>
      <c r="D20" s="18" t="s">
        <v>30</v>
      </c>
      <c r="E20" s="25" t="str">
        <f>IFERROR(VLOOKUP(Tabela5[[#This Row],[Produto]],cálculos!$M$7:$P$31,4,FALSE),"")</f>
        <v>Kg</v>
      </c>
      <c r="F20" s="18">
        <v>6</v>
      </c>
      <c r="G20" s="26">
        <f>IFERROR(VLOOKUP(Tabela5[[#This Row],[Produto]],cálculos!$M$7:$P$31,3,FALSE),0)</f>
        <v>15.9</v>
      </c>
      <c r="H20" s="26">
        <f>Tabela5[[#This Row],[Preço Unitário]]*Tabela5[[#This Row],[Quantidade]]</f>
        <v>95.4</v>
      </c>
      <c r="I20" s="6"/>
      <c r="J20" s="18" t="s">
        <v>119</v>
      </c>
      <c r="K20" s="26">
        <f>IF(Tabela5[[#This Row],[Id da Venda]]=B21,0,VLOOKUP(Tabela5[[#This Row],[Entrega]],cálculos!$B$7:$C$11,2,FALSE))</f>
        <v>0</v>
      </c>
      <c r="L20" s="26">
        <f>Tabela5[[#This Row],[SubTotal]]*(1 - Tabela5[[#This Row],[Desconto]])+Tabela5[[#This Row],[Valor de Entrega]]</f>
        <v>95.4</v>
      </c>
      <c r="M20" s="4" t="str">
        <f>IF(Tabela5[[#This Row],[Id da Venda]]=B21,"",SUMIF(Tabela5[Id da Venda],Tabela5[[#This Row],[Id da Venda]],Tabela5[Total]))</f>
        <v/>
      </c>
    </row>
    <row r="21" spans="2:13" x14ac:dyDescent="0.25">
      <c r="B21" s="18">
        <v>6</v>
      </c>
      <c r="C21" s="24">
        <v>42188</v>
      </c>
      <c r="D21" s="18" t="s">
        <v>39</v>
      </c>
      <c r="E21" s="25" t="str">
        <f>IFERROR(VLOOKUP(Tabela5[[#This Row],[Produto]],cálculos!$M$7:$P$31,4,FALSE),"")</f>
        <v>Lata</v>
      </c>
      <c r="F21" s="18">
        <v>12</v>
      </c>
      <c r="G21" s="26">
        <f>IFERROR(VLOOKUP(Tabela5[[#This Row],[Produto]],cálculos!$M$7:$P$31,3,FALSE),0)</f>
        <v>2.19</v>
      </c>
      <c r="H21" s="26">
        <f>Tabela5[[#This Row],[Preço Unitário]]*Tabela5[[#This Row],[Quantidade]]</f>
        <v>26.28</v>
      </c>
      <c r="I21" s="6"/>
      <c r="J21" s="18" t="s">
        <v>119</v>
      </c>
      <c r="K21" s="26">
        <f>IF(Tabela5[[#This Row],[Id da Venda]]=B22,0,VLOOKUP(Tabela5[[#This Row],[Entrega]],cálculos!$B$7:$C$11,2,FALSE))</f>
        <v>0</v>
      </c>
      <c r="L21" s="26">
        <f>Tabela5[[#This Row],[SubTotal]]*(1 - Tabela5[[#This Row],[Desconto]])+Tabela5[[#This Row],[Valor de Entrega]]</f>
        <v>26.28</v>
      </c>
      <c r="M21" s="4">
        <f>IF(Tabela5[[#This Row],[Id da Venda]]=B22,"",SUMIF(Tabela5[Id da Venda],Tabela5[[#This Row],[Id da Venda]],Tabela5[Total]))</f>
        <v>123.26</v>
      </c>
    </row>
    <row r="22" spans="2:13" x14ac:dyDescent="0.25">
      <c r="B22" s="18">
        <v>5</v>
      </c>
      <c r="C22" s="24">
        <v>42187</v>
      </c>
      <c r="D22" s="18" t="s">
        <v>29</v>
      </c>
      <c r="E22" s="25" t="str">
        <f>IFERROR(VLOOKUP(Tabela5[[#This Row],[Produto]],cálculos!$M$7:$P$31,4,FALSE),"")</f>
        <v>Unidade</v>
      </c>
      <c r="F22" s="18">
        <v>3</v>
      </c>
      <c r="G22" s="26">
        <f>IFERROR(VLOOKUP(Tabela5[[#This Row],[Produto]],cálculos!$M$7:$P$31,3,FALSE),0)</f>
        <v>2.99</v>
      </c>
      <c r="H22" s="26">
        <f>Tabela5[[#This Row],[Preço Unitário]]*Tabela5[[#This Row],[Quantidade]]</f>
        <v>8.9700000000000006</v>
      </c>
      <c r="I22" s="6"/>
      <c r="J22" s="18" t="s">
        <v>122</v>
      </c>
      <c r="K22" s="26">
        <f>IF(Tabela5[[#This Row],[Id da Venda]]=B23,0,VLOOKUP(Tabela5[[#This Row],[Entrega]],cálculos!$B$7:$C$11,2,FALSE))</f>
        <v>6.5</v>
      </c>
      <c r="L22" s="26">
        <f>Tabela5[[#This Row],[SubTotal]]*(1 - Tabela5[[#This Row],[Desconto]])+Tabela5[[#This Row],[Valor de Entrega]]</f>
        <v>15.47</v>
      </c>
      <c r="M22" s="4">
        <f>IF(Tabela5[[#This Row],[Id da Venda]]=B23,"",SUMIF(Tabela5[Id da Venda],Tabela5[[#This Row],[Id da Venda]],Tabela5[Total]))</f>
        <v>15.47</v>
      </c>
    </row>
    <row r="23" spans="2:13" x14ac:dyDescent="0.25">
      <c r="B23" s="18">
        <v>4</v>
      </c>
      <c r="C23" s="24">
        <v>42187</v>
      </c>
      <c r="D23" s="18" t="s">
        <v>43</v>
      </c>
      <c r="E23" s="25" t="str">
        <f>IFERROR(VLOOKUP(Tabela5[[#This Row],[Produto]],cálculos!$M$7:$P$31,4,FALSE),"")</f>
        <v>Pacote</v>
      </c>
      <c r="F23" s="18">
        <v>2</v>
      </c>
      <c r="G23" s="26">
        <f>IFERROR(VLOOKUP(Tabela5[[#This Row],[Produto]],cálculos!$M$7:$P$31,3,FALSE),0)</f>
        <v>1.99</v>
      </c>
      <c r="H23" s="26">
        <f>Tabela5[[#This Row],[Preço Unitário]]*Tabela5[[#This Row],[Quantidade]]</f>
        <v>3.98</v>
      </c>
      <c r="I23" s="6"/>
      <c r="J23" s="18" t="s">
        <v>120</v>
      </c>
      <c r="K23" s="26">
        <f>IF(Tabela5[[#This Row],[Id da Venda]]=B24,0,VLOOKUP(Tabela5[[#This Row],[Entrega]],cálculos!$B$7:$C$11,2,FALSE))</f>
        <v>0</v>
      </c>
      <c r="L23" s="26">
        <f>Tabela5[[#This Row],[SubTotal]]*(1 - Tabela5[[#This Row],[Desconto]])+Tabela5[[#This Row],[Valor de Entrega]]</f>
        <v>3.98</v>
      </c>
      <c r="M23" s="4" t="str">
        <f>IF(Tabela5[[#This Row],[Id da Venda]]=B24,"",SUMIF(Tabela5[Id da Venda],Tabela5[[#This Row],[Id da Venda]],Tabela5[Total]))</f>
        <v/>
      </c>
    </row>
    <row r="24" spans="2:13" x14ac:dyDescent="0.25">
      <c r="B24" s="18">
        <v>4</v>
      </c>
      <c r="C24" s="24">
        <v>42187</v>
      </c>
      <c r="D24" s="18" t="s">
        <v>26</v>
      </c>
      <c r="E24" s="25" t="str">
        <f>IFERROR(VLOOKUP(Tabela5[[#This Row],[Produto]],cálculos!$M$7:$P$31,4,FALSE),"")</f>
        <v>Kg</v>
      </c>
      <c r="F24" s="18">
        <v>5</v>
      </c>
      <c r="G24" s="26">
        <f>IFERROR(VLOOKUP(Tabela5[[#This Row],[Produto]],cálculos!$M$7:$P$31,3,FALSE),0)</f>
        <v>2.4900000000000002</v>
      </c>
      <c r="H24" s="26">
        <f>Tabela5[[#This Row],[Preço Unitário]]*Tabela5[[#This Row],[Quantidade]]</f>
        <v>12.450000000000001</v>
      </c>
      <c r="I24" s="6"/>
      <c r="J24" s="18" t="s">
        <v>120</v>
      </c>
      <c r="K24" s="26">
        <f>IF(Tabela5[[#This Row],[Id da Venda]]=B25,0,VLOOKUP(Tabela5[[#This Row],[Entrega]],cálculos!$B$7:$C$11,2,FALSE))</f>
        <v>6.5</v>
      </c>
      <c r="L24" s="26">
        <f>Tabela5[[#This Row],[SubTotal]]*(1 - Tabela5[[#This Row],[Desconto]])+Tabela5[[#This Row],[Valor de Entrega]]</f>
        <v>18.950000000000003</v>
      </c>
      <c r="M24" s="4">
        <f>IF(Tabela5[[#This Row],[Id da Venda]]=B25,"",SUMIF(Tabela5[Id da Venda],Tabela5[[#This Row],[Id da Venda]],Tabela5[Total]))</f>
        <v>22.930000000000003</v>
      </c>
    </row>
    <row r="25" spans="2:13" x14ac:dyDescent="0.25">
      <c r="B25" s="18">
        <v>3</v>
      </c>
      <c r="C25" s="24">
        <v>42187</v>
      </c>
      <c r="D25" s="18" t="s">
        <v>75</v>
      </c>
      <c r="E25" s="25" t="str">
        <f>IFERROR(VLOOKUP(Tabela5[[#This Row],[Produto]],cálculos!$M$7:$P$31,4,FALSE),"")</f>
        <v>Litro</v>
      </c>
      <c r="F25" s="18">
        <v>6</v>
      </c>
      <c r="G25" s="26">
        <f>IFERROR(VLOOKUP(Tabela5[[#This Row],[Produto]],cálculos!$M$7:$P$31,3,FALSE),0)</f>
        <v>1.49</v>
      </c>
      <c r="H25" s="26">
        <f>Tabela5[[#This Row],[Preço Unitário]]*Tabela5[[#This Row],[Quantidade]]</f>
        <v>8.94</v>
      </c>
      <c r="I25" s="6"/>
      <c r="J25" s="18" t="s">
        <v>121</v>
      </c>
      <c r="K25" s="26">
        <f>IF(Tabela5[[#This Row],[Id da Venda]]=B26,0,VLOOKUP(Tabela5[[#This Row],[Entrega]],cálculos!$B$7:$C$11,2,FALSE))</f>
        <v>8</v>
      </c>
      <c r="L25" s="26">
        <f>Tabela5[[#This Row],[SubTotal]]*(1 - Tabela5[[#This Row],[Desconto]])+Tabela5[[#This Row],[Valor de Entrega]]</f>
        <v>16.939999999999998</v>
      </c>
      <c r="M25" s="4">
        <f>IF(Tabela5[[#This Row],[Id da Venda]]=B26,"",SUMIF(Tabela5[Id da Venda],Tabela5[[#This Row],[Id da Venda]],Tabela5[Total]))</f>
        <v>16.939999999999998</v>
      </c>
    </row>
    <row r="26" spans="2:13" x14ac:dyDescent="0.25">
      <c r="B26" s="18">
        <v>2</v>
      </c>
      <c r="C26" s="24">
        <v>42187</v>
      </c>
      <c r="D26" s="18" t="s">
        <v>43</v>
      </c>
      <c r="E26" s="25" t="str">
        <f>IFERROR(VLOOKUP(Tabela5[[#This Row],[Produto]],cálculos!$M$7:$P$31,4,FALSE),"")</f>
        <v>Pacote</v>
      </c>
      <c r="F26" s="18">
        <v>1</v>
      </c>
      <c r="G26" s="26">
        <f>IFERROR(VLOOKUP(Tabela5[[#This Row],[Produto]],cálculos!$M$7:$P$31,3,FALSE),0)</f>
        <v>1.99</v>
      </c>
      <c r="H26" s="26">
        <f>Tabela5[[#This Row],[Preço Unitário]]*Tabela5[[#This Row],[Quantidade]]</f>
        <v>1.99</v>
      </c>
      <c r="I26" s="6"/>
      <c r="J26" s="18" t="s">
        <v>120</v>
      </c>
      <c r="K26" s="26">
        <f>IF(Tabela5[[#This Row],[Id da Venda]]=B27,0,VLOOKUP(Tabela5[[#This Row],[Entrega]],cálculos!$B$7:$C$11,2,FALSE))</f>
        <v>6.5</v>
      </c>
      <c r="L26" s="26">
        <f>Tabela5[[#This Row],[SubTotal]]*(1 - Tabela5[[#This Row],[Desconto]])+Tabela5[[#This Row],[Valor de Entrega]]</f>
        <v>8.49</v>
      </c>
      <c r="M26" s="4">
        <f>IF(Tabela5[[#This Row],[Id da Venda]]=B27,"",SUMIF(Tabela5[Id da Venda],Tabela5[[#This Row],[Id da Venda]],Tabela5[Total]))</f>
        <v>8.49</v>
      </c>
    </row>
    <row r="27" spans="2:13" x14ac:dyDescent="0.25">
      <c r="B27" s="18">
        <v>1</v>
      </c>
      <c r="C27" s="24">
        <v>42187</v>
      </c>
      <c r="D27" s="18" t="s">
        <v>26</v>
      </c>
      <c r="E27" s="25" t="str">
        <f>IFERROR(VLOOKUP(Tabela5[[#This Row],[Produto]],cálculos!$M$7:$P$31,4,FALSE),"")</f>
        <v>Kg</v>
      </c>
      <c r="F27" s="18">
        <v>2</v>
      </c>
      <c r="G27" s="26">
        <f>IFERROR(VLOOKUP(Tabela5[[#This Row],[Produto]],cálculos!$M$7:$P$31,3,FALSE),0)</f>
        <v>2.4900000000000002</v>
      </c>
      <c r="H27" s="26">
        <f>Tabela5[[#This Row],[Preço Unitário]]*Tabela5[[#This Row],[Quantidade]]</f>
        <v>4.9800000000000004</v>
      </c>
      <c r="I27" s="6"/>
      <c r="J27" s="18" t="s">
        <v>119</v>
      </c>
      <c r="K27" s="26">
        <f>IF(Tabela5[[#This Row],[Id da Venda]]=B28,0,VLOOKUP(Tabela5[[#This Row],[Entrega]],cálculos!$B$7:$C$11,2,FALSE))</f>
        <v>0</v>
      </c>
      <c r="L27" s="26">
        <f>Tabela5[[#This Row],[SubTotal]]*(1 - Tabela5[[#This Row],[Desconto]])+Tabela5[[#This Row],[Valor de Entrega]]</f>
        <v>4.9800000000000004</v>
      </c>
      <c r="M27" s="4" t="str">
        <f>IF(Tabela5[[#This Row],[Id da Venda]]=B28,"",SUMIF(Tabela5[Id da Venda],Tabela5[[#This Row],[Id da Venda]],Tabela5[Total]))</f>
        <v/>
      </c>
    </row>
    <row r="28" spans="2:13" x14ac:dyDescent="0.25">
      <c r="B28" s="18">
        <v>1</v>
      </c>
      <c r="C28" s="24">
        <v>42187</v>
      </c>
      <c r="D28" s="18" t="s">
        <v>38</v>
      </c>
      <c r="E28" s="25" t="str">
        <f>IFERROR(VLOOKUP(Tabela5[[#This Row],[Produto]],cálculos!$M$7:$P$31,4,FALSE),"")</f>
        <v>Pacote</v>
      </c>
      <c r="F28" s="18">
        <v>3</v>
      </c>
      <c r="G28" s="26">
        <f>IFERROR(VLOOKUP(Tabela5[[#This Row],[Produto]],cálculos!$M$7:$P$31,3,FALSE),0)</f>
        <v>1.1499999999999999</v>
      </c>
      <c r="H28" s="26">
        <f>Tabela5[[#This Row],[Preço Unitário]]*Tabela5[[#This Row],[Quantidade]]</f>
        <v>3.4499999999999997</v>
      </c>
      <c r="I28" s="6"/>
      <c r="J28" s="18" t="s">
        <v>119</v>
      </c>
      <c r="K28" s="26">
        <f>IF(Tabela5[[#This Row],[Id da Venda]]=B29,0,VLOOKUP(Tabela5[[#This Row],[Entrega]],cálculos!$B$7:$C$11,2,FALSE))</f>
        <v>0</v>
      </c>
      <c r="L28" s="26">
        <f>Tabela5[[#This Row],[SubTotal]]*(1 - Tabela5[[#This Row],[Desconto]])+Tabela5[[#This Row],[Valor de Entrega]]</f>
        <v>3.4499999999999997</v>
      </c>
      <c r="M28" s="4" t="str">
        <f>IF(Tabela5[[#This Row],[Id da Venda]]=B29,"",SUMIF(Tabela5[Id da Venda],Tabela5[[#This Row],[Id da Venda]],Tabela5[Total]))</f>
        <v/>
      </c>
    </row>
    <row r="29" spans="2:13" x14ac:dyDescent="0.25">
      <c r="B29" s="18">
        <v>1</v>
      </c>
      <c r="C29" s="24">
        <v>42187</v>
      </c>
      <c r="D29" s="18" t="s">
        <v>43</v>
      </c>
      <c r="E29" s="25" t="str">
        <f>IFERROR(VLOOKUP(Tabela5[[#This Row],[Produto]],cálculos!$M$7:$P$31,4,FALSE),"")</f>
        <v>Pacote</v>
      </c>
      <c r="F29" s="18">
        <v>1</v>
      </c>
      <c r="G29" s="26">
        <f>IFERROR(VLOOKUP(Tabela5[[#This Row],[Produto]],cálculos!$M$7:$P$31,3,FALSE),0)</f>
        <v>1.99</v>
      </c>
      <c r="H29" s="26">
        <f>Tabela5[[#This Row],[Preço Unitário]]*Tabela5[[#This Row],[Quantidade]]</f>
        <v>1.99</v>
      </c>
      <c r="I29" s="6"/>
      <c r="J29" s="18" t="s">
        <v>119</v>
      </c>
      <c r="K29" s="26">
        <f>IF(Tabela5[[#This Row],[Id da Venda]]=B30,0,VLOOKUP(Tabela5[[#This Row],[Entrega]],cálculos!$B$7:$C$11,2,FALSE))</f>
        <v>0</v>
      </c>
      <c r="L29" s="26">
        <f>Tabela5[[#This Row],[SubTotal]]*(1 - Tabela5[[#This Row],[Desconto]])+Tabela5[[#This Row],[Valor de Entrega]]</f>
        <v>1.99</v>
      </c>
      <c r="M29" s="4">
        <f>IF(Tabela5[[#This Row],[Id da Venda]]=B30,"",SUMIF(Tabela5[Id da Venda],Tabela5[[#This Row],[Id da Venda]],Tabela5[Total]))</f>
        <v>10.42</v>
      </c>
    </row>
    <row r="31" spans="2:13" ht="21" x14ac:dyDescent="0.35">
      <c r="B31" s="20" t="s">
        <v>123</v>
      </c>
      <c r="C31" s="20"/>
      <c r="D31" s="20"/>
      <c r="E31" s="21"/>
      <c r="F31" s="21"/>
      <c r="G31" s="21"/>
      <c r="H31" s="21"/>
      <c r="I31" s="21"/>
      <c r="J31" s="21"/>
      <c r="K31" s="21"/>
      <c r="L31" s="21"/>
      <c r="M31" s="21">
        <f>SUM(Tabela5[Total])</f>
        <v>655.91200000000026</v>
      </c>
    </row>
    <row r="32" spans="2:13" ht="21" x14ac:dyDescent="0.35">
      <c r="B32" s="22" t="s">
        <v>124</v>
      </c>
      <c r="C32" s="22"/>
      <c r="D32" s="22"/>
      <c r="E32" s="23"/>
      <c r="F32" s="23"/>
      <c r="G32" s="23"/>
      <c r="H32" s="23"/>
      <c r="I32" s="23"/>
      <c r="J32" s="23"/>
      <c r="K32" s="23"/>
      <c r="L32" s="23"/>
      <c r="M32" s="23">
        <f>SUM(Tabela5[Valor de Entrega])</f>
        <v>40.5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ADF6-D66F-4C0E-9CFA-D21ABC6AA094}">
  <dimension ref="B2:M18"/>
  <sheetViews>
    <sheetView workbookViewId="0">
      <selection activeCell="M17" sqref="M17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125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B5" s="18">
        <v>20</v>
      </c>
      <c r="C5" s="14">
        <v>44081</v>
      </c>
      <c r="D5" s="18" t="s">
        <v>40</v>
      </c>
      <c r="E5" s="18" t="str">
        <f>IFERROR(VLOOKUP(Tabela57[[#This Row],[Produto]],cálculos!$M$7:$P$31,4,FALSE),"")</f>
        <v>Garrafa</v>
      </c>
      <c r="F5" s="18">
        <v>2</v>
      </c>
      <c r="G5" s="4">
        <f>IFERROR(VLOOKUP(Tabela57[[#This Row],[Produto]],cálculos!$M$7:$P$31,3,FALSE),0)</f>
        <v>54.9</v>
      </c>
      <c r="H5" s="4">
        <f>Tabela57[[#This Row],[Preço Unitário]]*Tabela57[[#This Row],[Quantidade]]</f>
        <v>109.8</v>
      </c>
      <c r="I5" s="6">
        <v>0.1</v>
      </c>
      <c r="J5" s="18" t="s">
        <v>118</v>
      </c>
      <c r="K5" s="4">
        <f>IFERROR(VLOOKUP(Tabela57[[#This Row],[Entrega]],cálculos!$B$7:$C$11,2,FALSE),0)</f>
        <v>5</v>
      </c>
      <c r="L5" s="4">
        <f>Tabela57[[#This Row],[SubTotal]]*(1 - Tabela57[[#This Row],[Desconto]])+Tabela57[[#This Row],[Valor de Entrega]]</f>
        <v>103.82</v>
      </c>
      <c r="M5" s="4">
        <f>IF(Tabela57[[#This Row],[Id da Venda]]=B6,"",SUMIF(Tabela57[Id da Venda],Tabela57[[#This Row],[Id da Venda]],Tabela57[Total]))</f>
        <v>103.82</v>
      </c>
    </row>
    <row r="6" spans="2:13" x14ac:dyDescent="0.25">
      <c r="C6" s="14"/>
      <c r="G6" s="4">
        <f>IFERROR(VLOOKUP(Tabela57[[#This Row],[Produto]],cálculos!$M$7:$P$31,3,FALSE),0)</f>
        <v>0</v>
      </c>
      <c r="H6" s="4">
        <f>Tabela57[[#This Row],[Preço Unitário]]*Tabela57[[#This Row],[Quantidade]]</f>
        <v>0</v>
      </c>
      <c r="I6" s="6"/>
      <c r="K6" s="4">
        <f>IFERROR(VLOOKUP(Tabela57[[#This Row],[Entrega]],cálculos!$B$7:$C$11,2,FALSE),0)</f>
        <v>0</v>
      </c>
      <c r="L6" s="4">
        <f>Tabela57[[#This Row],[SubTotal]]*(1 - Tabela57[[#This Row],[Desconto]])+Tabela57[[#This Row],[Valor de Entrega]]</f>
        <v>0</v>
      </c>
      <c r="M6" s="4" t="str">
        <f>IF(Tabela57[[#This Row],[Id da Venda]]=B7,"",SUMIF(Tabela57[Id da Venda],Tabela57[[#This Row],[Id da Venda]],Tabela57[Total]))</f>
        <v/>
      </c>
    </row>
    <row r="7" spans="2:13" x14ac:dyDescent="0.25">
      <c r="C7" s="14"/>
      <c r="G7" s="4">
        <f>IFERROR(VLOOKUP(Tabela57[[#This Row],[Produto]],cálculos!$M$7:$P$31,3,FALSE),0)</f>
        <v>0</v>
      </c>
      <c r="H7" s="4">
        <f>Tabela57[[#This Row],[Preço Unitário]]*Tabela57[[#This Row],[Quantidade]]</f>
        <v>0</v>
      </c>
      <c r="I7" s="6"/>
      <c r="K7" s="4">
        <f>IFERROR(VLOOKUP(Tabela57[[#This Row],[Entrega]],cálculos!$B$7:$C$11,2,FALSE),0)</f>
        <v>0</v>
      </c>
      <c r="L7" s="4">
        <f>Tabela57[[#This Row],[SubTotal]]*(1 - Tabela57[[#This Row],[Desconto]])+Tabela57[[#This Row],[Valor de Entrega]]</f>
        <v>0</v>
      </c>
      <c r="M7" s="4" t="str">
        <f>IF(Tabela57[[#This Row],[Id da Venda]]=B8,"",SUMIF(Tabela57[Id da Venda],Tabela57[[#This Row],[Id da Venda]],Tabela57[Total]))</f>
        <v/>
      </c>
    </row>
    <row r="8" spans="2:13" x14ac:dyDescent="0.25">
      <c r="C8" s="14"/>
      <c r="G8" s="4">
        <f>IFERROR(VLOOKUP(Tabela57[[#This Row],[Produto]],cálculos!$M$7:$P$31,3,FALSE),0)</f>
        <v>0</v>
      </c>
      <c r="H8" s="4">
        <f>Tabela57[[#This Row],[Preço Unitário]]*Tabela57[[#This Row],[Quantidade]]</f>
        <v>0</v>
      </c>
      <c r="I8" s="6"/>
      <c r="K8" s="4">
        <f>IFERROR(VLOOKUP(Tabela57[[#This Row],[Entrega]],cálculos!$B$7:$C$11,2,FALSE),0)</f>
        <v>0</v>
      </c>
      <c r="L8" s="4">
        <f>Tabela57[[#This Row],[SubTotal]]*(1 - Tabela57[[#This Row],[Desconto]])+Tabela57[[#This Row],[Valor de Entrega]]</f>
        <v>0</v>
      </c>
      <c r="M8" s="4" t="str">
        <f>IF(Tabela57[[#This Row],[Id da Venda]]=B9,"",SUMIF(Tabela57[Id da Venda],Tabela57[[#This Row],[Id da Venda]],Tabela57[Total]))</f>
        <v/>
      </c>
    </row>
    <row r="9" spans="2:13" x14ac:dyDescent="0.25">
      <c r="G9" s="4">
        <f>IFERROR(VLOOKUP(Tabela57[[#This Row],[Produto]],cálculos!$M$7:$P$31,3,FALSE),0)</f>
        <v>0</v>
      </c>
      <c r="H9" s="4">
        <f>Tabela57[[#This Row],[Preço Unitário]]*Tabela57[[#This Row],[Quantidade]]</f>
        <v>0</v>
      </c>
      <c r="I9" s="6"/>
      <c r="K9" s="4">
        <f>IFERROR(VLOOKUP(Tabela57[[#This Row],[Entrega]],cálculos!$B$7:$C$11,2,FALSE),0)</f>
        <v>0</v>
      </c>
      <c r="L9" s="4">
        <f>Tabela57[[#This Row],[SubTotal]]*(1 - Tabela57[[#This Row],[Desconto]])+Tabela57[[#This Row],[Valor de Entrega]]</f>
        <v>0</v>
      </c>
      <c r="M9" s="4" t="str">
        <f>IF(Tabela57[[#This Row],[Id da Venda]]=B10,"",SUMIF(Tabela57[Id da Venda],Tabela57[[#This Row],[Id da Venda]],Tabela57[Total]))</f>
        <v/>
      </c>
    </row>
    <row r="10" spans="2:13" x14ac:dyDescent="0.25">
      <c r="G10" s="4">
        <f>IFERROR(VLOOKUP(Tabela57[[#This Row],[Produto]],cálculos!$M$7:$P$31,3,FALSE),0)</f>
        <v>0</v>
      </c>
      <c r="H10" s="4">
        <f>Tabela57[[#This Row],[Preço Unitário]]*Tabela57[[#This Row],[Quantidade]]</f>
        <v>0</v>
      </c>
      <c r="I10" s="6"/>
      <c r="K10" s="4">
        <f>IFERROR(VLOOKUP(Tabela57[[#This Row],[Entrega]],cálculos!$B$7:$C$11,2,FALSE),0)</f>
        <v>0</v>
      </c>
      <c r="L10" s="4">
        <f>Tabela57[[#This Row],[SubTotal]]*(1 - Tabela57[[#This Row],[Desconto]])+Tabela57[[#This Row],[Valor de Entrega]]</f>
        <v>0</v>
      </c>
      <c r="M10" s="4" t="str">
        <f>IF(Tabela57[[#This Row],[Id da Venda]]=B11,"",SUMIF(Tabela57[Id da Venda],Tabela57[[#This Row],[Id da Venda]],Tabela57[Total]))</f>
        <v/>
      </c>
    </row>
    <row r="11" spans="2:13" x14ac:dyDescent="0.25">
      <c r="G11" s="4">
        <f>IFERROR(VLOOKUP(Tabela57[[#This Row],[Produto]],cálculos!$M$7:$P$31,3,FALSE),0)</f>
        <v>0</v>
      </c>
      <c r="H11" s="4">
        <f>Tabela57[[#This Row],[Preço Unitário]]*Tabela57[[#This Row],[Quantidade]]</f>
        <v>0</v>
      </c>
      <c r="I11" s="6"/>
      <c r="K11" s="4">
        <f>IFERROR(VLOOKUP(Tabela57[[#This Row],[Entrega]],cálculos!$B$7:$C$11,2,FALSE),0)</f>
        <v>0</v>
      </c>
      <c r="L11" s="4">
        <f>Tabela57[[#This Row],[SubTotal]]*(1 - Tabela57[[#This Row],[Desconto]])+Tabela57[[#This Row],[Valor de Entrega]]</f>
        <v>0</v>
      </c>
      <c r="M11" s="4" t="str">
        <f>IF(Tabela57[[#This Row],[Id da Venda]]=B12,"",SUMIF(Tabela57[Id da Venda],Tabela57[[#This Row],[Id da Venda]],Tabela57[Total]))</f>
        <v/>
      </c>
    </row>
    <row r="12" spans="2:13" x14ac:dyDescent="0.25">
      <c r="G12" s="4">
        <f>IFERROR(VLOOKUP(Tabela57[[#This Row],[Produto]],cálculos!$M$7:$P$31,3,FALSE),0)</f>
        <v>0</v>
      </c>
      <c r="H12" s="4">
        <f>Tabela57[[#This Row],[Preço Unitário]]*Tabela57[[#This Row],[Quantidade]]</f>
        <v>0</v>
      </c>
      <c r="I12" s="6"/>
      <c r="K12" s="4">
        <f>IFERROR(VLOOKUP(Tabela57[[#This Row],[Entrega]],cálculos!$B$7:$C$11,2,FALSE),0)</f>
        <v>0</v>
      </c>
      <c r="L12" s="4">
        <f>Tabela57[[#This Row],[SubTotal]]*(1 - Tabela57[[#This Row],[Desconto]])+Tabela57[[#This Row],[Valor de Entrega]]</f>
        <v>0</v>
      </c>
      <c r="M12" s="4" t="str">
        <f>IF(Tabela57[[#This Row],[Id da Venda]]=B13,"",SUMIF(Tabela57[Id da Venda],Tabela57[[#This Row],[Id da Venda]],Tabela57[Total]))</f>
        <v/>
      </c>
    </row>
    <row r="13" spans="2:13" x14ac:dyDescent="0.25">
      <c r="G13" s="4">
        <f>IFERROR(VLOOKUP(Tabela57[[#This Row],[Produto]],cálculos!$M$7:$P$31,3,FALSE),0)</f>
        <v>0</v>
      </c>
      <c r="H13" s="4">
        <f>Tabela57[[#This Row],[Preço Unitário]]*Tabela57[[#This Row],[Quantidade]]</f>
        <v>0</v>
      </c>
      <c r="I13" s="6"/>
      <c r="K13" s="4">
        <f>IFERROR(VLOOKUP(Tabela57[[#This Row],[Entrega]],cálculos!$B$7:$C$11,2,FALSE),0)</f>
        <v>0</v>
      </c>
      <c r="L13" s="4">
        <f>Tabela57[[#This Row],[SubTotal]]*(1 - Tabela57[[#This Row],[Desconto]])+Tabela57[[#This Row],[Valor de Entrega]]</f>
        <v>0</v>
      </c>
      <c r="M13" s="4" t="str">
        <f>IF(Tabela57[[#This Row],[Id da Venda]]=B14,"",SUMIF(Tabela57[Id da Venda],Tabela57[[#This Row],[Id da Venda]],Tabela57[Total]))</f>
        <v/>
      </c>
    </row>
    <row r="14" spans="2:13" x14ac:dyDescent="0.25">
      <c r="E14" s="18" t="str">
        <f>IFERROR(VLOOKUP(Tabela57[[#This Row],[Produto]],cálculos!$M$7:$P$31,4,FALSE),"")</f>
        <v/>
      </c>
      <c r="G14" s="4">
        <f>IFERROR(VLOOKUP(Tabela57[[#This Row],[Produto]],cálculos!$M$7:$P$31,3,FALSE),0)</f>
        <v>0</v>
      </c>
      <c r="H14" s="4">
        <f>Tabela57[[#This Row],[Preço Unitário]]*Tabela57[[#This Row],[Quantidade]]</f>
        <v>0</v>
      </c>
      <c r="I14" s="6"/>
      <c r="K14" s="4">
        <f>IFERROR(VLOOKUP(Tabela57[[#This Row],[Entrega]],cálculos!$B$7:$C$11,2,FALSE),0)</f>
        <v>0</v>
      </c>
      <c r="L14" s="4">
        <f>Tabela57[[#This Row],[SubTotal]]*(1 - Tabela57[[#This Row],[Desconto]])+Tabela57[[#This Row],[Valor de Entrega]]</f>
        <v>0</v>
      </c>
      <c r="M14" s="4" t="str">
        <f>IF(Tabela57[[#This Row],[Id da Venda]]=B15,"",SUMIF(Tabela57[Id da Venda],Tabela57[[#This Row],[Id da Venda]],Tabela57[Total]))</f>
        <v/>
      </c>
    </row>
    <row r="15" spans="2:13" x14ac:dyDescent="0.25">
      <c r="E15" s="18" t="str">
        <f>IFERROR(VLOOKUP(Tabela57[[#This Row],[Produto]],cálculos!$M$7:$P$31,4,FALSE),"")</f>
        <v/>
      </c>
      <c r="G15" s="4">
        <f>IFERROR(VLOOKUP(Tabela57[[#This Row],[Produto]],cálculos!$M$7:$P$31,3,FALSE),0)</f>
        <v>0</v>
      </c>
      <c r="H15" s="4">
        <f>Tabela57[[#This Row],[Preço Unitário]]*Tabela57[[#This Row],[Quantidade]]</f>
        <v>0</v>
      </c>
      <c r="I15" s="6"/>
      <c r="K15" s="4">
        <f>IFERROR(VLOOKUP(Tabela57[[#This Row],[Entrega]],cálculos!$B$7:$C$11,2,FALSE),0)</f>
        <v>0</v>
      </c>
      <c r="L15" s="4">
        <f>Tabela57[[#This Row],[SubTotal]]*(1 - Tabela57[[#This Row],[Desconto]])+Tabela57[[#This Row],[Valor de Entrega]]</f>
        <v>0</v>
      </c>
      <c r="M15" s="4" t="str">
        <f>IF(Tabela57[[#This Row],[Id da Venda]]=B16,"",SUMIF(Tabela57[Id da Venda],Tabela57[[#This Row],[Id da Venda]],Tabela57[Total]))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SUM(Tabela57[Total])</f>
        <v>103.82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SUM(Tabela57[Valor de Entrega])</f>
        <v>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C0AF14DC-739D-4BB4-BAAA-60C26B752615}">
          <x14:formula1>
            <xm:f>cálculos!$B$7:$B$11</xm:f>
          </x14:formula1>
          <xm:sqref>J5:J15</xm:sqref>
        </x14:dataValidation>
        <x14:dataValidation type="list" allowBlank="1" showInputMessage="1" showErrorMessage="1" xr:uid="{7088AC8B-37BB-47B9-8388-BEB3B9C9A2D9}">
          <x14:formula1>
            <xm:f>cálculos!$M$7:$M$30</xm:f>
          </x14:formula1>
          <xm:sqref>D5:D15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DA11-EF8A-4DC2-9022-6C68CB4E3E5F}">
  <dimension ref="B2:M18"/>
  <sheetViews>
    <sheetView workbookViewId="0">
      <selection activeCell="E6" sqref="E6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126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IFERROR(VLOOKUP(Tabela58[[#This Row],[Produto]],cálculos!$M$7:$P$31,4,FALSE),"")</f>
        <v/>
      </c>
      <c r="G5" s="4">
        <f>IFERROR(VLOOKUP(Tabela58[[#This Row],[Produto]],cálculos!$M$7:$P$31,3,FALSE),0)</f>
        <v>0</v>
      </c>
      <c r="H5" s="4">
        <f>Tabela58[[#This Row],[Preço Unitário]]*Tabela58[[#This Row],[Quantidade]]</f>
        <v>0</v>
      </c>
      <c r="I5" s="6"/>
      <c r="K5" s="4">
        <f>IFERROR(VLOOKUP(Tabela58[[#This Row],[Entrega]],cálculos!$B$7:$C$11,2,FALSE),0)</f>
        <v>0</v>
      </c>
      <c r="L5" s="4">
        <f>Tabela58[[#This Row],[SubTotal]]*(1 - Tabela58[[#This Row],[Desconto]])+Tabela58[[#This Row],[Valor de Entrega]]</f>
        <v>0</v>
      </c>
      <c r="M5" s="4" t="str">
        <f>IF(Tabela58[[#This Row],[Id da Venda]]=B6,"",SUMIF(Tabela58[Id da Venda],Tabela58[[#This Row],[Id da Venda]],Tabela58[Total]))</f>
        <v/>
      </c>
    </row>
    <row r="6" spans="2:13" x14ac:dyDescent="0.25">
      <c r="C6" s="14"/>
      <c r="G6" s="4">
        <f>IFERROR(VLOOKUP(Tabela58[[#This Row],[Produto]],cálculos!$M$7:$P$31,3,FALSE),0)</f>
        <v>0</v>
      </c>
      <c r="H6" s="4">
        <f>Tabela58[[#This Row],[Preço Unitário]]*Tabela58[[#This Row],[Quantidade]]</f>
        <v>0</v>
      </c>
      <c r="I6" s="6"/>
      <c r="K6" s="4">
        <f>IFERROR(VLOOKUP(Tabela58[[#This Row],[Entrega]],cálculos!$B$7:$C$11,2,FALSE),0)</f>
        <v>0</v>
      </c>
      <c r="L6" s="4">
        <f>Tabela58[[#This Row],[SubTotal]]*(1 - Tabela58[[#This Row],[Desconto]])+Tabela58[[#This Row],[Valor de Entrega]]</f>
        <v>0</v>
      </c>
      <c r="M6" s="4" t="str">
        <f>IF(Tabela58[[#This Row],[Id da Venda]]=B7,"",SUMIF(Tabela58[Id da Venda],Tabela58[[#This Row],[Id da Venda]],Tabela58[Total]))</f>
        <v/>
      </c>
    </row>
    <row r="7" spans="2:13" x14ac:dyDescent="0.25">
      <c r="C7" s="14"/>
      <c r="G7" s="4">
        <f>IFERROR(VLOOKUP(Tabela58[[#This Row],[Produto]],cálculos!$M$7:$P$31,3,FALSE),0)</f>
        <v>0</v>
      </c>
      <c r="H7" s="4">
        <f>Tabela58[[#This Row],[Preço Unitário]]*Tabela58[[#This Row],[Quantidade]]</f>
        <v>0</v>
      </c>
      <c r="I7" s="6"/>
      <c r="K7" s="4">
        <f>IFERROR(VLOOKUP(Tabela58[[#This Row],[Entrega]],cálculos!$B$7:$C$11,2,FALSE),0)</f>
        <v>0</v>
      </c>
      <c r="L7" s="4">
        <f>Tabela58[[#This Row],[SubTotal]]*(1 - Tabela58[[#This Row],[Desconto]])+Tabela58[[#This Row],[Valor de Entrega]]</f>
        <v>0</v>
      </c>
      <c r="M7" s="4" t="str">
        <f>IF(Tabela58[[#This Row],[Id da Venda]]=B8,"",SUMIF(Tabela58[Id da Venda],Tabela58[[#This Row],[Id da Venda]],Tabela58[Total]))</f>
        <v/>
      </c>
    </row>
    <row r="8" spans="2:13" x14ac:dyDescent="0.25">
      <c r="C8" s="14"/>
      <c r="G8" s="4">
        <f>IFERROR(VLOOKUP(Tabela58[[#This Row],[Produto]],cálculos!$M$7:$P$31,3,FALSE),0)</f>
        <v>0</v>
      </c>
      <c r="H8" s="4">
        <f>Tabela58[[#This Row],[Preço Unitário]]*Tabela58[[#This Row],[Quantidade]]</f>
        <v>0</v>
      </c>
      <c r="I8" s="6"/>
      <c r="K8" s="4">
        <f>IFERROR(VLOOKUP(Tabela58[[#This Row],[Entrega]],cálculos!$B$7:$C$11,2,FALSE),0)</f>
        <v>0</v>
      </c>
      <c r="L8" s="4">
        <f>Tabela58[[#This Row],[SubTotal]]*(1 - Tabela58[[#This Row],[Desconto]])+Tabela58[[#This Row],[Valor de Entrega]]</f>
        <v>0</v>
      </c>
      <c r="M8" s="4" t="str">
        <f>IF(Tabela58[[#This Row],[Id da Venda]]=B9,"",SUMIF(Tabela58[Id da Venda],Tabela58[[#This Row],[Id da Venda]],Tabela58[Total]))</f>
        <v/>
      </c>
    </row>
    <row r="9" spans="2:13" x14ac:dyDescent="0.25">
      <c r="G9" s="4">
        <f>IFERROR(VLOOKUP(Tabela58[[#This Row],[Produto]],cálculos!$M$7:$P$31,3,FALSE),0)</f>
        <v>0</v>
      </c>
      <c r="H9" s="4">
        <f>Tabela58[[#This Row],[Preço Unitário]]*Tabela58[[#This Row],[Quantidade]]</f>
        <v>0</v>
      </c>
      <c r="I9" s="6"/>
      <c r="K9" s="4">
        <f>IFERROR(VLOOKUP(Tabela58[[#This Row],[Entrega]],cálculos!$B$7:$C$11,2,FALSE),0)</f>
        <v>0</v>
      </c>
      <c r="L9" s="4">
        <f>Tabela58[[#This Row],[SubTotal]]*(1 - Tabela58[[#This Row],[Desconto]])+Tabela58[[#This Row],[Valor de Entrega]]</f>
        <v>0</v>
      </c>
      <c r="M9" s="4" t="str">
        <f>IF(Tabela58[[#This Row],[Id da Venda]]=B10,"",SUMIF(Tabela58[Id da Venda],Tabela58[[#This Row],[Id da Venda]],Tabela58[Total]))</f>
        <v/>
      </c>
    </row>
    <row r="10" spans="2:13" x14ac:dyDescent="0.25">
      <c r="E10" s="18" t="str">
        <f>IFERROR(VLOOKUP(Tabela58[[#This Row],[Produto]],cálculos!$M$7:$P$31,4,FALSE),"")</f>
        <v/>
      </c>
      <c r="G10" s="4">
        <f>IFERROR(VLOOKUP(Tabela58[[#This Row],[Produto]],cálculos!$M$7:$P$31,3,FALSE),0)</f>
        <v>0</v>
      </c>
      <c r="H10" s="4">
        <f>Tabela58[[#This Row],[Preço Unitário]]*Tabela58[[#This Row],[Quantidade]]</f>
        <v>0</v>
      </c>
      <c r="I10" s="6"/>
      <c r="K10" s="4">
        <f>IFERROR(VLOOKUP(Tabela58[[#This Row],[Entrega]],cálculos!$B$7:$C$11,2,FALSE),0)</f>
        <v>0</v>
      </c>
      <c r="L10" s="4">
        <f>Tabela58[[#This Row],[SubTotal]]*(1 - Tabela58[[#This Row],[Desconto]])+Tabela58[[#This Row],[Valor de Entrega]]</f>
        <v>0</v>
      </c>
      <c r="M10" s="4" t="str">
        <f>IF(Tabela58[[#This Row],[Id da Venda]]=B11,"",SUMIF(Tabela58[Id da Venda],Tabela58[[#This Row],[Id da Venda]],Tabela58[Total]))</f>
        <v/>
      </c>
    </row>
    <row r="11" spans="2:13" x14ac:dyDescent="0.25">
      <c r="E11" s="18" t="str">
        <f>IFERROR(VLOOKUP(Tabela58[[#This Row],[Produto]],cálculos!$M$7:$P$31,4,FALSE),"")</f>
        <v/>
      </c>
      <c r="G11" s="4">
        <f>IFERROR(VLOOKUP(Tabela58[[#This Row],[Produto]],cálculos!$M$7:$P$31,3,FALSE),0)</f>
        <v>0</v>
      </c>
      <c r="H11" s="4">
        <f>Tabela58[[#This Row],[Preço Unitário]]*Tabela58[[#This Row],[Quantidade]]</f>
        <v>0</v>
      </c>
      <c r="I11" s="6"/>
      <c r="K11" s="4">
        <f>IFERROR(VLOOKUP(Tabela58[[#This Row],[Entrega]],cálculos!$B$7:$C$11,2,FALSE),0)</f>
        <v>0</v>
      </c>
      <c r="L11" s="4">
        <f>Tabela58[[#This Row],[SubTotal]]*(1 - Tabela58[[#This Row],[Desconto]])+Tabela58[[#This Row],[Valor de Entrega]]</f>
        <v>0</v>
      </c>
      <c r="M11" s="4" t="str">
        <f>IF(Tabela58[[#This Row],[Id da Venda]]=B12,"",SUMIF(Tabela58[Id da Venda],Tabela58[[#This Row],[Id da Venda]],Tabela58[Total]))</f>
        <v/>
      </c>
    </row>
    <row r="12" spans="2:13" x14ac:dyDescent="0.25">
      <c r="E12" s="18" t="str">
        <f>IFERROR(VLOOKUP(Tabela58[[#This Row],[Produto]],cálculos!$M$7:$P$31,4,FALSE),"")</f>
        <v/>
      </c>
      <c r="G12" s="4">
        <f>IFERROR(VLOOKUP(Tabela58[[#This Row],[Produto]],cálculos!$M$7:$P$31,3,FALSE),0)</f>
        <v>0</v>
      </c>
      <c r="H12" s="4">
        <f>Tabela58[[#This Row],[Preço Unitário]]*Tabela58[[#This Row],[Quantidade]]</f>
        <v>0</v>
      </c>
      <c r="I12" s="6"/>
      <c r="K12" s="4">
        <f>IFERROR(VLOOKUP(Tabela58[[#This Row],[Entrega]],cálculos!$B$7:$C$11,2,FALSE),0)</f>
        <v>0</v>
      </c>
      <c r="L12" s="4">
        <f>Tabela58[[#This Row],[SubTotal]]*(1 - Tabela58[[#This Row],[Desconto]])+Tabela58[[#This Row],[Valor de Entrega]]</f>
        <v>0</v>
      </c>
      <c r="M12" s="4" t="str">
        <f>IF(Tabela58[[#This Row],[Id da Venda]]=B13,"",SUMIF(Tabela58[Id da Venda],Tabela58[[#This Row],[Id da Venda]],Tabela58[Total]))</f>
        <v/>
      </c>
    </row>
    <row r="13" spans="2:13" x14ac:dyDescent="0.25">
      <c r="E13" s="18" t="str">
        <f>IFERROR(VLOOKUP(Tabela58[[#This Row],[Produto]],cálculos!$M$7:$P$31,4,FALSE),"")</f>
        <v/>
      </c>
      <c r="G13" s="4">
        <f>IFERROR(VLOOKUP(Tabela58[[#This Row],[Produto]],cálculos!$M$7:$P$31,3,FALSE),0)</f>
        <v>0</v>
      </c>
      <c r="H13" s="4">
        <f>Tabela58[[#This Row],[Preço Unitário]]*Tabela58[[#This Row],[Quantidade]]</f>
        <v>0</v>
      </c>
      <c r="I13" s="6"/>
      <c r="K13" s="4">
        <f>IFERROR(VLOOKUP(Tabela58[[#This Row],[Entrega]],cálculos!$B$7:$C$11,2,FALSE),0)</f>
        <v>0</v>
      </c>
      <c r="L13" s="4">
        <f>Tabela58[[#This Row],[SubTotal]]*(1 - Tabela58[[#This Row],[Desconto]])+Tabela58[[#This Row],[Valor de Entrega]]</f>
        <v>0</v>
      </c>
      <c r="M13" s="4" t="str">
        <f>IF(Tabela58[[#This Row],[Id da Venda]]=B14,"",SUMIF(Tabela58[Id da Venda],Tabela58[[#This Row],[Id da Venda]],Tabela58[Total]))</f>
        <v/>
      </c>
    </row>
    <row r="14" spans="2:13" x14ac:dyDescent="0.25">
      <c r="E14" s="18" t="str">
        <f>IFERROR(VLOOKUP(Tabela58[[#This Row],[Produto]],cálculos!$M$7:$P$31,4,FALSE),"")</f>
        <v/>
      </c>
      <c r="G14" s="4">
        <f>IFERROR(VLOOKUP(Tabela58[[#This Row],[Produto]],cálculos!$M$7:$P$31,3,FALSE),0)</f>
        <v>0</v>
      </c>
      <c r="H14" s="4">
        <f>Tabela58[[#This Row],[Preço Unitário]]*Tabela58[[#This Row],[Quantidade]]</f>
        <v>0</v>
      </c>
      <c r="I14" s="6"/>
      <c r="K14" s="4">
        <f>IFERROR(VLOOKUP(Tabela58[[#This Row],[Entrega]],cálculos!$B$7:$C$11,2,FALSE),0)</f>
        <v>0</v>
      </c>
      <c r="L14" s="4">
        <f>Tabela58[[#This Row],[SubTotal]]*(1 - Tabela58[[#This Row],[Desconto]])+Tabela58[[#This Row],[Valor de Entrega]]</f>
        <v>0</v>
      </c>
      <c r="M14" s="4" t="str">
        <f>IF(Tabela58[[#This Row],[Id da Venda]]=B15,"",SUMIF(Tabela58[Id da Venda],Tabela58[[#This Row],[Id da Venda]],Tabela58[Total]))</f>
        <v/>
      </c>
    </row>
    <row r="15" spans="2:13" x14ac:dyDescent="0.25">
      <c r="E15" s="18" t="str">
        <f>IFERROR(VLOOKUP(Tabela58[[#This Row],[Produto]],cálculos!$M$7:$P$31,4,FALSE),"")</f>
        <v/>
      </c>
      <c r="G15" s="4">
        <f>IFERROR(VLOOKUP(Tabela58[[#This Row],[Produto]],cálculos!$M$7:$P$31,3,FALSE),0)</f>
        <v>0</v>
      </c>
      <c r="H15" s="4">
        <f>Tabela58[[#This Row],[Preço Unitário]]*Tabela58[[#This Row],[Quantidade]]</f>
        <v>0</v>
      </c>
      <c r="I15" s="6"/>
      <c r="K15" s="4">
        <f>IFERROR(VLOOKUP(Tabela58[[#This Row],[Entrega]],cálculos!$B$7:$C$11,2,FALSE),0)</f>
        <v>0</v>
      </c>
      <c r="L15" s="4">
        <f>Tabela58[[#This Row],[SubTotal]]*(1 - Tabela58[[#This Row],[Desconto]])+Tabela58[[#This Row],[Valor de Entrega]]</f>
        <v>0</v>
      </c>
      <c r="M15" s="4" t="str">
        <f>IF(Tabela58[[#This Row],[Id da Venda]]=B16,"",SUMIF(Tabela58[Id da Venda],Tabela58[[#This Row],[Id da Venda]],Tabela58[Total]))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SUM(Tabela58[Total])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SUM(Tabela58[Valor de Entrega])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F65DB46-CCF6-464D-8AA5-B66241FECDA1}">
          <x14:formula1>
            <xm:f>cálculos!$B$7:$B$11</xm:f>
          </x14:formula1>
          <xm:sqref>J5:J15</xm:sqref>
        </x14:dataValidation>
        <x14:dataValidation type="list" allowBlank="1" showInputMessage="1" showErrorMessage="1" xr:uid="{E66D29AB-821E-45E6-8089-172C18F09644}">
          <x14:formula1>
            <xm:f>cálculos!$M$7:$M$30</xm:f>
          </x14:formula1>
          <xm:sqref>D5:D15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89CF8-2CAA-4F58-8B64-AB3B1354D793}">
  <dimension ref="B2:M18"/>
  <sheetViews>
    <sheetView workbookViewId="0">
      <selection activeCell="I27" sqref="I27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127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IFERROR(VLOOKUP(Tabela59[[#This Row],[Produto]],cálculos!$M$7:$P$31,4,FALSE),"")</f>
        <v/>
      </c>
      <c r="G5" s="4">
        <f>IFERROR(VLOOKUP(Tabela59[[#This Row],[Produto]],cálculos!$M$7:$P$31,3,FALSE),0)</f>
        <v>0</v>
      </c>
      <c r="H5" s="4">
        <f>Tabela59[[#This Row],[Preço Unitário]]*Tabela59[[#This Row],[Quantidade]]</f>
        <v>0</v>
      </c>
      <c r="I5" s="6"/>
      <c r="K5" s="4">
        <f>IFERROR(VLOOKUP(Tabela59[[#This Row],[Entrega]],cálculos!$B$7:$C$11,2,FALSE),0)</f>
        <v>0</v>
      </c>
      <c r="L5" s="4">
        <f>Tabela59[[#This Row],[SubTotal]]*(1 - Tabela59[[#This Row],[Desconto]])+Tabela59[[#This Row],[Valor de Entrega]]</f>
        <v>0</v>
      </c>
      <c r="M5" s="4" t="str">
        <f>IF(Tabela59[[#This Row],[Id da Venda]]=B6,"",SUMIF(Tabela59[Id da Venda],Tabela59[[#This Row],[Id da Venda]],Tabela59[Total]))</f>
        <v/>
      </c>
    </row>
    <row r="6" spans="2:13" x14ac:dyDescent="0.25">
      <c r="C6" s="14"/>
      <c r="G6" s="4">
        <f>IFERROR(VLOOKUP(Tabela59[[#This Row],[Produto]],cálculos!$M$7:$P$31,3,FALSE),0)</f>
        <v>0</v>
      </c>
      <c r="H6" s="4">
        <f>Tabela59[[#This Row],[Preço Unitário]]*Tabela59[[#This Row],[Quantidade]]</f>
        <v>0</v>
      </c>
      <c r="I6" s="6"/>
      <c r="K6" s="4">
        <f>IFERROR(VLOOKUP(Tabela59[[#This Row],[Entrega]],cálculos!$B$7:$C$11,2,FALSE),0)</f>
        <v>0</v>
      </c>
      <c r="L6" s="4">
        <f>Tabela59[[#This Row],[SubTotal]]*(1 - Tabela59[[#This Row],[Desconto]])+Tabela59[[#This Row],[Valor de Entrega]]</f>
        <v>0</v>
      </c>
      <c r="M6" s="4" t="str">
        <f>IF(Tabela59[[#This Row],[Id da Venda]]=B7,"",SUMIF(Tabela59[Id da Venda],Tabela59[[#This Row],[Id da Venda]],Tabela59[Total]))</f>
        <v/>
      </c>
    </row>
    <row r="7" spans="2:13" x14ac:dyDescent="0.25">
      <c r="C7" s="14"/>
      <c r="G7" s="4">
        <f>IFERROR(VLOOKUP(Tabela59[[#This Row],[Produto]],cálculos!$M$7:$P$31,3,FALSE),0)</f>
        <v>0</v>
      </c>
      <c r="H7" s="4">
        <f>Tabela59[[#This Row],[Preço Unitário]]*Tabela59[[#This Row],[Quantidade]]</f>
        <v>0</v>
      </c>
      <c r="I7" s="6"/>
      <c r="K7" s="4">
        <f>IFERROR(VLOOKUP(Tabela59[[#This Row],[Entrega]],cálculos!$B$7:$C$11,2,FALSE),0)</f>
        <v>0</v>
      </c>
      <c r="L7" s="4">
        <f>Tabela59[[#This Row],[SubTotal]]*(1 - Tabela59[[#This Row],[Desconto]])+Tabela59[[#This Row],[Valor de Entrega]]</f>
        <v>0</v>
      </c>
      <c r="M7" s="4" t="str">
        <f>IF(Tabela59[[#This Row],[Id da Venda]]=B8,"",SUMIF(Tabela59[Id da Venda],Tabela59[[#This Row],[Id da Venda]],Tabela59[Total]))</f>
        <v/>
      </c>
    </row>
    <row r="8" spans="2:13" x14ac:dyDescent="0.25">
      <c r="C8" s="14"/>
      <c r="G8" s="4">
        <f>IFERROR(VLOOKUP(Tabela59[[#This Row],[Produto]],cálculos!$M$7:$P$31,3,FALSE),0)</f>
        <v>0</v>
      </c>
      <c r="H8" s="4">
        <f>Tabela59[[#This Row],[Preço Unitário]]*Tabela59[[#This Row],[Quantidade]]</f>
        <v>0</v>
      </c>
      <c r="I8" s="6"/>
      <c r="K8" s="4">
        <f>IFERROR(VLOOKUP(Tabela59[[#This Row],[Entrega]],cálculos!$B$7:$C$11,2,FALSE),0)</f>
        <v>0</v>
      </c>
      <c r="L8" s="4">
        <f>Tabela59[[#This Row],[SubTotal]]*(1 - Tabela59[[#This Row],[Desconto]])+Tabela59[[#This Row],[Valor de Entrega]]</f>
        <v>0</v>
      </c>
      <c r="M8" s="4" t="str">
        <f>IF(Tabela59[[#This Row],[Id da Venda]]=B9,"",SUMIF(Tabela59[Id da Venda],Tabela59[[#This Row],[Id da Venda]],Tabela59[Total]))</f>
        <v/>
      </c>
    </row>
    <row r="9" spans="2:13" x14ac:dyDescent="0.25">
      <c r="G9" s="4">
        <f>IFERROR(VLOOKUP(Tabela59[[#This Row],[Produto]],cálculos!$M$7:$P$31,3,FALSE),0)</f>
        <v>0</v>
      </c>
      <c r="H9" s="4">
        <f>Tabela59[[#This Row],[Preço Unitário]]*Tabela59[[#This Row],[Quantidade]]</f>
        <v>0</v>
      </c>
      <c r="I9" s="6"/>
      <c r="K9" s="4">
        <f>IFERROR(VLOOKUP(Tabela59[[#This Row],[Entrega]],cálculos!$B$7:$C$11,2,FALSE),0)</f>
        <v>0</v>
      </c>
      <c r="L9" s="4">
        <f>Tabela59[[#This Row],[SubTotal]]*(1 - Tabela59[[#This Row],[Desconto]])+Tabela59[[#This Row],[Valor de Entrega]]</f>
        <v>0</v>
      </c>
      <c r="M9" s="4" t="str">
        <f>IF(Tabela59[[#This Row],[Id da Venda]]=B10,"",SUMIF(Tabela59[Id da Venda],Tabela59[[#This Row],[Id da Venda]],Tabela59[Total]))</f>
        <v/>
      </c>
    </row>
    <row r="10" spans="2:13" x14ac:dyDescent="0.25">
      <c r="E10" s="18" t="str">
        <f>IFERROR(VLOOKUP(Tabela59[[#This Row],[Produto]],cálculos!$M$7:$P$31,4,FALSE),"")</f>
        <v/>
      </c>
      <c r="G10" s="4">
        <f>IFERROR(VLOOKUP(Tabela59[[#This Row],[Produto]],cálculos!$M$7:$P$31,3,FALSE),0)</f>
        <v>0</v>
      </c>
      <c r="H10" s="4">
        <f>Tabela59[[#This Row],[Preço Unitário]]*Tabela59[[#This Row],[Quantidade]]</f>
        <v>0</v>
      </c>
      <c r="I10" s="6"/>
      <c r="K10" s="4">
        <f>IFERROR(VLOOKUP(Tabela59[[#This Row],[Entrega]],cálculos!$B$7:$C$11,2,FALSE),0)</f>
        <v>0</v>
      </c>
      <c r="L10" s="4">
        <f>Tabela59[[#This Row],[SubTotal]]*(1 - Tabela59[[#This Row],[Desconto]])+Tabela59[[#This Row],[Valor de Entrega]]</f>
        <v>0</v>
      </c>
      <c r="M10" s="4" t="str">
        <f>IF(Tabela59[[#This Row],[Id da Venda]]=B11,"",SUMIF(Tabela59[Id da Venda],Tabela59[[#This Row],[Id da Venda]],Tabela59[Total]))</f>
        <v/>
      </c>
    </row>
    <row r="11" spans="2:13" x14ac:dyDescent="0.25">
      <c r="E11" s="18" t="str">
        <f>IFERROR(VLOOKUP(Tabela59[[#This Row],[Produto]],cálculos!$M$7:$P$31,4,FALSE),"")</f>
        <v/>
      </c>
      <c r="G11" s="4">
        <f>IFERROR(VLOOKUP(Tabela59[[#This Row],[Produto]],cálculos!$M$7:$P$31,3,FALSE),0)</f>
        <v>0</v>
      </c>
      <c r="H11" s="4">
        <f>Tabela59[[#This Row],[Preço Unitário]]*Tabela59[[#This Row],[Quantidade]]</f>
        <v>0</v>
      </c>
      <c r="I11" s="6"/>
      <c r="K11" s="4">
        <f>IFERROR(VLOOKUP(Tabela59[[#This Row],[Entrega]],cálculos!$B$7:$C$11,2,FALSE),0)</f>
        <v>0</v>
      </c>
      <c r="L11" s="4">
        <f>Tabela59[[#This Row],[SubTotal]]*(1 - Tabela59[[#This Row],[Desconto]])+Tabela59[[#This Row],[Valor de Entrega]]</f>
        <v>0</v>
      </c>
      <c r="M11" s="4" t="str">
        <f>IF(Tabela59[[#This Row],[Id da Venda]]=B12,"",SUMIF(Tabela59[Id da Venda],Tabela59[[#This Row],[Id da Venda]],Tabela59[Total]))</f>
        <v/>
      </c>
    </row>
    <row r="12" spans="2:13" x14ac:dyDescent="0.25">
      <c r="E12" s="18" t="str">
        <f>IFERROR(VLOOKUP(Tabela59[[#This Row],[Produto]],cálculos!$M$7:$P$31,4,FALSE),"")</f>
        <v/>
      </c>
      <c r="G12" s="4">
        <f>IFERROR(VLOOKUP(Tabela59[[#This Row],[Produto]],cálculos!$M$7:$P$31,3,FALSE),0)</f>
        <v>0</v>
      </c>
      <c r="H12" s="4">
        <f>Tabela59[[#This Row],[Preço Unitário]]*Tabela59[[#This Row],[Quantidade]]</f>
        <v>0</v>
      </c>
      <c r="I12" s="6"/>
      <c r="K12" s="4">
        <f>IFERROR(VLOOKUP(Tabela59[[#This Row],[Entrega]],cálculos!$B$7:$C$11,2,FALSE),0)</f>
        <v>0</v>
      </c>
      <c r="L12" s="4">
        <f>Tabela59[[#This Row],[SubTotal]]*(1 - Tabela59[[#This Row],[Desconto]])+Tabela59[[#This Row],[Valor de Entrega]]</f>
        <v>0</v>
      </c>
      <c r="M12" s="4" t="str">
        <f>IF(Tabela59[[#This Row],[Id da Venda]]=B13,"",SUMIF(Tabela59[Id da Venda],Tabela59[[#This Row],[Id da Venda]],Tabela59[Total]))</f>
        <v/>
      </c>
    </row>
    <row r="13" spans="2:13" x14ac:dyDescent="0.25">
      <c r="E13" s="18" t="str">
        <f>IFERROR(VLOOKUP(Tabela59[[#This Row],[Produto]],cálculos!$M$7:$P$31,4,FALSE),"")</f>
        <v/>
      </c>
      <c r="G13" s="4">
        <f>IFERROR(VLOOKUP(Tabela59[[#This Row],[Produto]],cálculos!$M$7:$P$31,3,FALSE),0)</f>
        <v>0</v>
      </c>
      <c r="H13" s="4">
        <f>Tabela59[[#This Row],[Preço Unitário]]*Tabela59[[#This Row],[Quantidade]]</f>
        <v>0</v>
      </c>
      <c r="I13" s="6"/>
      <c r="K13" s="4">
        <f>IFERROR(VLOOKUP(Tabela59[[#This Row],[Entrega]],cálculos!$B$7:$C$11,2,FALSE),0)</f>
        <v>0</v>
      </c>
      <c r="L13" s="4">
        <f>Tabela59[[#This Row],[SubTotal]]*(1 - Tabela59[[#This Row],[Desconto]])+Tabela59[[#This Row],[Valor de Entrega]]</f>
        <v>0</v>
      </c>
      <c r="M13" s="4" t="str">
        <f>IF(Tabela59[[#This Row],[Id da Venda]]=B14,"",SUMIF(Tabela59[Id da Venda],Tabela59[[#This Row],[Id da Venda]],Tabela59[Total]))</f>
        <v/>
      </c>
    </row>
    <row r="14" spans="2:13" x14ac:dyDescent="0.25">
      <c r="E14" s="18" t="str">
        <f>IFERROR(VLOOKUP(Tabela59[[#This Row],[Produto]],cálculos!$M$7:$P$31,4,FALSE),"")</f>
        <v/>
      </c>
      <c r="G14" s="4">
        <f>IFERROR(VLOOKUP(Tabela59[[#This Row],[Produto]],cálculos!$M$7:$P$31,3,FALSE),0)</f>
        <v>0</v>
      </c>
      <c r="H14" s="4">
        <f>Tabela59[[#This Row],[Preço Unitário]]*Tabela59[[#This Row],[Quantidade]]</f>
        <v>0</v>
      </c>
      <c r="I14" s="6"/>
      <c r="K14" s="4">
        <f>IFERROR(VLOOKUP(Tabela59[[#This Row],[Entrega]],cálculos!$B$7:$C$11,2,FALSE),0)</f>
        <v>0</v>
      </c>
      <c r="L14" s="4">
        <f>Tabela59[[#This Row],[SubTotal]]*(1 - Tabela59[[#This Row],[Desconto]])+Tabela59[[#This Row],[Valor de Entrega]]</f>
        <v>0</v>
      </c>
      <c r="M14" s="4" t="str">
        <f>IF(Tabela59[[#This Row],[Id da Venda]]=B15,"",SUMIF(Tabela59[Id da Venda],Tabela59[[#This Row],[Id da Venda]],Tabela59[Total]))</f>
        <v/>
      </c>
    </row>
    <row r="15" spans="2:13" x14ac:dyDescent="0.25">
      <c r="E15" s="18" t="str">
        <f>IFERROR(VLOOKUP(Tabela59[[#This Row],[Produto]],cálculos!$M$7:$P$31,4,FALSE),"")</f>
        <v/>
      </c>
      <c r="G15" s="4">
        <f>IFERROR(VLOOKUP(Tabela59[[#This Row],[Produto]],cálculos!$M$7:$P$31,3,FALSE),0)</f>
        <v>0</v>
      </c>
      <c r="H15" s="4">
        <f>Tabela59[[#This Row],[Preço Unitário]]*Tabela59[[#This Row],[Quantidade]]</f>
        <v>0</v>
      </c>
      <c r="I15" s="6"/>
      <c r="K15" s="4">
        <f>IFERROR(VLOOKUP(Tabela59[[#This Row],[Entrega]],cálculos!$B$7:$C$11,2,FALSE),0)</f>
        <v>0</v>
      </c>
      <c r="L15" s="4">
        <f>Tabela59[[#This Row],[SubTotal]]*(1 - Tabela59[[#This Row],[Desconto]])+Tabela59[[#This Row],[Valor de Entrega]]</f>
        <v>0</v>
      </c>
      <c r="M15" s="4" t="str">
        <f>IF(Tabela59[[#This Row],[Id da Venda]]=B16,"",SUMIF(Tabela59[Id da Venda],Tabela59[[#This Row],[Id da Venda]],Tabela59[Total]))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SUM(Tabela59[Valor de Entrega])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8C8EC180-7317-47DB-8D61-F2DF2B976458}">
          <x14:formula1>
            <xm:f>cálculos!$B$7:$B$11</xm:f>
          </x14:formula1>
          <xm:sqref>J5:J15</xm:sqref>
        </x14:dataValidation>
        <x14:dataValidation type="list" allowBlank="1" showInputMessage="1" showErrorMessage="1" xr:uid="{918BAD8E-8DB3-4EAA-97F3-899503AC9FEF}">
          <x14:formula1>
            <xm:f>cálculos!$M$7:$M$30</xm:f>
          </x14:formula1>
          <xm:sqref>D5:D15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877A8-E5B9-4F21-9019-7D4DD012F5E6}">
  <dimension ref="B2:M18"/>
  <sheetViews>
    <sheetView workbookViewId="0">
      <selection activeCell="E6" sqref="E6"/>
    </sheetView>
  </sheetViews>
  <sheetFormatPr defaultRowHeight="15" x14ac:dyDescent="0.25"/>
  <cols>
    <col min="1" max="1" width="9.140625" style="18"/>
    <col min="2" max="2" width="15.28515625" style="18" bestFit="1" customWidth="1"/>
    <col min="3" max="3" width="10.7109375" style="18" bestFit="1" customWidth="1"/>
    <col min="4" max="4" width="10.28515625" style="18" customWidth="1"/>
    <col min="5" max="5" width="9.85546875" style="18" customWidth="1"/>
    <col min="6" max="6" width="13.5703125" style="18" customWidth="1"/>
    <col min="7" max="7" width="15.7109375" style="18" customWidth="1"/>
    <col min="8" max="8" width="10.85546875" style="18" customWidth="1"/>
    <col min="9" max="9" width="11.42578125" style="18" customWidth="1"/>
    <col min="10" max="10" width="11" style="18" bestFit="1" customWidth="1"/>
    <col min="11" max="11" width="17.7109375" style="18" customWidth="1"/>
    <col min="12" max="12" width="10.5703125" style="18" bestFit="1" customWidth="1"/>
    <col min="13" max="13" width="20.28515625" style="18" customWidth="1"/>
    <col min="14" max="16384" width="9.140625" style="18"/>
  </cols>
  <sheetData>
    <row r="2" spans="2:13" s="1" customFormat="1" ht="27.75" customHeight="1" x14ac:dyDescent="0.25">
      <c r="B2" s="3" t="s">
        <v>128</v>
      </c>
    </row>
    <row r="4" spans="2:13" x14ac:dyDescent="0.25">
      <c r="B4" s="18" t="s">
        <v>110</v>
      </c>
      <c r="C4" s="18" t="s">
        <v>50</v>
      </c>
      <c r="D4" s="18" t="s">
        <v>102</v>
      </c>
      <c r="E4" s="18" t="s">
        <v>64</v>
      </c>
      <c r="F4" s="18" t="s">
        <v>65</v>
      </c>
      <c r="G4" s="18" t="s">
        <v>66</v>
      </c>
      <c r="H4" s="18" t="s">
        <v>111</v>
      </c>
      <c r="I4" s="18" t="s">
        <v>67</v>
      </c>
      <c r="J4" s="18" t="s">
        <v>112</v>
      </c>
      <c r="K4" s="18" t="s">
        <v>113</v>
      </c>
      <c r="L4" s="18" t="s">
        <v>114</v>
      </c>
      <c r="M4" s="18" t="s">
        <v>115</v>
      </c>
    </row>
    <row r="5" spans="2:13" x14ac:dyDescent="0.25">
      <c r="C5" s="14"/>
      <c r="E5" s="18" t="str">
        <f>IFERROR(VLOOKUP(Tabela5910[[#This Row],[Produto]],cálculos!$M$7:$P$31,4,FALSE),"")</f>
        <v/>
      </c>
      <c r="G5" s="4">
        <f>IFERROR(VLOOKUP(Tabela5910[[#This Row],[Produto]],cálculos!$M$7:$P$31,3,FALSE),0)</f>
        <v>0</v>
      </c>
      <c r="H5" s="4">
        <f>Tabela5910[[#This Row],[Preço Unitário]]*Tabela5910[[#This Row],[Quantidade]]</f>
        <v>0</v>
      </c>
      <c r="I5" s="6"/>
      <c r="K5" s="4">
        <f>IFERROR(VLOOKUP(Tabela5910[[#This Row],[Entrega]],cálculos!$B$7:$C$11,2,FALSE),0)</f>
        <v>0</v>
      </c>
      <c r="L5" s="4">
        <f>Tabela5910[[#This Row],[SubTotal]]*(1 - Tabela5910[[#This Row],[Desconto]])+Tabela5910[[#This Row],[Valor de Entrega]]</f>
        <v>0</v>
      </c>
      <c r="M5" s="4" t="str">
        <f>IF(Tabela5910[[#This Row],[Id da Venda]]=B6,"",SUMIF(Tabela5910[Id da Venda],Tabela5910[[#This Row],[Id da Venda]],Tabela5910[Total]))</f>
        <v/>
      </c>
    </row>
    <row r="6" spans="2:13" x14ac:dyDescent="0.25">
      <c r="C6" s="14"/>
      <c r="G6" s="4">
        <f>IFERROR(VLOOKUP(Tabela5910[[#This Row],[Produto]],cálculos!$M$7:$P$31,3,FALSE),0)</f>
        <v>0</v>
      </c>
      <c r="H6" s="4">
        <f>Tabela5910[[#This Row],[Preço Unitário]]*Tabela5910[[#This Row],[Quantidade]]</f>
        <v>0</v>
      </c>
      <c r="I6" s="6"/>
      <c r="K6" s="4">
        <f>IFERROR(VLOOKUP(Tabela5910[[#This Row],[Entrega]],cálculos!$B$7:$C$11,2,FALSE),0)</f>
        <v>0</v>
      </c>
      <c r="L6" s="4">
        <f>Tabela5910[[#This Row],[SubTotal]]*(1 - Tabela5910[[#This Row],[Desconto]])+Tabela5910[[#This Row],[Valor de Entrega]]</f>
        <v>0</v>
      </c>
      <c r="M6" s="4" t="str">
        <f>IF(Tabela5910[[#This Row],[Id da Venda]]=B7,"",SUMIF(Tabela5910[Id da Venda],Tabela5910[[#This Row],[Id da Venda]],Tabela5910[Total]))</f>
        <v/>
      </c>
    </row>
    <row r="7" spans="2:13" x14ac:dyDescent="0.25">
      <c r="C7" s="14"/>
      <c r="G7" s="4">
        <f>IFERROR(VLOOKUP(Tabela5910[[#This Row],[Produto]],cálculos!$M$7:$P$31,3,FALSE),0)</f>
        <v>0</v>
      </c>
      <c r="H7" s="4">
        <f>Tabela5910[[#This Row],[Preço Unitário]]*Tabela5910[[#This Row],[Quantidade]]</f>
        <v>0</v>
      </c>
      <c r="I7" s="6"/>
      <c r="K7" s="4">
        <f>IFERROR(VLOOKUP(Tabela5910[[#This Row],[Entrega]],cálculos!$B$7:$C$11,2,FALSE),0)</f>
        <v>0</v>
      </c>
      <c r="L7" s="4">
        <f>Tabela5910[[#This Row],[SubTotal]]*(1 - Tabela5910[[#This Row],[Desconto]])+Tabela5910[[#This Row],[Valor de Entrega]]</f>
        <v>0</v>
      </c>
      <c r="M7" s="4" t="str">
        <f>IF(Tabela5910[[#This Row],[Id da Venda]]=B8,"",SUMIF(Tabela5910[Id da Venda],Tabela5910[[#This Row],[Id da Venda]],Tabela5910[Total]))</f>
        <v/>
      </c>
    </row>
    <row r="8" spans="2:13" x14ac:dyDescent="0.25">
      <c r="C8" s="14"/>
      <c r="G8" s="4">
        <f>IFERROR(VLOOKUP(Tabela5910[[#This Row],[Produto]],cálculos!$M$7:$P$31,3,FALSE),0)</f>
        <v>0</v>
      </c>
      <c r="H8" s="4">
        <f>Tabela5910[[#This Row],[Preço Unitário]]*Tabela5910[[#This Row],[Quantidade]]</f>
        <v>0</v>
      </c>
      <c r="I8" s="6"/>
      <c r="K8" s="4">
        <f>IFERROR(VLOOKUP(Tabela5910[[#This Row],[Entrega]],cálculos!$B$7:$C$11,2,FALSE),0)</f>
        <v>0</v>
      </c>
      <c r="L8" s="4">
        <f>Tabela5910[[#This Row],[SubTotal]]*(1 - Tabela5910[[#This Row],[Desconto]])+Tabela5910[[#This Row],[Valor de Entrega]]</f>
        <v>0</v>
      </c>
      <c r="M8" s="4" t="str">
        <f>IF(Tabela5910[[#This Row],[Id da Venda]]=B9,"",SUMIF(Tabela5910[Id da Venda],Tabela5910[[#This Row],[Id da Venda]],Tabela5910[Total]))</f>
        <v/>
      </c>
    </row>
    <row r="9" spans="2:13" x14ac:dyDescent="0.25">
      <c r="G9" s="4">
        <f>IFERROR(VLOOKUP(Tabela5910[[#This Row],[Produto]],cálculos!$M$7:$P$31,3,FALSE),0)</f>
        <v>0</v>
      </c>
      <c r="H9" s="4">
        <f>Tabela5910[[#This Row],[Preço Unitário]]*Tabela5910[[#This Row],[Quantidade]]</f>
        <v>0</v>
      </c>
      <c r="I9" s="6"/>
      <c r="K9" s="4">
        <f>IFERROR(VLOOKUP(Tabela5910[[#This Row],[Entrega]],cálculos!$B$7:$C$11,2,FALSE),0)</f>
        <v>0</v>
      </c>
      <c r="L9" s="4">
        <f>Tabela5910[[#This Row],[SubTotal]]*(1 - Tabela5910[[#This Row],[Desconto]])+Tabela5910[[#This Row],[Valor de Entrega]]</f>
        <v>0</v>
      </c>
      <c r="M9" s="4" t="str">
        <f>IF(Tabela5910[[#This Row],[Id da Venda]]=B10,"",SUMIF(Tabela5910[Id da Venda],Tabela5910[[#This Row],[Id da Venda]],Tabela5910[Total]))</f>
        <v/>
      </c>
    </row>
    <row r="10" spans="2:13" x14ac:dyDescent="0.25">
      <c r="E10" s="18" t="str">
        <f>IFERROR(VLOOKUP(Tabela5910[[#This Row],[Produto]],cálculos!$M$7:$P$31,4,FALSE),"")</f>
        <v/>
      </c>
      <c r="G10" s="4">
        <f>IFERROR(VLOOKUP(Tabela5910[[#This Row],[Produto]],cálculos!$M$7:$P$31,3,FALSE),0)</f>
        <v>0</v>
      </c>
      <c r="H10" s="4">
        <f>Tabela5910[[#This Row],[Preço Unitário]]*Tabela5910[[#This Row],[Quantidade]]</f>
        <v>0</v>
      </c>
      <c r="I10" s="6"/>
      <c r="K10" s="4">
        <f>IFERROR(VLOOKUP(Tabela5910[[#This Row],[Entrega]],cálculos!$B$7:$C$11,2,FALSE),0)</f>
        <v>0</v>
      </c>
      <c r="L10" s="4">
        <f>Tabela5910[[#This Row],[SubTotal]]*(1 - Tabela5910[[#This Row],[Desconto]])+Tabela5910[[#This Row],[Valor de Entrega]]</f>
        <v>0</v>
      </c>
      <c r="M10" s="4" t="str">
        <f>IF(Tabela5910[[#This Row],[Id da Venda]]=B11,"",SUMIF(Tabela5910[Id da Venda],Tabela5910[[#This Row],[Id da Venda]],Tabela5910[Total]))</f>
        <v/>
      </c>
    </row>
    <row r="11" spans="2:13" x14ac:dyDescent="0.25">
      <c r="E11" s="18" t="str">
        <f>IFERROR(VLOOKUP(Tabela5910[[#This Row],[Produto]],cálculos!$M$7:$P$31,4,FALSE),"")</f>
        <v/>
      </c>
      <c r="G11" s="4">
        <f>IFERROR(VLOOKUP(Tabela5910[[#This Row],[Produto]],cálculos!$M$7:$P$31,3,FALSE),0)</f>
        <v>0</v>
      </c>
      <c r="H11" s="4">
        <f>Tabela5910[[#This Row],[Preço Unitário]]*Tabela5910[[#This Row],[Quantidade]]</f>
        <v>0</v>
      </c>
      <c r="I11" s="6"/>
      <c r="K11" s="4">
        <f>IFERROR(VLOOKUP(Tabela5910[[#This Row],[Entrega]],cálculos!$B$7:$C$11,2,FALSE),0)</f>
        <v>0</v>
      </c>
      <c r="L11" s="4">
        <f>Tabela5910[[#This Row],[SubTotal]]*(1 - Tabela5910[[#This Row],[Desconto]])+Tabela5910[[#This Row],[Valor de Entrega]]</f>
        <v>0</v>
      </c>
      <c r="M11" s="4" t="str">
        <f>IF(Tabela5910[[#This Row],[Id da Venda]]=B12,"",SUMIF(Tabela5910[Id da Venda],Tabela5910[[#This Row],[Id da Venda]],Tabela5910[Total]))</f>
        <v/>
      </c>
    </row>
    <row r="12" spans="2:13" x14ac:dyDescent="0.25">
      <c r="E12" s="18" t="str">
        <f>IFERROR(VLOOKUP(Tabela5910[[#This Row],[Produto]],cálculos!$M$7:$P$31,4,FALSE),"")</f>
        <v/>
      </c>
      <c r="G12" s="4">
        <f>IFERROR(VLOOKUP(Tabela5910[[#This Row],[Produto]],cálculos!$M$7:$P$31,3,FALSE),0)</f>
        <v>0</v>
      </c>
      <c r="H12" s="4">
        <f>Tabela5910[[#This Row],[Preço Unitário]]*Tabela5910[[#This Row],[Quantidade]]</f>
        <v>0</v>
      </c>
      <c r="I12" s="6"/>
      <c r="K12" s="4">
        <f>IFERROR(VLOOKUP(Tabela5910[[#This Row],[Entrega]],cálculos!$B$7:$C$11,2,FALSE),0)</f>
        <v>0</v>
      </c>
      <c r="L12" s="4">
        <f>Tabela5910[[#This Row],[SubTotal]]*(1 - Tabela5910[[#This Row],[Desconto]])+Tabela5910[[#This Row],[Valor de Entrega]]</f>
        <v>0</v>
      </c>
      <c r="M12" s="4" t="str">
        <f>IF(Tabela5910[[#This Row],[Id da Venda]]=B13,"",SUMIF(Tabela5910[Id da Venda],Tabela5910[[#This Row],[Id da Venda]],Tabela5910[Total]))</f>
        <v/>
      </c>
    </row>
    <row r="13" spans="2:13" x14ac:dyDescent="0.25">
      <c r="E13" s="18" t="str">
        <f>IFERROR(VLOOKUP(Tabela5910[[#This Row],[Produto]],cálculos!$M$7:$P$31,4,FALSE),"")</f>
        <v/>
      </c>
      <c r="G13" s="4">
        <f>IFERROR(VLOOKUP(Tabela5910[[#This Row],[Produto]],cálculos!$M$7:$P$31,3,FALSE),0)</f>
        <v>0</v>
      </c>
      <c r="H13" s="4">
        <f>Tabela5910[[#This Row],[Preço Unitário]]*Tabela5910[[#This Row],[Quantidade]]</f>
        <v>0</v>
      </c>
      <c r="I13" s="6"/>
      <c r="K13" s="4">
        <f>IFERROR(VLOOKUP(Tabela5910[[#This Row],[Entrega]],cálculos!$B$7:$C$11,2,FALSE),0)</f>
        <v>0</v>
      </c>
      <c r="L13" s="4">
        <f>Tabela5910[[#This Row],[SubTotal]]*(1 - Tabela5910[[#This Row],[Desconto]])+Tabela5910[[#This Row],[Valor de Entrega]]</f>
        <v>0</v>
      </c>
      <c r="M13" s="4" t="str">
        <f>IF(Tabela5910[[#This Row],[Id da Venda]]=B14,"",SUMIF(Tabela5910[Id da Venda],Tabela5910[[#This Row],[Id da Venda]],Tabela5910[Total]))</f>
        <v/>
      </c>
    </row>
    <row r="14" spans="2:13" x14ac:dyDescent="0.25">
      <c r="E14" s="18" t="str">
        <f>IFERROR(VLOOKUP(Tabela5910[[#This Row],[Produto]],cálculos!$M$7:$P$31,4,FALSE),"")</f>
        <v/>
      </c>
      <c r="G14" s="4">
        <f>IFERROR(VLOOKUP(Tabela5910[[#This Row],[Produto]],cálculos!$M$7:$P$31,3,FALSE),0)</f>
        <v>0</v>
      </c>
      <c r="H14" s="4">
        <f>Tabela5910[[#This Row],[Preço Unitário]]*Tabela5910[[#This Row],[Quantidade]]</f>
        <v>0</v>
      </c>
      <c r="I14" s="6"/>
      <c r="K14" s="4">
        <f>IFERROR(VLOOKUP(Tabela5910[[#This Row],[Entrega]],cálculos!$B$7:$C$11,2,FALSE),0)</f>
        <v>0</v>
      </c>
      <c r="L14" s="4">
        <f>Tabela5910[[#This Row],[SubTotal]]*(1 - Tabela5910[[#This Row],[Desconto]])+Tabela5910[[#This Row],[Valor de Entrega]]</f>
        <v>0</v>
      </c>
      <c r="M14" s="4" t="str">
        <f>IF(Tabela5910[[#This Row],[Id da Venda]]=B15,"",SUMIF(Tabela5910[Id da Venda],Tabela5910[[#This Row],[Id da Venda]],Tabela5910[Total]))</f>
        <v/>
      </c>
    </row>
    <row r="15" spans="2:13" x14ac:dyDescent="0.25">
      <c r="E15" s="18" t="str">
        <f>IFERROR(VLOOKUP(Tabela5910[[#This Row],[Produto]],cálculos!$M$7:$P$31,4,FALSE),"")</f>
        <v/>
      </c>
      <c r="G15" s="4">
        <f>IFERROR(VLOOKUP(Tabela5910[[#This Row],[Produto]],cálculos!$M$7:$P$31,3,FALSE),0)</f>
        <v>0</v>
      </c>
      <c r="H15" s="4">
        <f>Tabela5910[[#This Row],[Preço Unitário]]*Tabela5910[[#This Row],[Quantidade]]</f>
        <v>0</v>
      </c>
      <c r="I15" s="6"/>
      <c r="K15" s="4">
        <f>IFERROR(VLOOKUP(Tabela5910[[#This Row],[Entrega]],cálculos!$B$7:$C$11,2,FALSE),0)</f>
        <v>0</v>
      </c>
      <c r="L15" s="4">
        <f>Tabela5910[[#This Row],[SubTotal]]*(1 - Tabela5910[[#This Row],[Desconto]])+Tabela5910[[#This Row],[Valor de Entrega]]</f>
        <v>0</v>
      </c>
      <c r="M15" s="4" t="str">
        <f>IF(Tabela5910[[#This Row],[Id da Venda]]=B16,"",SUMIF(Tabela5910[Id da Venda],Tabela5910[[#This Row],[Id da Venda]],Tabela5910[Total]))</f>
        <v/>
      </c>
    </row>
    <row r="17" spans="2:13" ht="21" x14ac:dyDescent="0.35">
      <c r="B17" s="20" t="s">
        <v>123</v>
      </c>
      <c r="C17" s="20"/>
      <c r="D17" s="20"/>
      <c r="E17" s="21"/>
      <c r="F17" s="21"/>
      <c r="G17" s="21"/>
      <c r="H17" s="21"/>
      <c r="I17" s="21"/>
      <c r="J17" s="21"/>
      <c r="K17" s="21"/>
      <c r="L17" s="21"/>
      <c r="M17" s="21">
        <f>SUM(Tabela5910[Total])</f>
        <v>0</v>
      </c>
    </row>
    <row r="18" spans="2:13" ht="21" x14ac:dyDescent="0.35">
      <c r="B18" s="22" t="s">
        <v>124</v>
      </c>
      <c r="C18" s="22"/>
      <c r="D18" s="22"/>
      <c r="E18" s="23"/>
      <c r="F18" s="23"/>
      <c r="G18" s="23"/>
      <c r="H18" s="23"/>
      <c r="I18" s="23"/>
      <c r="J18" s="23"/>
      <c r="K18" s="23"/>
      <c r="L18" s="23"/>
      <c r="M18" s="23">
        <f>SUM(Tabela5910[Valor de Entrega])</f>
        <v>0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F54A215-9CB0-4945-B61F-E2059273F351}">
          <x14:formula1>
            <xm:f>cálculos!$M$7:$M$30</xm:f>
          </x14:formula1>
          <xm:sqref>D5:D15</xm:sqref>
        </x14:dataValidation>
        <x14:dataValidation type="list" allowBlank="1" showInputMessage="1" showErrorMessage="1" xr:uid="{EBFA4D80-A428-4238-A20F-EBAD08933BFD}">
          <x14:formula1>
            <xm:f>cálculos!$B$7:$B$11</xm:f>
          </x14:formula1>
          <xm:sqref>J5:J15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6:P30"/>
  <sheetViews>
    <sheetView workbookViewId="0">
      <selection activeCell="C9" sqref="C9"/>
    </sheetView>
  </sheetViews>
  <sheetFormatPr defaultRowHeight="15" x14ac:dyDescent="0.25"/>
  <cols>
    <col min="2" max="2" width="18.140625" bestFit="1" customWidth="1"/>
    <col min="3" max="3" width="7.7109375" bestFit="1" customWidth="1"/>
    <col min="13" max="13" width="15.7109375" bestFit="1" customWidth="1"/>
    <col min="14" max="14" width="24" bestFit="1" customWidth="1"/>
    <col min="15" max="15" width="22.85546875" bestFit="1" customWidth="1"/>
    <col min="16" max="16" width="8.42578125" bestFit="1" customWidth="1"/>
  </cols>
  <sheetData>
    <row r="6" spans="2:16" x14ac:dyDescent="0.25">
      <c r="B6" t="s">
        <v>116</v>
      </c>
      <c r="C6" t="s">
        <v>117</v>
      </c>
      <c r="J6">
        <f>INDEX(M7:P30,5,2)</f>
        <v>1.0900000000000001</v>
      </c>
      <c r="M6" s="8" t="s">
        <v>69</v>
      </c>
      <c r="N6" s="8" t="s">
        <v>70</v>
      </c>
      <c r="O6" s="8" t="s">
        <v>71</v>
      </c>
      <c r="P6" s="8" t="s">
        <v>64</v>
      </c>
    </row>
    <row r="7" spans="2:16" x14ac:dyDescent="0.25">
      <c r="B7" t="s">
        <v>118</v>
      </c>
      <c r="C7" s="7">
        <v>5</v>
      </c>
      <c r="M7" t="s">
        <v>29</v>
      </c>
      <c r="N7" s="7">
        <v>2.84</v>
      </c>
      <c r="O7" s="7">
        <v>2.99</v>
      </c>
      <c r="P7" t="s">
        <v>72</v>
      </c>
    </row>
    <row r="8" spans="2:16" x14ac:dyDescent="0.25">
      <c r="B8" t="s">
        <v>119</v>
      </c>
      <c r="C8" s="19">
        <v>0</v>
      </c>
      <c r="J8">
        <f>MATCH(M17,M7:M30,0)</f>
        <v>11</v>
      </c>
      <c r="M8" t="s">
        <v>38</v>
      </c>
      <c r="N8" s="7">
        <v>1.06</v>
      </c>
      <c r="O8" s="7">
        <v>1.1499999999999999</v>
      </c>
      <c r="P8" t="s">
        <v>73</v>
      </c>
    </row>
    <row r="9" spans="2:16" x14ac:dyDescent="0.25">
      <c r="B9" t="s">
        <v>120</v>
      </c>
      <c r="C9" s="7">
        <v>6.5</v>
      </c>
      <c r="M9" t="s">
        <v>26</v>
      </c>
      <c r="N9" s="7">
        <v>2.34</v>
      </c>
      <c r="O9" s="7">
        <v>2.4900000000000002</v>
      </c>
      <c r="P9" t="s">
        <v>74</v>
      </c>
    </row>
    <row r="10" spans="2:16" x14ac:dyDescent="0.25">
      <c r="B10" t="s">
        <v>121</v>
      </c>
      <c r="C10" s="7">
        <v>8</v>
      </c>
      <c r="J10">
        <f>MATCH(22.23,N7:N30,0)</f>
        <v>17</v>
      </c>
      <c r="M10" t="s">
        <v>43</v>
      </c>
      <c r="N10" s="7">
        <v>1.85</v>
      </c>
      <c r="O10" s="7">
        <v>1.99</v>
      </c>
      <c r="P10" t="s">
        <v>73</v>
      </c>
    </row>
    <row r="11" spans="2:16" x14ac:dyDescent="0.25">
      <c r="B11" t="s">
        <v>122</v>
      </c>
      <c r="C11" s="7">
        <v>6.5</v>
      </c>
      <c r="M11" t="s">
        <v>46</v>
      </c>
      <c r="N11" s="7">
        <v>1.0900000000000001</v>
      </c>
      <c r="O11" s="7">
        <v>1.1499999999999999</v>
      </c>
      <c r="P11" t="s">
        <v>73</v>
      </c>
    </row>
    <row r="12" spans="2:16" x14ac:dyDescent="0.25">
      <c r="J12" t="str" cm="1">
        <f t="array" ref="J12">INDEX(M7:P30,J10,1)</f>
        <v>Peixe</v>
      </c>
      <c r="M12" t="s">
        <v>42</v>
      </c>
      <c r="N12" s="7">
        <v>0.74</v>
      </c>
      <c r="O12" s="7">
        <v>0.79</v>
      </c>
      <c r="P12" t="s">
        <v>73</v>
      </c>
    </row>
    <row r="13" spans="2:16" x14ac:dyDescent="0.25">
      <c r="M13" t="s">
        <v>30</v>
      </c>
      <c r="N13" s="7">
        <v>14.47</v>
      </c>
      <c r="O13" s="7">
        <v>15.9</v>
      </c>
      <c r="P13" t="s">
        <v>74</v>
      </c>
    </row>
    <row r="14" spans="2:16" x14ac:dyDescent="0.25">
      <c r="M14" t="s">
        <v>36</v>
      </c>
      <c r="N14" s="7">
        <v>3.63</v>
      </c>
      <c r="O14" s="7">
        <v>3.99</v>
      </c>
      <c r="P14" t="s">
        <v>74</v>
      </c>
    </row>
    <row r="15" spans="2:16" x14ac:dyDescent="0.25">
      <c r="M15" t="s">
        <v>39</v>
      </c>
      <c r="N15" s="7">
        <v>2.1</v>
      </c>
      <c r="O15" s="7">
        <v>2.19</v>
      </c>
      <c r="P15" t="s">
        <v>77</v>
      </c>
    </row>
    <row r="16" spans="2:16" x14ac:dyDescent="0.25">
      <c r="M16" t="s">
        <v>44</v>
      </c>
      <c r="N16" s="7">
        <v>4.54</v>
      </c>
      <c r="O16" s="7">
        <v>4.99</v>
      </c>
      <c r="P16" t="s">
        <v>78</v>
      </c>
    </row>
    <row r="17" spans="13:16" x14ac:dyDescent="0.25">
      <c r="M17" t="s">
        <v>45</v>
      </c>
      <c r="N17" s="7">
        <v>6.35</v>
      </c>
      <c r="O17" s="7">
        <v>6.75</v>
      </c>
      <c r="P17" t="s">
        <v>79</v>
      </c>
    </row>
    <row r="18" spans="13:16" x14ac:dyDescent="0.25">
      <c r="M18" t="s">
        <v>41</v>
      </c>
      <c r="N18" s="7">
        <v>2.37</v>
      </c>
      <c r="O18" s="7">
        <v>2.6</v>
      </c>
      <c r="P18" t="s">
        <v>72</v>
      </c>
    </row>
    <row r="19" spans="13:16" x14ac:dyDescent="0.25">
      <c r="M19" t="s">
        <v>27</v>
      </c>
      <c r="N19" s="7">
        <v>4.07</v>
      </c>
      <c r="O19" s="7">
        <v>4.28</v>
      </c>
      <c r="P19" t="s">
        <v>74</v>
      </c>
    </row>
    <row r="20" spans="13:16" x14ac:dyDescent="0.25">
      <c r="M20" t="s">
        <v>31</v>
      </c>
      <c r="N20" s="7">
        <v>6.42</v>
      </c>
      <c r="O20" s="7">
        <v>6.98</v>
      </c>
      <c r="P20" t="s">
        <v>74</v>
      </c>
    </row>
    <row r="21" spans="13:16" x14ac:dyDescent="0.25">
      <c r="M21" t="s">
        <v>75</v>
      </c>
      <c r="N21" s="7">
        <v>1.37</v>
      </c>
      <c r="O21" s="7">
        <v>1.49</v>
      </c>
      <c r="P21" t="s">
        <v>76</v>
      </c>
    </row>
    <row r="22" spans="13:16" x14ac:dyDescent="0.25">
      <c r="M22" t="s">
        <v>80</v>
      </c>
      <c r="N22" s="7">
        <v>2.63</v>
      </c>
      <c r="O22" s="7">
        <v>2.89</v>
      </c>
      <c r="P22" t="s">
        <v>72</v>
      </c>
    </row>
    <row r="23" spans="13:16" x14ac:dyDescent="0.25">
      <c r="M23" t="s">
        <v>32</v>
      </c>
      <c r="N23" s="7">
        <v>22.23</v>
      </c>
      <c r="O23" s="7">
        <v>23.9</v>
      </c>
      <c r="P23" t="s">
        <v>74</v>
      </c>
    </row>
    <row r="24" spans="13:16" x14ac:dyDescent="0.25">
      <c r="M24" t="s">
        <v>33</v>
      </c>
      <c r="N24" s="7">
        <v>23.83</v>
      </c>
      <c r="O24" s="7">
        <v>25.9</v>
      </c>
      <c r="P24" t="s">
        <v>74</v>
      </c>
    </row>
    <row r="25" spans="13:16" x14ac:dyDescent="0.25">
      <c r="M25" t="s">
        <v>81</v>
      </c>
      <c r="N25" s="7">
        <v>2.17</v>
      </c>
      <c r="O25" s="7">
        <v>2.39</v>
      </c>
      <c r="P25" t="s">
        <v>76</v>
      </c>
    </row>
    <row r="26" spans="13:16" x14ac:dyDescent="0.25">
      <c r="M26" t="s">
        <v>35</v>
      </c>
      <c r="N26" s="7">
        <v>3.21</v>
      </c>
      <c r="O26" s="7">
        <v>3.45</v>
      </c>
      <c r="P26" t="s">
        <v>76</v>
      </c>
    </row>
    <row r="27" spans="13:16" x14ac:dyDescent="0.25">
      <c r="M27" t="s">
        <v>28</v>
      </c>
      <c r="N27" s="7">
        <v>5.35</v>
      </c>
      <c r="O27" s="7">
        <v>5.82</v>
      </c>
      <c r="P27" t="s">
        <v>74</v>
      </c>
    </row>
    <row r="28" spans="13:16" x14ac:dyDescent="0.25">
      <c r="M28" t="s">
        <v>37</v>
      </c>
      <c r="N28" s="7">
        <v>9.1</v>
      </c>
      <c r="O28" s="7">
        <v>9.58</v>
      </c>
      <c r="P28" t="s">
        <v>74</v>
      </c>
    </row>
    <row r="29" spans="13:16" x14ac:dyDescent="0.25">
      <c r="M29" t="s">
        <v>34</v>
      </c>
      <c r="N29" s="7">
        <v>26.01</v>
      </c>
      <c r="O29" s="7">
        <v>29.9</v>
      </c>
      <c r="P29" t="s">
        <v>82</v>
      </c>
    </row>
    <row r="30" spans="13:16" x14ac:dyDescent="0.25">
      <c r="M30" t="s">
        <v>40</v>
      </c>
      <c r="N30" s="7">
        <v>46.67</v>
      </c>
      <c r="O30" s="7">
        <v>54.9</v>
      </c>
      <c r="P30" t="s">
        <v>82</v>
      </c>
    </row>
  </sheetData>
  <autoFilter ref="M6:P6" xr:uid="{00000000-0001-0000-0700-000000000000}">
    <sortState xmlns:xlrd2="http://schemas.microsoft.com/office/spreadsheetml/2017/richdata2" ref="M7:P30">
      <sortCondition ref="M6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Menu</vt:lpstr>
      <vt:lpstr>Despesas</vt:lpstr>
      <vt:lpstr>Controle Mercadorias</vt:lpstr>
      <vt:lpstr>Investimentos</vt:lpstr>
      <vt:lpstr>Controle de Estoque</vt:lpstr>
      <vt:lpstr>Resultados</vt:lpstr>
      <vt:lpstr>Vendas</vt:lpstr>
      <vt:lpstr>Semana 1</vt:lpstr>
      <vt:lpstr>Semana 2</vt:lpstr>
      <vt:lpstr>Semana 3</vt:lpstr>
      <vt:lpstr>Semana 4</vt:lpstr>
      <vt:lpstr>Semana 5</vt:lpstr>
      <vt:lpstr>cálculos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Lucas Barbosa</cp:lastModifiedBy>
  <dcterms:created xsi:type="dcterms:W3CDTF">2015-06-24T19:21:22Z</dcterms:created>
  <dcterms:modified xsi:type="dcterms:W3CDTF">2025-06-09T21:38:37Z</dcterms:modified>
</cp:coreProperties>
</file>