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zero\Desktop\Curso-Excel\Projeto\"/>
    </mc:Choice>
  </mc:AlternateContent>
  <xr:revisionPtr revIDLastSave="0" documentId="13_ncr:1_{B12D3956-8DEC-4095-A6D6-E94DFDF40DBB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Menu" sheetId="1" r:id="rId1"/>
    <sheet name="Despesas" sheetId="2" r:id="rId2"/>
    <sheet name="Controle Mercadorias" sheetId="6" r:id="rId3"/>
    <sheet name="Investimentos" sheetId="7" r:id="rId4"/>
    <sheet name="Controle de Estoque" sheetId="8" r:id="rId5"/>
    <sheet name="Resultados" sheetId="4" r:id="rId6"/>
    <sheet name="Vendas" sheetId="3" r:id="rId7"/>
    <sheet name="cálculos" sheetId="5" r:id="rId8"/>
  </sheets>
  <definedNames>
    <definedName name="_xlnm._FilterDatabase" localSheetId="7" hidden="1">cálculos!$M$6:$P$6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8" l="1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J12" i="5" a="1"/>
  <c r="J12" i="5" s="1"/>
  <c r="J10" i="5"/>
  <c r="J8" i="5"/>
  <c r="J6" i="5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11" i="7"/>
  <c r="G5" i="6"/>
  <c r="G6" i="6"/>
  <c r="I6" i="6" s="1"/>
  <c r="G7" i="6"/>
  <c r="I7" i="6" s="1"/>
  <c r="G8" i="6"/>
  <c r="G9" i="6"/>
  <c r="G10" i="6"/>
  <c r="G11" i="6"/>
  <c r="I11" i="6" s="1"/>
  <c r="G12" i="6"/>
  <c r="I12" i="6" s="1"/>
  <c r="G13" i="6"/>
  <c r="I13" i="6" s="1"/>
  <c r="G14" i="6"/>
  <c r="I14" i="6" s="1"/>
  <c r="G15" i="6"/>
  <c r="I15" i="6" s="1"/>
  <c r="G16" i="6"/>
  <c r="I16" i="6" s="1"/>
  <c r="G17" i="6"/>
  <c r="G18" i="6"/>
  <c r="G19" i="6"/>
  <c r="I19" i="6" s="1"/>
  <c r="G20" i="6"/>
  <c r="G21" i="6"/>
  <c r="G22" i="6"/>
  <c r="I22" i="6" s="1"/>
  <c r="G23" i="6"/>
  <c r="G24" i="6"/>
  <c r="G25" i="6"/>
  <c r="G26" i="6"/>
  <c r="I9" i="6"/>
  <c r="I10" i="6"/>
  <c r="I21" i="6"/>
  <c r="I23" i="6"/>
  <c r="I24" i="6"/>
  <c r="I25" i="6"/>
  <c r="I26" i="6"/>
  <c r="I5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I8" i="6"/>
  <c r="I17" i="6"/>
  <c r="I18" i="6"/>
  <c r="I20" i="6"/>
  <c r="I28" i="6" l="1"/>
  <c r="G32" i="2" s="1"/>
  <c r="G21" i="2"/>
  <c r="G14" i="2"/>
  <c r="G6" i="2"/>
  <c r="G31" i="2" s="1"/>
  <c r="G34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zero</author>
  </authors>
  <commentList>
    <comment ref="C5" authorId="0" shapeId="0" xr:uid="{9B668FED-24AB-4179-82AE-7257BFF83955}">
      <text>
        <r>
          <rPr>
            <b/>
            <sz val="9"/>
            <color indexed="81"/>
            <rFont val="Segoe UI"/>
            <charset val="1"/>
          </rPr>
          <t>zero:</t>
        </r>
        <r>
          <rPr>
            <sz val="9"/>
            <color indexed="81"/>
            <rFont val="Segoe UI"/>
            <charset val="1"/>
          </rPr>
          <t xml:space="preserve">
Exibindo por meio do =índice que busca em determinada matriz, em determinada linha fornecida pelo retorno de corresp(onde pega o valor procurado e finda em uma matriz procurada -&gt; retornando o número da linha no find)
finalizando o match da fórmula fornecendo qual coluna findar -&gt; matriz, núm linha, núm colunm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<sst xmlns="http://schemas.openxmlformats.org/spreadsheetml/2006/main" count="198" uniqueCount="110">
  <si>
    <t>Resultados</t>
  </si>
  <si>
    <t>Manutenção de Equipamentos</t>
  </si>
  <si>
    <t>Impostos</t>
  </si>
  <si>
    <t>Limpeza</t>
  </si>
  <si>
    <t>Aluguel Loja</t>
  </si>
  <si>
    <t>Seguros</t>
  </si>
  <si>
    <t>Outros</t>
  </si>
  <si>
    <t>Vendas</t>
  </si>
  <si>
    <t>Serviços de Entrega</t>
  </si>
  <si>
    <t>Receita Líquida</t>
  </si>
  <si>
    <t>Lucro Operacional Bruto</t>
  </si>
  <si>
    <t>Faturamento Bruto</t>
  </si>
  <si>
    <t>Lucro Líquido</t>
  </si>
  <si>
    <t>Despesas Fixas</t>
  </si>
  <si>
    <t>Compras Mercadorias</t>
  </si>
  <si>
    <t>Investimentos</t>
  </si>
  <si>
    <t>Controle de Estoque</t>
  </si>
  <si>
    <t>Salários</t>
  </si>
  <si>
    <t>Bonificações</t>
  </si>
  <si>
    <t>Vales (Refeição, Transporte)</t>
  </si>
  <si>
    <t>Informática</t>
  </si>
  <si>
    <t>Despesas Funcionamento (água, luz, gás, telefone, etc.)</t>
  </si>
  <si>
    <t>Serviços Terceirizados</t>
  </si>
  <si>
    <t>Escritório Contábil</t>
  </si>
  <si>
    <t>Escritório Advocacia</t>
  </si>
  <si>
    <t>Entregas</t>
  </si>
  <si>
    <t>Marketing</t>
  </si>
  <si>
    <t>Arroz</t>
  </si>
  <si>
    <t>Feijão</t>
  </si>
  <si>
    <t>Tomate</t>
  </si>
  <si>
    <t>Alface</t>
  </si>
  <si>
    <t>Carne</t>
  </si>
  <si>
    <t>Frango</t>
  </si>
  <si>
    <t>Peixe</t>
  </si>
  <si>
    <t>Queijo</t>
  </si>
  <si>
    <t>Vinho</t>
  </si>
  <si>
    <t>Suco</t>
  </si>
  <si>
    <t>Cenoura</t>
  </si>
  <si>
    <t>Vagem</t>
  </si>
  <si>
    <t>Amendoim</t>
  </si>
  <si>
    <t>Cerveja</t>
  </si>
  <si>
    <t>Vodka</t>
  </si>
  <si>
    <t>Couve</t>
  </si>
  <si>
    <t>Caixa de Fósforo</t>
  </si>
  <si>
    <t>Bala</t>
  </si>
  <si>
    <t>Chocolate</t>
  </si>
  <si>
    <t>Cigarro</t>
  </si>
  <si>
    <t>Barra de Cereal</t>
  </si>
  <si>
    <t>Despesas</t>
  </si>
  <si>
    <t>Despesas de Funcionamento</t>
  </si>
  <si>
    <t>Itens Despesas</t>
  </si>
  <si>
    <t>Data</t>
  </si>
  <si>
    <t>Observação</t>
  </si>
  <si>
    <t>Valor Intermediário</t>
  </si>
  <si>
    <t>Valor Final</t>
  </si>
  <si>
    <t>Funcionários</t>
  </si>
  <si>
    <t>Água</t>
  </si>
  <si>
    <t>Energia</t>
  </si>
  <si>
    <t>Gás</t>
  </si>
  <si>
    <t>Telefone</t>
  </si>
  <si>
    <t>Férias, Licença Maternidade</t>
  </si>
  <si>
    <t>Total de Despesas de Funcionamento</t>
  </si>
  <si>
    <t>Compras de Mercadoria</t>
  </si>
  <si>
    <t>Fornecedor</t>
  </si>
  <si>
    <t>Mercadoria</t>
  </si>
  <si>
    <t>Medida</t>
  </si>
  <si>
    <t>Quantidade</t>
  </si>
  <si>
    <t>Preço Unitário</t>
  </si>
  <si>
    <t>Desconto</t>
  </si>
  <si>
    <t>Valor Pago</t>
  </si>
  <si>
    <t>Produtos</t>
  </si>
  <si>
    <t>Preço de Compra Unitário</t>
  </si>
  <si>
    <t>Preço de Venda Unitário</t>
  </si>
  <si>
    <t>Unidade</t>
  </si>
  <si>
    <t>Pacote</t>
  </si>
  <si>
    <t>Kg</t>
  </si>
  <si>
    <t>Leite</t>
  </si>
  <si>
    <t>Litro</t>
  </si>
  <si>
    <t>Lata</t>
  </si>
  <si>
    <t>Barra</t>
  </si>
  <si>
    <t>Maço</t>
  </si>
  <si>
    <t>Pão de Forma</t>
  </si>
  <si>
    <t>Refrigerante</t>
  </si>
  <si>
    <t>Garrafa</t>
  </si>
  <si>
    <t>Fornecedor de Verduras</t>
  </si>
  <si>
    <t>Fornecedor de Grãos e Sementes</t>
  </si>
  <si>
    <t>Fornecedor de Bebidas</t>
  </si>
  <si>
    <t>Fornecedor de Cigarro</t>
  </si>
  <si>
    <t>Fornecedor de Doces</t>
  </si>
  <si>
    <t>Padaria</t>
  </si>
  <si>
    <t>Fornecedor de Frango</t>
  </si>
  <si>
    <t>Fornecedor de Peixe</t>
  </si>
  <si>
    <t>Fornecedor de Legumes</t>
  </si>
  <si>
    <t>Fornecedor de Carne</t>
  </si>
  <si>
    <t>Total de Compras de Mercadoria</t>
  </si>
  <si>
    <t>Total de Despesas</t>
  </si>
  <si>
    <t>Investimento</t>
  </si>
  <si>
    <t>Descrição</t>
  </si>
  <si>
    <t>Valor</t>
  </si>
  <si>
    <t>Estrutura</t>
  </si>
  <si>
    <t>Outras</t>
  </si>
  <si>
    <t>Equipamentos (Carrinhos, Balanças, Cortador de Queijo, etc)</t>
  </si>
  <si>
    <t>Documentação, Sistema de Informação, Estrutura Inicial, Sistema de Refrigeração, Equipamentos</t>
  </si>
  <si>
    <t>Produto</t>
  </si>
  <si>
    <t>Data da Última Compra</t>
  </si>
  <si>
    <t>Quantidade Inicial</t>
  </si>
  <si>
    <t>Quantidade Comprada</t>
  </si>
  <si>
    <t>Quantidade Vendida</t>
  </si>
  <si>
    <t>Quantidade Atual</t>
  </si>
  <si>
    <t>Situação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</si>
</sst>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R$&quot;\ #,##0.00;[Red]\-&quot;R$&quot;\ #,##0.00"/>
    <numFmt numFmtId="44" formatCode="_-&quot;R$&quot;\ * #,##0.00_-;\-&quot;R$&quot;\ * #,##0.00_-;_-&quot;R$&quot;\ 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-0.499984740745262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9">
    <xf numFmtId="0" fontId="0" fillId="0" borderId="0" xfId="0"/>
    <xf numFmtId="0" fontId="0" fillId="2" borderId="0" xfId="0" applyFill="1"/>
    <xf numFmtId="0" fontId="0" fillId="0" borderId="0" xfId="0" applyAlignment="1"/>
    <xf numFmtId="0" fontId="4" fillId="2" borderId="0" xfId="0" applyFont="1" applyFill="1" applyAlignment="1">
      <alignment vertical="center"/>
    </xf>
    <xf numFmtId="44" fontId="0" fillId="0" borderId="0" xfId="1" applyFont="1"/>
    <xf numFmtId="44" fontId="2" fillId="0" borderId="0" xfId="1" applyFont="1"/>
    <xf numFmtId="9" fontId="0" fillId="0" borderId="0" xfId="2" applyFont="1"/>
    <xf numFmtId="8" fontId="0" fillId="0" borderId="0" xfId="0" applyNumberFormat="1"/>
    <xf numFmtId="0" fontId="2" fillId="0" borderId="0" xfId="0" applyFont="1"/>
    <xf numFmtId="14" fontId="0" fillId="0" borderId="0" xfId="0" applyNumberFormat="1" applyAlignment="1">
      <alignment horizontal="center"/>
    </xf>
    <xf numFmtId="0" fontId="3" fillId="0" borderId="1" xfId="0" applyFont="1" applyBorder="1"/>
    <xf numFmtId="44" fontId="3" fillId="0" borderId="1" xfId="0" applyNumberFormat="1" applyFont="1" applyBorder="1"/>
    <xf numFmtId="0" fontId="3" fillId="0" borderId="2" xfId="0" applyFont="1" applyBorder="1"/>
    <xf numFmtId="44" fontId="3" fillId="0" borderId="2" xfId="0" applyNumberFormat="1" applyFont="1" applyBorder="1"/>
    <xf numFmtId="14" fontId="0" fillId="0" borderId="0" xfId="0" applyNumberFormat="1"/>
    <xf numFmtId="0" fontId="0" fillId="0" borderId="0" xfId="0" applyAlignment="1">
      <alignment wrapText="1"/>
    </xf>
    <xf numFmtId="0" fontId="0" fillId="3" borderId="0" xfId="0" applyFill="1"/>
    <xf numFmtId="0" fontId="5" fillId="3" borderId="0" xfId="0" applyFont="1" applyFill="1" applyAlignment="1">
      <alignment vertical="center"/>
    </xf>
    <xf numFmtId="0" fontId="0" fillId="0" borderId="0" xfId="0"/>
  </cellXfs>
  <cellStyles count="4">
    <cellStyle name="Moeda" xfId="1" builtinId="4"/>
    <cellStyle name="Moeda 2" xfId="3" xr:uid="{43C612B4-AE4A-476B-8C1F-D416BCD9B058}"/>
    <cellStyle name="Normal" xfId="0" builtinId="0"/>
    <cellStyle name="Porcentagem" xfId="2" builtinId="5"/>
  </cellStyles>
  <dxfs count="13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7"/>
        </patternFill>
      </fill>
    </dxf>
    <dxf>
      <fill>
        <patternFill>
          <bgColor rgb="FFFF5050"/>
        </patternFill>
      </fill>
    </dxf>
    <dxf>
      <alignment horizontal="general" vertical="bottom" textRotation="0" wrapText="1" indent="0" justifyLastLine="0" shrinkToFit="0" readingOrder="0"/>
    </dxf>
    <dxf>
      <numFmt numFmtId="19" formatCode="dd/mm/yyyy"/>
    </dxf>
    <dxf>
      <alignment horizontal="general" vertical="bottom" textRotation="0" wrapText="1" indent="0" justifyLastLine="0" shrinkToFit="0" readingOrder="0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19" formatCode="dd/mm/yyyy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505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Controle Mercadorias'!A1"/><Relationship Id="rId7" Type="http://schemas.openxmlformats.org/officeDocument/2006/relationships/hyperlink" Target="#Vendas!A1"/><Relationship Id="rId2" Type="http://schemas.openxmlformats.org/officeDocument/2006/relationships/hyperlink" Target="#Despesas!A1"/><Relationship Id="rId1" Type="http://schemas.openxmlformats.org/officeDocument/2006/relationships/image" Target="../media/image1.png"/><Relationship Id="rId6" Type="http://schemas.openxmlformats.org/officeDocument/2006/relationships/hyperlink" Target="#Resultados!A1"/><Relationship Id="rId5" Type="http://schemas.openxmlformats.org/officeDocument/2006/relationships/hyperlink" Target="#'Controle de Estoque'!A1"/><Relationship Id="rId4" Type="http://schemas.openxmlformats.org/officeDocument/2006/relationships/hyperlink" Target="#Investimentos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193055</xdr:colOff>
      <xdr:row>30</xdr:row>
      <xdr:rowOff>95250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190F2101-FF28-47ED-A75C-00437880DE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78"/>
        <a:stretch/>
      </xdr:blipFill>
      <xdr:spPr>
        <a:xfrm>
          <a:off x="0" y="0"/>
          <a:ext cx="13604255" cy="5810250"/>
        </a:xfrm>
        <a:prstGeom prst="rect">
          <a:avLst/>
        </a:prstGeom>
      </xdr:spPr>
    </xdr:pic>
    <xdr:clientData/>
  </xdr:twoCellAnchor>
  <xdr:twoCellAnchor>
    <xdr:from>
      <xdr:col>0</xdr:col>
      <xdr:colOff>323850</xdr:colOff>
      <xdr:row>21</xdr:row>
      <xdr:rowOff>9525</xdr:rowOff>
    </xdr:from>
    <xdr:to>
      <xdr:col>3</xdr:col>
      <xdr:colOff>304800</xdr:colOff>
      <xdr:row>23</xdr:row>
      <xdr:rowOff>123825</xdr:rowOff>
    </xdr:to>
    <xdr:sp macro="" textlink="">
      <xdr:nvSpPr>
        <xdr:cNvPr id="2" name="Retângulo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DA366F0-63ED-4512-A0AB-C9F856FC5ECD}"/>
            </a:ext>
          </a:extLst>
        </xdr:cNvPr>
        <xdr:cNvSpPr/>
      </xdr:nvSpPr>
      <xdr:spPr>
        <a:xfrm>
          <a:off x="323850" y="4010025"/>
          <a:ext cx="1809750" cy="4953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Despesas</a:t>
          </a:r>
        </a:p>
      </xdr:txBody>
    </xdr:sp>
    <xdr:clientData/>
  </xdr:twoCellAnchor>
  <xdr:twoCellAnchor>
    <xdr:from>
      <xdr:col>4</xdr:col>
      <xdr:colOff>0</xdr:colOff>
      <xdr:row>21</xdr:row>
      <xdr:rowOff>19050</xdr:rowOff>
    </xdr:from>
    <xdr:to>
      <xdr:col>6</xdr:col>
      <xdr:colOff>590550</xdr:colOff>
      <xdr:row>23</xdr:row>
      <xdr:rowOff>133350</xdr:rowOff>
    </xdr:to>
    <xdr:sp macro="" textlink="">
      <xdr:nvSpPr>
        <xdr:cNvPr id="3" name="Retângulo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A63F9CF-E1BB-4C43-A57C-A0CB83FFFFB2}"/>
            </a:ext>
          </a:extLst>
        </xdr:cNvPr>
        <xdr:cNvSpPr/>
      </xdr:nvSpPr>
      <xdr:spPr>
        <a:xfrm>
          <a:off x="2438400" y="4019550"/>
          <a:ext cx="1809750" cy="4953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Compras Mercadorias</a:t>
          </a:r>
        </a:p>
      </xdr:txBody>
    </xdr:sp>
    <xdr:clientData/>
  </xdr:twoCellAnchor>
  <xdr:twoCellAnchor>
    <xdr:from>
      <xdr:col>7</xdr:col>
      <xdr:colOff>333375</xdr:colOff>
      <xdr:row>21</xdr:row>
      <xdr:rowOff>19050</xdr:rowOff>
    </xdr:from>
    <xdr:to>
      <xdr:col>10</xdr:col>
      <xdr:colOff>314325</xdr:colOff>
      <xdr:row>23</xdr:row>
      <xdr:rowOff>133350</xdr:rowOff>
    </xdr:to>
    <xdr:sp macro="" textlink="">
      <xdr:nvSpPr>
        <xdr:cNvPr id="4" name="Retângulo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37FCAB4-7B0C-46F0-BD2C-44D6F092877D}"/>
            </a:ext>
          </a:extLst>
        </xdr:cNvPr>
        <xdr:cNvSpPr/>
      </xdr:nvSpPr>
      <xdr:spPr>
        <a:xfrm>
          <a:off x="4600575" y="4019550"/>
          <a:ext cx="1809750" cy="4953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Investimentos</a:t>
          </a:r>
        </a:p>
      </xdr:txBody>
    </xdr:sp>
    <xdr:clientData/>
  </xdr:twoCellAnchor>
  <xdr:twoCellAnchor>
    <xdr:from>
      <xdr:col>11</xdr:col>
      <xdr:colOff>0</xdr:colOff>
      <xdr:row>21</xdr:row>
      <xdr:rowOff>19050</xdr:rowOff>
    </xdr:from>
    <xdr:to>
      <xdr:col>13</xdr:col>
      <xdr:colOff>590550</xdr:colOff>
      <xdr:row>23</xdr:row>
      <xdr:rowOff>133350</xdr:rowOff>
    </xdr:to>
    <xdr:sp macro="" textlink="">
      <xdr:nvSpPr>
        <xdr:cNvPr id="5" name="Retângulo 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5E9BB07-8430-42CB-A11E-6E78B46E53C4}"/>
            </a:ext>
          </a:extLst>
        </xdr:cNvPr>
        <xdr:cNvSpPr/>
      </xdr:nvSpPr>
      <xdr:spPr>
        <a:xfrm>
          <a:off x="6705600" y="4019550"/>
          <a:ext cx="1809750" cy="4953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Controle de Estoque</a:t>
          </a:r>
        </a:p>
      </xdr:txBody>
    </xdr:sp>
    <xdr:clientData/>
  </xdr:twoCellAnchor>
  <xdr:twoCellAnchor>
    <xdr:from>
      <xdr:col>18</xdr:col>
      <xdr:colOff>133350</xdr:colOff>
      <xdr:row>21</xdr:row>
      <xdr:rowOff>28575</xdr:rowOff>
    </xdr:from>
    <xdr:to>
      <xdr:col>21</xdr:col>
      <xdr:colOff>114300</xdr:colOff>
      <xdr:row>23</xdr:row>
      <xdr:rowOff>142875</xdr:rowOff>
    </xdr:to>
    <xdr:sp macro="" textlink="">
      <xdr:nvSpPr>
        <xdr:cNvPr id="6" name="Retângulo 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446B0-7377-4730-8C28-D36BCB8FBFB9}"/>
            </a:ext>
          </a:extLst>
        </xdr:cNvPr>
        <xdr:cNvSpPr/>
      </xdr:nvSpPr>
      <xdr:spPr>
        <a:xfrm>
          <a:off x="11106150" y="4029075"/>
          <a:ext cx="1809750" cy="4953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Resultados</a:t>
          </a:r>
        </a:p>
      </xdr:txBody>
    </xdr:sp>
    <xdr:clientData/>
  </xdr:twoCellAnchor>
  <xdr:twoCellAnchor>
    <xdr:from>
      <xdr:col>14</xdr:col>
      <xdr:colOff>361950</xdr:colOff>
      <xdr:row>21</xdr:row>
      <xdr:rowOff>28575</xdr:rowOff>
    </xdr:from>
    <xdr:to>
      <xdr:col>17</xdr:col>
      <xdr:colOff>342900</xdr:colOff>
      <xdr:row>23</xdr:row>
      <xdr:rowOff>142875</xdr:rowOff>
    </xdr:to>
    <xdr:sp macro="" textlink="">
      <xdr:nvSpPr>
        <xdr:cNvPr id="7" name="Retângulo 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588D5EB-5C52-438C-B784-9569D54B0412}"/>
            </a:ext>
          </a:extLst>
        </xdr:cNvPr>
        <xdr:cNvSpPr/>
      </xdr:nvSpPr>
      <xdr:spPr>
        <a:xfrm>
          <a:off x="8896350" y="4029075"/>
          <a:ext cx="1809750" cy="4953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Vendas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B1CB242-0FDA-4BC4-B43B-B0315FEC762A}" name="Tabela3" displayName="Tabela3" ref="B4:G29" totalsRowShown="0">
  <autoFilter ref="B4:G29" xr:uid="{0B1CB242-0FDA-4BC4-B43B-B0315FEC762A}"/>
  <tableColumns count="6">
    <tableColumn id="1" xr3:uid="{0B7A400C-D70B-4B7B-A57F-54832EE6E017}" name="Despesas de Funcionamento"/>
    <tableColumn id="2" xr3:uid="{D6C62100-B74D-4F31-AEC9-510678104F34}" name="Itens Despesas"/>
    <tableColumn id="3" xr3:uid="{90EFB5CF-C060-4EF7-BAD8-84AFCA8F2B14}" name="Data"/>
    <tableColumn id="4" xr3:uid="{46A17CC6-9909-46AA-B040-0B7A0D4DED75}" name="Observação"/>
    <tableColumn id="5" xr3:uid="{1A7540E0-EBF4-4DD2-A618-A1419133730B}" name="Valor Intermediário" dataCellStyle="Moeda"/>
    <tableColumn id="6" xr3:uid="{70873A7A-F3CC-40EA-8053-C40E9F85FE09}" name="Valor Final" dataCellStyle="Moeda"/>
  </tableColumns>
  <tableStyleInfo name="TableStyleMedium28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2720A9-1BD4-45A2-A452-63A7E6333F8F}" name="Tabela2" displayName="Tabela2" ref="B4:I26" totalsRowShown="0">
  <autoFilter ref="B4:I26" xr:uid="{352720A9-1BD4-45A2-A452-63A7E6333F8F}"/>
  <sortState xmlns:xlrd2="http://schemas.microsoft.com/office/spreadsheetml/2017/richdata2" ref="B5:I26">
    <sortCondition descending="1" ref="B4:B26"/>
  </sortState>
  <tableColumns count="8">
    <tableColumn id="1" xr3:uid="{70F01BB3-039F-4F6A-9127-0FE396F11917}" name="Data" dataDxfId="12"/>
    <tableColumn id="2" xr3:uid="{23FDBB76-891B-4BEF-88E5-CF45534E4FA6}" name="Fornecedor"/>
    <tableColumn id="3" xr3:uid="{47E77675-1CB5-4223-999C-CD7D30DA4298}" name="Mercadoria"/>
    <tableColumn id="4" xr3:uid="{50509D53-9FDE-434A-A21C-765E6322AE8A}" name="Medida" dataDxfId="11">
      <calculatedColumnFormula>IFERROR(VLOOKUP(Tabela2[[#This Row],[Mercadoria]],cálculos!$M$7:$P$34,4,FALSE),"")</calculatedColumnFormula>
    </tableColumn>
    <tableColumn id="5" xr3:uid="{FF08DCA9-D260-4B65-9D79-32D0EDA3AD9A}" name="Quantidade"/>
    <tableColumn id="6" xr3:uid="{BDD50E25-5158-4F1F-BC90-ABBF12938393}" name="Preço Unitário" dataDxfId="10" dataCellStyle="Moeda">
      <calculatedColumnFormula>IFERROR(VLOOKUP(Tabela2[[#This Row],[Mercadoria]],cálculos!$M$7:$P$34,2,FALSE),"")</calculatedColumnFormula>
    </tableColumn>
    <tableColumn id="7" xr3:uid="{FBF94F4E-37BE-4D76-BDDD-D3C765A36413}" name="Desconto" dataCellStyle="Porcentagem"/>
    <tableColumn id="8" xr3:uid="{AEFD3C74-15EE-4D2B-9559-6E09557523AE}" name="Valor Pago" dataDxfId="9" dataCellStyle="Moeda">
      <calculatedColumnFormula>Tabela2[[#This Row],[Quantidade]]*Tabela2[[#This Row],[Preço Unitário]]*(1-Tabela2[[#This Row],[Desconto]])</calculatedColumnFormula>
    </tableColumn>
  </tableColumns>
  <tableStyleInfo name="TableStyleMedium2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4260D52-81F2-4162-98BF-30718AC2EAF3}" name="Tabela4" displayName="Tabela4" ref="B4:E9" totalsRowShown="0">
  <autoFilter ref="B4:E9" xr:uid="{C4260D52-81F2-4162-98BF-30718AC2EAF3}"/>
  <tableColumns count="4">
    <tableColumn id="1" xr3:uid="{3DE2EC2D-FE65-43D5-9E03-63CA32193761}" name="Investimento" dataDxfId="8"/>
    <tableColumn id="2" xr3:uid="{129E839C-F6BB-4D91-906F-D4AE5BA48C18}" name="Data" dataDxfId="7"/>
    <tableColumn id="3" xr3:uid="{81A341C0-EC03-4544-8A0B-6ECB312FEAC6}" name="Descrição" dataDxfId="6"/>
    <tableColumn id="4" xr3:uid="{8DA02AF3-1548-4A14-9A42-6E5373D624E7}" name="Valor" dataCellStyle="Moeda"/>
  </tableColumns>
  <tableStyleInfo name="TableStyleMedium2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CF6E44-08DA-45E7-A768-DF394F8148AD}" name="Tabela1" displayName="Tabela1" ref="B4:H28">
  <autoFilter ref="B4:H28" xr:uid="{64CF6E44-08DA-45E7-A768-DF394F8148AD}"/>
  <tableColumns count="7">
    <tableColumn id="1" xr3:uid="{46C366B8-BE15-4500-9E9A-C4C93EDADFBF}" name="Produto" totalsRowLabel="Total"/>
    <tableColumn id="2" xr3:uid="{9D624FE4-2073-40B5-AD69-FB6399F49BF6}" name="Data da Última Compra" dataDxfId="0">
      <calculatedColumnFormula>IFERROR(INDEX(Tabela2[],MATCH(Tabela1[[#This Row],[Produto]],Tabela2[Mercadoria],0),1),"")</calculatedColumnFormula>
    </tableColumn>
    <tableColumn id="3" xr3:uid="{34D575FB-E869-42B1-9733-C1CFD882C0FC}" name="Quantidade Inicial"/>
    <tableColumn id="4" xr3:uid="{28E8EF48-C2E8-4765-B5A6-39213CF6B625}" name="Quantidade Comprada" dataDxfId="3">
      <calculatedColumnFormula>SUMIF(Tabela2[Mercadoria],Tabela1[[#This Row],[Produto]],Tabela2[Quantidade])</calculatedColumnFormula>
    </tableColumn>
    <tableColumn id="5" xr3:uid="{3C6F5A4F-73EA-45E7-87BB-37AB4997CF61}" name="Quantidade Vendida"/>
    <tableColumn id="6" xr3:uid="{1B4BCCD1-849F-41FE-B38F-0C45630FAFDF}" name="Quantidade Atual" dataDxfId="2">
      <calculatedColumnFormula>Tabela1[[#This Row],[Quantidade Inicial]]+Tabela1[[#This Row],[Quantidade Comprada]]-Tabela1[[#This Row],[Quantidade Vendida]]</calculatedColumnFormula>
    </tableColumn>
    <tableColumn id="7" xr3:uid="{B347FC4C-1C5A-4E5F-85DB-5FA2798D7D01}" name="Situação" totalsRowFunction="count" dataDxfId="1">
      <calculatedColumnFormula>IF(Tabela1[[#This Row],[Quantidade Atual]]&lt;50,IF(Tabela1[[#This Row],[Quantidade Atual]]&lt;21,"Comprar","Atenção"),"Ok")</calculatedColumnFormula>
    </tableColumn>
  </tableColumns>
  <tableStyleInfo name="TableStyleMedium2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B13"/>
  <sheetViews>
    <sheetView showGridLines="0" zoomScaleNormal="100" workbookViewId="0">
      <selection activeCell="O32" sqref="O32"/>
    </sheetView>
  </sheetViews>
  <sheetFormatPr defaultRowHeight="15" x14ac:dyDescent="0.25"/>
  <sheetData>
    <row r="3" spans="2:2" x14ac:dyDescent="0.25">
      <c r="B3" t="s">
        <v>13</v>
      </c>
    </row>
    <row r="5" spans="2:2" x14ac:dyDescent="0.25">
      <c r="B5" t="s">
        <v>14</v>
      </c>
    </row>
    <row r="7" spans="2:2" x14ac:dyDescent="0.25">
      <c r="B7" t="s">
        <v>15</v>
      </c>
    </row>
    <row r="9" spans="2:2" x14ac:dyDescent="0.25">
      <c r="B9" t="s">
        <v>16</v>
      </c>
    </row>
    <row r="11" spans="2:2" x14ac:dyDescent="0.25">
      <c r="B11" t="s">
        <v>0</v>
      </c>
    </row>
    <row r="13" spans="2:2" x14ac:dyDescent="0.25">
      <c r="B13" t="s">
        <v>7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H34"/>
  <sheetViews>
    <sheetView showGridLines="0" workbookViewId="0"/>
  </sheetViews>
  <sheetFormatPr defaultRowHeight="15" x14ac:dyDescent="0.25"/>
  <cols>
    <col min="2" max="2" width="51.42578125" bestFit="1" customWidth="1"/>
    <col min="3" max="3" width="26.5703125" bestFit="1" customWidth="1"/>
    <col min="4" max="4" width="7.140625" customWidth="1"/>
    <col min="5" max="5" width="25.42578125" customWidth="1"/>
    <col min="6" max="6" width="20.5703125" customWidth="1"/>
    <col min="7" max="7" width="25.28515625" bestFit="1" customWidth="1"/>
  </cols>
  <sheetData>
    <row r="2" spans="2:8" s="1" customFormat="1" ht="27.95" customHeight="1" x14ac:dyDescent="0.25">
      <c r="B2" s="3" t="s">
        <v>48</v>
      </c>
    </row>
    <row r="4" spans="2:8" x14ac:dyDescent="0.25">
      <c r="B4" t="s">
        <v>49</v>
      </c>
      <c r="C4" t="s">
        <v>50</v>
      </c>
      <c r="D4" t="s">
        <v>51</v>
      </c>
      <c r="E4" t="s">
        <v>52</v>
      </c>
      <c r="F4" t="s">
        <v>53</v>
      </c>
      <c r="G4" t="s">
        <v>54</v>
      </c>
    </row>
    <row r="5" spans="2:8" x14ac:dyDescent="0.25">
      <c r="B5" t="s">
        <v>4</v>
      </c>
      <c r="F5" s="4"/>
      <c r="G5" s="4">
        <v>1000</v>
      </c>
    </row>
    <row r="6" spans="2:8" x14ac:dyDescent="0.25">
      <c r="B6" t="s">
        <v>55</v>
      </c>
      <c r="F6" s="4"/>
      <c r="G6" s="4">
        <f>SUM(F7:F11)</f>
        <v>17500</v>
      </c>
    </row>
    <row r="7" spans="2:8" x14ac:dyDescent="0.25">
      <c r="C7" t="s">
        <v>17</v>
      </c>
      <c r="F7" s="4">
        <v>10000</v>
      </c>
      <c r="G7" s="4"/>
    </row>
    <row r="8" spans="2:8" x14ac:dyDescent="0.25">
      <c r="C8" t="s">
        <v>18</v>
      </c>
      <c r="F8" s="4">
        <v>500</v>
      </c>
      <c r="G8" s="4"/>
    </row>
    <row r="9" spans="2:8" x14ac:dyDescent="0.25">
      <c r="C9" t="s">
        <v>2</v>
      </c>
      <c r="F9" s="4">
        <v>3000</v>
      </c>
      <c r="G9" s="4"/>
    </row>
    <row r="10" spans="2:8" x14ac:dyDescent="0.25">
      <c r="C10" t="s">
        <v>19</v>
      </c>
      <c r="F10" s="4">
        <v>2500</v>
      </c>
      <c r="G10" s="4"/>
      <c r="H10" s="2"/>
    </row>
    <row r="11" spans="2:8" x14ac:dyDescent="0.25">
      <c r="C11" t="s">
        <v>6</v>
      </c>
      <c r="E11" t="s">
        <v>60</v>
      </c>
      <c r="F11" s="4">
        <v>1500</v>
      </c>
      <c r="G11" s="4"/>
    </row>
    <row r="12" spans="2:8" x14ac:dyDescent="0.25">
      <c r="B12" t="s">
        <v>1</v>
      </c>
      <c r="F12" s="4"/>
      <c r="G12" s="4">
        <v>900</v>
      </c>
    </row>
    <row r="13" spans="2:8" x14ac:dyDescent="0.25">
      <c r="B13" t="s">
        <v>2</v>
      </c>
      <c r="F13" s="4"/>
      <c r="G13" s="4">
        <v>6000</v>
      </c>
    </row>
    <row r="14" spans="2:8" x14ac:dyDescent="0.25">
      <c r="B14" t="s">
        <v>21</v>
      </c>
      <c r="F14" s="4"/>
      <c r="G14" s="4">
        <f>SUM(F15:F19)</f>
        <v>5300</v>
      </c>
    </row>
    <row r="15" spans="2:8" x14ac:dyDescent="0.25">
      <c r="C15" t="s">
        <v>56</v>
      </c>
      <c r="F15" s="4">
        <v>800</v>
      </c>
      <c r="G15" s="4"/>
    </row>
    <row r="16" spans="2:8" x14ac:dyDescent="0.25">
      <c r="C16" t="s">
        <v>57</v>
      </c>
      <c r="F16" s="4">
        <v>3200</v>
      </c>
      <c r="G16" s="4"/>
    </row>
    <row r="17" spans="2:7" x14ac:dyDescent="0.25">
      <c r="C17" t="s">
        <v>58</v>
      </c>
      <c r="F17" s="4">
        <v>500</v>
      </c>
      <c r="G17" s="5"/>
    </row>
    <row r="18" spans="2:7" x14ac:dyDescent="0.25">
      <c r="C18" t="s">
        <v>59</v>
      </c>
      <c r="F18" s="4">
        <v>800</v>
      </c>
      <c r="G18" s="4"/>
    </row>
    <row r="19" spans="2:7" x14ac:dyDescent="0.25">
      <c r="C19" t="s">
        <v>6</v>
      </c>
      <c r="F19" s="4">
        <v>0</v>
      </c>
      <c r="G19" s="4"/>
    </row>
    <row r="20" spans="2:7" x14ac:dyDescent="0.25">
      <c r="B20" t="s">
        <v>3</v>
      </c>
      <c r="F20" s="4"/>
      <c r="G20" s="4">
        <v>300</v>
      </c>
    </row>
    <row r="21" spans="2:7" x14ac:dyDescent="0.25">
      <c r="B21" t="s">
        <v>22</v>
      </c>
      <c r="F21" s="4"/>
      <c r="G21" s="4">
        <f>SUM(F22:F27)</f>
        <v>11950</v>
      </c>
    </row>
    <row r="22" spans="2:7" x14ac:dyDescent="0.25">
      <c r="C22" t="s">
        <v>23</v>
      </c>
      <c r="F22" s="4">
        <v>1650</v>
      </c>
      <c r="G22" s="4"/>
    </row>
    <row r="23" spans="2:7" x14ac:dyDescent="0.25">
      <c r="C23" t="s">
        <v>24</v>
      </c>
      <c r="F23" s="4">
        <v>3000</v>
      </c>
      <c r="G23" s="4"/>
    </row>
    <row r="24" spans="2:7" x14ac:dyDescent="0.25">
      <c r="C24" t="s">
        <v>25</v>
      </c>
      <c r="F24" s="4">
        <v>3000</v>
      </c>
      <c r="G24" s="4"/>
    </row>
    <row r="25" spans="2:7" x14ac:dyDescent="0.25">
      <c r="C25" t="s">
        <v>26</v>
      </c>
      <c r="F25" s="4">
        <v>2700</v>
      </c>
      <c r="G25" s="4"/>
    </row>
    <row r="26" spans="2:7" x14ac:dyDescent="0.25">
      <c r="C26" t="s">
        <v>20</v>
      </c>
      <c r="F26" s="4">
        <v>1500</v>
      </c>
      <c r="G26" s="4"/>
    </row>
    <row r="27" spans="2:7" x14ac:dyDescent="0.25">
      <c r="C27" t="s">
        <v>6</v>
      </c>
      <c r="F27" s="4">
        <v>100</v>
      </c>
      <c r="G27" s="4"/>
    </row>
    <row r="28" spans="2:7" x14ac:dyDescent="0.25">
      <c r="B28" t="s">
        <v>5</v>
      </c>
      <c r="F28" s="4"/>
      <c r="G28" s="4">
        <v>1500</v>
      </c>
    </row>
    <row r="29" spans="2:7" x14ac:dyDescent="0.25">
      <c r="B29" t="s">
        <v>6</v>
      </c>
      <c r="F29" s="4"/>
      <c r="G29" s="4">
        <v>957</v>
      </c>
    </row>
    <row r="31" spans="2:7" ht="21" x14ac:dyDescent="0.35">
      <c r="B31" s="12" t="s">
        <v>61</v>
      </c>
      <c r="C31" s="12"/>
      <c r="D31" s="12"/>
      <c r="E31" s="12"/>
      <c r="F31" s="12"/>
      <c r="G31" s="13">
        <f>SUM(Tabela3[Valor Final])</f>
        <v>45407</v>
      </c>
    </row>
    <row r="32" spans="2:7" ht="21" x14ac:dyDescent="0.35">
      <c r="B32" s="12" t="s">
        <v>94</v>
      </c>
      <c r="C32" s="12"/>
      <c r="D32" s="12"/>
      <c r="E32" s="12"/>
      <c r="F32" s="12"/>
      <c r="G32" s="13">
        <f>'Controle Mercadorias'!I28</f>
        <v>13178.064999999999</v>
      </c>
    </row>
    <row r="34" spans="2:7" ht="21" x14ac:dyDescent="0.35">
      <c r="B34" s="12" t="s">
        <v>95</v>
      </c>
      <c r="C34" s="12"/>
      <c r="D34" s="12"/>
      <c r="E34" s="12"/>
      <c r="F34" s="12"/>
      <c r="G34" s="13">
        <f>SUM(G32,G31)</f>
        <v>58585.065000000002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I28"/>
  <sheetViews>
    <sheetView showGridLines="0" workbookViewId="0">
      <selection activeCell="C18" sqref="C18"/>
    </sheetView>
  </sheetViews>
  <sheetFormatPr defaultRowHeight="15" x14ac:dyDescent="0.25"/>
  <cols>
    <col min="2" max="2" width="12.7109375" customWidth="1"/>
    <col min="3" max="3" width="30.85546875" bestFit="1" customWidth="1"/>
    <col min="4" max="8" width="12.7109375" customWidth="1"/>
    <col min="9" max="9" width="21.7109375" bestFit="1" customWidth="1"/>
  </cols>
  <sheetData>
    <row r="2" spans="2:9" s="1" customFormat="1" ht="27.95" customHeight="1" x14ac:dyDescent="0.25">
      <c r="B2" s="3" t="s">
        <v>62</v>
      </c>
    </row>
    <row r="4" spans="2:9" x14ac:dyDescent="0.25">
      <c r="B4" t="s">
        <v>51</v>
      </c>
      <c r="C4" t="s">
        <v>63</v>
      </c>
      <c r="D4" t="s">
        <v>64</v>
      </c>
      <c r="E4" t="s">
        <v>65</v>
      </c>
      <c r="F4" t="s">
        <v>66</v>
      </c>
      <c r="G4" t="s">
        <v>67</v>
      </c>
      <c r="H4" t="s">
        <v>68</v>
      </c>
      <c r="I4" t="s">
        <v>69</v>
      </c>
    </row>
    <row r="5" spans="2:9" x14ac:dyDescent="0.25">
      <c r="B5" s="9">
        <v>42190</v>
      </c>
      <c r="C5" t="s">
        <v>84</v>
      </c>
      <c r="D5" t="s">
        <v>42</v>
      </c>
      <c r="E5" t="str">
        <f>IFERROR(VLOOKUP(Tabela2[[#This Row],[Mercadoria]],cálculos!$M$7:$P$34,4,FALSE),"")</f>
        <v>Unidade</v>
      </c>
      <c r="F5">
        <v>50</v>
      </c>
      <c r="G5" s="4">
        <f>IFERROR(VLOOKUP(Tabela2[[#This Row],[Mercadoria]],cálculos!$M$7:$P$34,2,FALSE),"")</f>
        <v>2.37</v>
      </c>
      <c r="H5" s="6">
        <v>0.05</v>
      </c>
      <c r="I5" s="4">
        <f>Tabela2[[#This Row],[Quantidade]]*Tabela2[[#This Row],[Preço Unitário]]*(1-Tabela2[[#This Row],[Desconto]])</f>
        <v>112.57499999999999</v>
      </c>
    </row>
    <row r="6" spans="2:9" x14ac:dyDescent="0.25">
      <c r="B6" s="9">
        <v>42190</v>
      </c>
      <c r="C6" t="s">
        <v>85</v>
      </c>
      <c r="D6" t="s">
        <v>28</v>
      </c>
      <c r="E6" t="str">
        <f>IFERROR(VLOOKUP(Tabela2[[#This Row],[Mercadoria]],cálculos!$M$7:$P$34,4,FALSE),"")</f>
        <v>Kg</v>
      </c>
      <c r="F6">
        <v>120</v>
      </c>
      <c r="G6" s="4">
        <f>IFERROR(VLOOKUP(Tabela2[[#This Row],[Mercadoria]],cálculos!$M$7:$P$34,2,FALSE),"")</f>
        <v>4.07</v>
      </c>
      <c r="H6" s="6"/>
      <c r="I6" s="4">
        <f>Tabela2[[#This Row],[Quantidade]]*Tabela2[[#This Row],[Preço Unitário]]*(1-Tabela2[[#This Row],[Desconto]])</f>
        <v>488.40000000000003</v>
      </c>
    </row>
    <row r="7" spans="2:9" x14ac:dyDescent="0.25">
      <c r="B7" s="9">
        <v>42189</v>
      </c>
      <c r="C7" t="s">
        <v>85</v>
      </c>
      <c r="D7" t="s">
        <v>28</v>
      </c>
      <c r="E7" t="str">
        <f>IFERROR(VLOOKUP(Tabela2[[#This Row],[Mercadoria]],cálculos!$M$7:$P$34,4,FALSE),"")</f>
        <v>Kg</v>
      </c>
      <c r="F7">
        <v>150</v>
      </c>
      <c r="G7" s="4">
        <f>IFERROR(VLOOKUP(Tabela2[[#This Row],[Mercadoria]],cálculos!$M$7:$P$34,2,FALSE),"")</f>
        <v>4.07</v>
      </c>
      <c r="H7" s="6"/>
      <c r="I7" s="4">
        <f>Tabela2[[#This Row],[Quantidade]]*Tabela2[[#This Row],[Preço Unitário]]*(1-Tabela2[[#This Row],[Desconto]])</f>
        <v>610.5</v>
      </c>
    </row>
    <row r="8" spans="2:9" x14ac:dyDescent="0.25">
      <c r="B8" s="9">
        <v>42189</v>
      </c>
      <c r="C8" t="s">
        <v>85</v>
      </c>
      <c r="D8" t="s">
        <v>27</v>
      </c>
      <c r="E8" t="str">
        <f>IFERROR(VLOOKUP(Tabela2[[#This Row],[Mercadoria]],cálculos!$M$7:$P$34,4,FALSE),"")</f>
        <v>Kg</v>
      </c>
      <c r="F8">
        <v>150</v>
      </c>
      <c r="G8" s="4">
        <f>IFERROR(VLOOKUP(Tabela2[[#This Row],[Mercadoria]],cálculos!$M$7:$P$34,2,FALSE),"")</f>
        <v>2.34</v>
      </c>
      <c r="H8" s="6"/>
      <c r="I8" s="4">
        <f>Tabela2[[#This Row],[Quantidade]]*Tabela2[[#This Row],[Preço Unitário]]*(1-Tabela2[[#This Row],[Desconto]])</f>
        <v>351</v>
      </c>
    </row>
    <row r="9" spans="2:9" x14ac:dyDescent="0.25">
      <c r="B9" s="9">
        <v>42189</v>
      </c>
      <c r="C9" t="s">
        <v>86</v>
      </c>
      <c r="D9" t="s">
        <v>40</v>
      </c>
      <c r="E9" t="str">
        <f>IFERROR(VLOOKUP(Tabela2[[#This Row],[Mercadoria]],cálculos!$M$7:$P$34,4,FALSE),"")</f>
        <v>Lata</v>
      </c>
      <c r="F9">
        <v>100</v>
      </c>
      <c r="G9" s="4">
        <f>IFERROR(VLOOKUP(Tabela2[[#This Row],[Mercadoria]],cálculos!$M$7:$P$34,2,FALSE),"")</f>
        <v>2.1</v>
      </c>
      <c r="H9" s="6"/>
      <c r="I9" s="4">
        <f>Tabela2[[#This Row],[Quantidade]]*Tabela2[[#This Row],[Preço Unitário]]*(1-Tabela2[[#This Row],[Desconto]])</f>
        <v>210</v>
      </c>
    </row>
    <row r="10" spans="2:9" x14ac:dyDescent="0.25">
      <c r="B10" s="9">
        <v>42189</v>
      </c>
      <c r="C10" t="s">
        <v>86</v>
      </c>
      <c r="D10" t="s">
        <v>36</v>
      </c>
      <c r="E10" t="str">
        <f>IFERROR(VLOOKUP(Tabela2[[#This Row],[Mercadoria]],cálculos!$M$7:$P$34,4,FALSE),"")</f>
        <v>Litro</v>
      </c>
      <c r="F10">
        <v>200</v>
      </c>
      <c r="G10" s="4">
        <f>IFERROR(VLOOKUP(Tabela2[[#This Row],[Mercadoria]],cálculos!$M$7:$P$34,2,FALSE),"")</f>
        <v>3.21</v>
      </c>
      <c r="H10" s="6"/>
      <c r="I10" s="4">
        <f>Tabela2[[#This Row],[Quantidade]]*Tabela2[[#This Row],[Preço Unitário]]*(1-Tabela2[[#This Row],[Desconto]])</f>
        <v>642</v>
      </c>
    </row>
    <row r="11" spans="2:9" x14ac:dyDescent="0.25">
      <c r="B11" s="9">
        <v>42188</v>
      </c>
      <c r="C11" t="s">
        <v>87</v>
      </c>
      <c r="D11" t="s">
        <v>46</v>
      </c>
      <c r="E11" t="str">
        <f>IFERROR(VLOOKUP(Tabela2[[#This Row],[Mercadoria]],cálculos!$M$7:$P$34,4,FALSE),"")</f>
        <v>Maço</v>
      </c>
      <c r="F11">
        <v>100</v>
      </c>
      <c r="G11" s="4">
        <f>IFERROR(VLOOKUP(Tabela2[[#This Row],[Mercadoria]],cálculos!$M$7:$P$34,2,FALSE),"")</f>
        <v>6.35</v>
      </c>
      <c r="H11" s="6"/>
      <c r="I11" s="4">
        <f>Tabela2[[#This Row],[Quantidade]]*Tabela2[[#This Row],[Preço Unitário]]*(1-Tabela2[[#This Row],[Desconto]])</f>
        <v>635</v>
      </c>
    </row>
    <row r="12" spans="2:9" x14ac:dyDescent="0.25">
      <c r="B12" s="9">
        <v>42188</v>
      </c>
      <c r="C12" t="s">
        <v>88</v>
      </c>
      <c r="D12" t="s">
        <v>45</v>
      </c>
      <c r="E12" t="str">
        <f>IFERROR(VLOOKUP(Tabela2[[#This Row],[Mercadoria]],cálculos!$M$7:$P$34,4,FALSE),"")</f>
        <v>Barra</v>
      </c>
      <c r="F12">
        <v>100</v>
      </c>
      <c r="G12" s="4">
        <f>IFERROR(VLOOKUP(Tabela2[[#This Row],[Mercadoria]],cálculos!$M$7:$P$34,2,FALSE),"")</f>
        <v>4.54</v>
      </c>
      <c r="H12" s="6"/>
      <c r="I12" s="4">
        <f>Tabela2[[#This Row],[Quantidade]]*Tabela2[[#This Row],[Preço Unitário]]*(1-Tabela2[[#This Row],[Desconto]])</f>
        <v>454</v>
      </c>
    </row>
    <row r="13" spans="2:9" x14ac:dyDescent="0.25">
      <c r="B13" s="9">
        <v>42188</v>
      </c>
      <c r="C13" t="s">
        <v>85</v>
      </c>
      <c r="D13" t="s">
        <v>28</v>
      </c>
      <c r="E13" t="str">
        <f>IFERROR(VLOOKUP(Tabela2[[#This Row],[Mercadoria]],cálculos!$M$7:$P$34,4,FALSE),"")</f>
        <v>Kg</v>
      </c>
      <c r="F13">
        <v>300</v>
      </c>
      <c r="G13" s="4">
        <f>IFERROR(VLOOKUP(Tabela2[[#This Row],[Mercadoria]],cálculos!$M$7:$P$34,2,FALSE),"")</f>
        <v>4.07</v>
      </c>
      <c r="H13" s="6"/>
      <c r="I13" s="4">
        <f>Tabela2[[#This Row],[Quantidade]]*Tabela2[[#This Row],[Preço Unitário]]*(1-Tabela2[[#This Row],[Desconto]])</f>
        <v>1221</v>
      </c>
    </row>
    <row r="14" spans="2:9" x14ac:dyDescent="0.25">
      <c r="B14" s="9">
        <v>42188</v>
      </c>
      <c r="C14" t="s">
        <v>85</v>
      </c>
      <c r="D14" t="s">
        <v>39</v>
      </c>
      <c r="E14" t="str">
        <f>IFERROR(VLOOKUP(Tabela2[[#This Row],[Mercadoria]],cálculos!$M$7:$P$34,4,FALSE),"")</f>
        <v>Pacote</v>
      </c>
      <c r="F14">
        <v>50</v>
      </c>
      <c r="G14" s="4">
        <f>IFERROR(VLOOKUP(Tabela2[[#This Row],[Mercadoria]],cálculos!$M$7:$P$34,2,FALSE),"")</f>
        <v>1.06</v>
      </c>
      <c r="H14" s="6"/>
      <c r="I14" s="4">
        <f>Tabela2[[#This Row],[Quantidade]]*Tabela2[[#This Row],[Preço Unitário]]*(1-Tabela2[[#This Row],[Desconto]])</f>
        <v>53</v>
      </c>
    </row>
    <row r="15" spans="2:9" x14ac:dyDescent="0.25">
      <c r="B15" s="9">
        <v>42188</v>
      </c>
      <c r="C15" t="s">
        <v>89</v>
      </c>
      <c r="D15" t="s">
        <v>81</v>
      </c>
      <c r="E15" t="str">
        <f>IFERROR(VLOOKUP(Tabela2[[#This Row],[Mercadoria]],cálculos!$M$7:$P$34,4,FALSE),"")</f>
        <v>Unidade</v>
      </c>
      <c r="F15">
        <v>300</v>
      </c>
      <c r="G15" s="4">
        <f>IFERROR(VLOOKUP(Tabela2[[#This Row],[Mercadoria]],cálculos!$M$7:$P$34,2,FALSE),"")</f>
        <v>2.63</v>
      </c>
      <c r="H15" s="6"/>
      <c r="I15" s="4">
        <f>Tabela2[[#This Row],[Quantidade]]*Tabela2[[#This Row],[Preço Unitário]]*(1-Tabela2[[#This Row],[Desconto]])</f>
        <v>789</v>
      </c>
    </row>
    <row r="16" spans="2:9" x14ac:dyDescent="0.25">
      <c r="B16" s="9">
        <v>42188</v>
      </c>
      <c r="C16" t="s">
        <v>88</v>
      </c>
      <c r="D16" t="s">
        <v>44</v>
      </c>
      <c r="E16" t="str">
        <f>IFERROR(VLOOKUP(Tabela2[[#This Row],[Mercadoria]],cálculos!$M$7:$P$34,4,FALSE),"")</f>
        <v>Pacote</v>
      </c>
      <c r="F16">
        <v>100</v>
      </c>
      <c r="G16" s="4">
        <f>IFERROR(VLOOKUP(Tabela2[[#This Row],[Mercadoria]],cálculos!$M$7:$P$34,2,FALSE),"")</f>
        <v>1.85</v>
      </c>
      <c r="H16" s="6"/>
      <c r="I16" s="4">
        <f>Tabela2[[#This Row],[Quantidade]]*Tabela2[[#This Row],[Preço Unitário]]*(1-Tabela2[[#This Row],[Desconto]])</f>
        <v>185</v>
      </c>
    </row>
    <row r="17" spans="2:9" x14ac:dyDescent="0.25">
      <c r="B17" s="9">
        <v>42188</v>
      </c>
      <c r="C17" t="s">
        <v>86</v>
      </c>
      <c r="D17" t="s">
        <v>40</v>
      </c>
      <c r="E17" t="str">
        <f>IFERROR(VLOOKUP(Tabela2[[#This Row],[Mercadoria]],cálculos!$M$7:$P$34,4,FALSE),"")</f>
        <v>Lata</v>
      </c>
      <c r="F17">
        <v>100</v>
      </c>
      <c r="G17" s="4">
        <f>IFERROR(VLOOKUP(Tabela2[[#This Row],[Mercadoria]],cálculos!$M$7:$P$34,2,FALSE),"")</f>
        <v>2.1</v>
      </c>
      <c r="H17" s="6"/>
      <c r="I17" s="4">
        <f>Tabela2[[#This Row],[Quantidade]]*Tabela2[[#This Row],[Preço Unitário]]*(1-Tabela2[[#This Row],[Desconto]])</f>
        <v>210</v>
      </c>
    </row>
    <row r="18" spans="2:9" x14ac:dyDescent="0.25">
      <c r="B18" s="9">
        <v>42188</v>
      </c>
      <c r="C18" t="s">
        <v>90</v>
      </c>
      <c r="D18" t="s">
        <v>32</v>
      </c>
      <c r="E18" t="str">
        <f>IFERROR(VLOOKUP(Tabela2[[#This Row],[Mercadoria]],cálculos!$M$7:$P$34,4,FALSE),"")</f>
        <v>Kg</v>
      </c>
      <c r="F18">
        <v>110</v>
      </c>
      <c r="G18" s="4">
        <f>IFERROR(VLOOKUP(Tabela2[[#This Row],[Mercadoria]],cálculos!$M$7:$P$34,2,FALSE),"")</f>
        <v>6.42</v>
      </c>
      <c r="H18" s="6"/>
      <c r="I18" s="4">
        <f>Tabela2[[#This Row],[Quantidade]]*Tabela2[[#This Row],[Preço Unitário]]*(1-Tabela2[[#This Row],[Desconto]])</f>
        <v>706.2</v>
      </c>
    </row>
    <row r="19" spans="2:9" x14ac:dyDescent="0.25">
      <c r="B19" s="9">
        <v>42188</v>
      </c>
      <c r="C19" t="s">
        <v>91</v>
      </c>
      <c r="D19" t="s">
        <v>33</v>
      </c>
      <c r="E19" t="str">
        <f>IFERROR(VLOOKUP(Tabela2[[#This Row],[Mercadoria]],cálculos!$M$7:$P$34,4,FALSE),"")</f>
        <v>Kg</v>
      </c>
      <c r="F19">
        <v>50</v>
      </c>
      <c r="G19" s="4">
        <f>IFERROR(VLOOKUP(Tabela2[[#This Row],[Mercadoria]],cálculos!$M$7:$P$34,2,FALSE),"")</f>
        <v>22.23</v>
      </c>
      <c r="H19" s="6">
        <v>0.5</v>
      </c>
      <c r="I19" s="4">
        <f>Tabela2[[#This Row],[Quantidade]]*Tabela2[[#This Row],[Preço Unitário]]*(1-Tabela2[[#This Row],[Desconto]])</f>
        <v>555.75</v>
      </c>
    </row>
    <row r="20" spans="2:9" x14ac:dyDescent="0.25">
      <c r="B20" s="9">
        <v>42187</v>
      </c>
      <c r="C20" t="s">
        <v>85</v>
      </c>
      <c r="D20" t="s">
        <v>27</v>
      </c>
      <c r="E20" t="str">
        <f>IFERROR(VLOOKUP(Tabela2[[#This Row],[Mercadoria]],cálculos!$M$7:$P$34,4,FALSE),"")</f>
        <v>Kg</v>
      </c>
      <c r="F20">
        <v>300</v>
      </c>
      <c r="G20" s="4">
        <f>IFERROR(VLOOKUP(Tabela2[[#This Row],[Mercadoria]],cálculos!$M$7:$P$34,2,FALSE),"")</f>
        <v>2.34</v>
      </c>
      <c r="H20" s="6"/>
      <c r="I20" s="4">
        <f>Tabela2[[#This Row],[Quantidade]]*Tabela2[[#This Row],[Preço Unitário]]*(1-Tabela2[[#This Row],[Desconto]])</f>
        <v>702</v>
      </c>
    </row>
    <row r="21" spans="2:9" x14ac:dyDescent="0.25">
      <c r="B21" s="9">
        <v>42187</v>
      </c>
      <c r="C21" t="s">
        <v>84</v>
      </c>
      <c r="D21" t="s">
        <v>30</v>
      </c>
      <c r="E21" t="str">
        <f>IFERROR(VLOOKUP(Tabela2[[#This Row],[Mercadoria]],cálculos!$M$7:$P$34,4,FALSE),"")</f>
        <v>Unidade</v>
      </c>
      <c r="F21">
        <v>150</v>
      </c>
      <c r="G21" s="4">
        <f>IFERROR(VLOOKUP(Tabela2[[#This Row],[Mercadoria]],cálculos!$M$7:$P$34,2,FALSE),"")</f>
        <v>2.84</v>
      </c>
      <c r="H21" s="6"/>
      <c r="I21" s="4">
        <f>Tabela2[[#This Row],[Quantidade]]*Tabela2[[#This Row],[Preço Unitário]]*(1-Tabela2[[#This Row],[Desconto]])</f>
        <v>426</v>
      </c>
    </row>
    <row r="22" spans="2:9" x14ac:dyDescent="0.25">
      <c r="B22" s="9">
        <v>42187</v>
      </c>
      <c r="C22" t="s">
        <v>92</v>
      </c>
      <c r="D22" t="s">
        <v>37</v>
      </c>
      <c r="E22" t="str">
        <f>IFERROR(VLOOKUP(Tabela2[[#This Row],[Mercadoria]],cálculos!$M$7:$P$34,4,FALSE),"")</f>
        <v>Kg</v>
      </c>
      <c r="F22">
        <v>150</v>
      </c>
      <c r="G22" s="4">
        <f>IFERROR(VLOOKUP(Tabela2[[#This Row],[Mercadoria]],cálculos!$M$7:$P$34,2,FALSE),"")</f>
        <v>3.63</v>
      </c>
      <c r="H22" s="6"/>
      <c r="I22" s="4">
        <f>Tabela2[[#This Row],[Quantidade]]*Tabela2[[#This Row],[Preço Unitário]]*(1-Tabela2[[#This Row],[Desconto]])</f>
        <v>544.5</v>
      </c>
    </row>
    <row r="23" spans="2:9" x14ac:dyDescent="0.25">
      <c r="B23" s="9">
        <v>42187</v>
      </c>
      <c r="C23" t="s">
        <v>93</v>
      </c>
      <c r="D23" t="s">
        <v>31</v>
      </c>
      <c r="E23" t="str">
        <f>IFERROR(VLOOKUP(Tabela2[[#This Row],[Mercadoria]],cálculos!$M$7:$P$34,4,FALSE),"")</f>
        <v>Kg</v>
      </c>
      <c r="F23">
        <v>150</v>
      </c>
      <c r="G23" s="4">
        <f>IFERROR(VLOOKUP(Tabela2[[#This Row],[Mercadoria]],cálculos!$M$7:$P$34,2,FALSE),"")</f>
        <v>14.47</v>
      </c>
      <c r="H23" s="6"/>
      <c r="I23" s="4">
        <f>Tabela2[[#This Row],[Quantidade]]*Tabela2[[#This Row],[Preço Unitário]]*(1-Tabela2[[#This Row],[Desconto]])</f>
        <v>2170.5</v>
      </c>
    </row>
    <row r="24" spans="2:9" x14ac:dyDescent="0.25">
      <c r="B24" s="9">
        <v>42187</v>
      </c>
      <c r="C24" t="s">
        <v>86</v>
      </c>
      <c r="D24" t="s">
        <v>40</v>
      </c>
      <c r="E24" t="str">
        <f>IFERROR(VLOOKUP(Tabela2[[#This Row],[Mercadoria]],cálculos!$M$7:$P$34,4,FALSE),"")</f>
        <v>Lata</v>
      </c>
      <c r="F24">
        <v>100</v>
      </c>
      <c r="G24" s="4">
        <f>IFERROR(VLOOKUP(Tabela2[[#This Row],[Mercadoria]],cálculos!$M$7:$P$34,2,FALSE),"")</f>
        <v>2.1</v>
      </c>
      <c r="H24" s="6"/>
      <c r="I24" s="4">
        <f>Tabela2[[#This Row],[Quantidade]]*Tabela2[[#This Row],[Preço Unitário]]*(1-Tabela2[[#This Row],[Desconto]])</f>
        <v>210</v>
      </c>
    </row>
    <row r="25" spans="2:9" x14ac:dyDescent="0.25">
      <c r="B25" s="9">
        <v>42187</v>
      </c>
      <c r="C25" t="s">
        <v>86</v>
      </c>
      <c r="D25" t="s">
        <v>35</v>
      </c>
      <c r="E25" t="str">
        <f>IFERROR(VLOOKUP(Tabela2[[#This Row],[Mercadoria]],cálculos!$M$7:$P$34,4,FALSE),"")</f>
        <v>Garrafa</v>
      </c>
      <c r="F25">
        <v>80</v>
      </c>
      <c r="G25" s="4">
        <f>IFERROR(VLOOKUP(Tabela2[[#This Row],[Mercadoria]],cálculos!$M$7:$P$34,2,FALSE),"")</f>
        <v>26.01</v>
      </c>
      <c r="H25" s="6">
        <v>0.2</v>
      </c>
      <c r="I25" s="4">
        <f>Tabela2[[#This Row],[Quantidade]]*Tabela2[[#This Row],[Preço Unitário]]*(1-Tabela2[[#This Row],[Desconto]])</f>
        <v>1664.6400000000003</v>
      </c>
    </row>
    <row r="26" spans="2:9" x14ac:dyDescent="0.25">
      <c r="B26" s="9">
        <v>42187</v>
      </c>
      <c r="C26" t="s">
        <v>84</v>
      </c>
      <c r="D26" t="s">
        <v>42</v>
      </c>
      <c r="E26" t="str">
        <f>IFERROR(VLOOKUP(Tabela2[[#This Row],[Mercadoria]],cálculos!$M$7:$P$34,4,FALSE),"")</f>
        <v>Unidade</v>
      </c>
      <c r="F26">
        <v>100</v>
      </c>
      <c r="G26" s="4">
        <f>IFERROR(VLOOKUP(Tabela2[[#This Row],[Mercadoria]],cálculos!$M$7:$P$34,2,FALSE),"")</f>
        <v>2.37</v>
      </c>
      <c r="H26" s="6"/>
      <c r="I26" s="4">
        <f>Tabela2[[#This Row],[Quantidade]]*Tabela2[[#This Row],[Preço Unitário]]*(1-Tabela2[[#This Row],[Desconto]])</f>
        <v>237</v>
      </c>
    </row>
    <row r="27" spans="2:9" ht="15.75" thickBot="1" x14ac:dyDescent="0.3"/>
    <row r="28" spans="2:9" ht="21.75" thickBot="1" x14ac:dyDescent="0.4">
      <c r="B28" s="10" t="s">
        <v>94</v>
      </c>
      <c r="C28" s="10"/>
      <c r="D28" s="10"/>
      <c r="E28" s="10"/>
      <c r="F28" s="10"/>
      <c r="G28" s="10"/>
      <c r="H28" s="10"/>
      <c r="I28" s="11">
        <f>SUM(Tabela2[Valor Pago])</f>
        <v>13178.064999999999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E11"/>
  <sheetViews>
    <sheetView showGridLines="0" workbookViewId="0"/>
  </sheetViews>
  <sheetFormatPr defaultRowHeight="15" x14ac:dyDescent="0.25"/>
  <cols>
    <col min="2" max="2" width="33.140625" bestFit="1" customWidth="1"/>
    <col min="3" max="3" width="10.7109375" bestFit="1" customWidth="1"/>
    <col min="4" max="4" width="56.5703125" customWidth="1"/>
    <col min="5" max="5" width="21.42578125" bestFit="1" customWidth="1"/>
  </cols>
  <sheetData>
    <row r="2" spans="2:5" s="1" customFormat="1" ht="27.75" customHeight="1" x14ac:dyDescent="0.25">
      <c r="B2" s="3" t="s">
        <v>15</v>
      </c>
    </row>
    <row r="4" spans="2:5" x14ac:dyDescent="0.25">
      <c r="B4" t="s">
        <v>96</v>
      </c>
      <c r="C4" t="s">
        <v>51</v>
      </c>
      <c r="D4" t="s">
        <v>97</v>
      </c>
      <c r="E4" t="s">
        <v>98</v>
      </c>
    </row>
    <row r="5" spans="2:5" ht="30" customHeight="1" x14ac:dyDescent="0.25">
      <c r="B5" s="15" t="s">
        <v>96</v>
      </c>
      <c r="C5" s="14">
        <v>43590</v>
      </c>
      <c r="D5" s="15" t="s">
        <v>102</v>
      </c>
      <c r="E5" s="4">
        <v>400000</v>
      </c>
    </row>
    <row r="6" spans="2:5" ht="30" customHeight="1" x14ac:dyDescent="0.25">
      <c r="B6" s="15" t="s">
        <v>20</v>
      </c>
      <c r="C6" s="14"/>
      <c r="D6" s="15"/>
      <c r="E6" s="4">
        <v>0</v>
      </c>
    </row>
    <row r="7" spans="2:5" ht="30" customHeight="1" x14ac:dyDescent="0.25">
      <c r="B7" s="15" t="s">
        <v>101</v>
      </c>
      <c r="C7" s="14"/>
      <c r="D7" s="15"/>
      <c r="E7" s="4">
        <v>0</v>
      </c>
    </row>
    <row r="8" spans="2:5" ht="30" customHeight="1" x14ac:dyDescent="0.25">
      <c r="B8" s="15" t="s">
        <v>99</v>
      </c>
      <c r="C8" s="14"/>
      <c r="D8" s="15"/>
      <c r="E8" s="4">
        <v>0</v>
      </c>
    </row>
    <row r="9" spans="2:5" ht="30" customHeight="1" x14ac:dyDescent="0.25">
      <c r="B9" s="15" t="s">
        <v>100</v>
      </c>
      <c r="C9" s="14"/>
      <c r="D9" s="15"/>
      <c r="E9" s="4">
        <v>0</v>
      </c>
    </row>
    <row r="11" spans="2:5" ht="21" x14ac:dyDescent="0.35">
      <c r="B11" s="12" t="s">
        <v>95</v>
      </c>
      <c r="C11" s="12"/>
      <c r="D11" s="12"/>
      <c r="E11" s="13">
        <f>SUM(Tabela4[Valor])</f>
        <v>400000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H28"/>
  <sheetViews>
    <sheetView tabSelected="1" workbookViewId="0">
      <selection activeCell="L20" sqref="L20"/>
    </sheetView>
  </sheetViews>
  <sheetFormatPr defaultRowHeight="15" x14ac:dyDescent="0.25"/>
  <cols>
    <col min="2" max="2" width="16.140625" customWidth="1"/>
    <col min="3" max="3" width="23.28515625" customWidth="1"/>
    <col min="4" max="4" width="19.28515625" customWidth="1"/>
    <col min="5" max="5" width="23" customWidth="1"/>
    <col min="6" max="6" width="21.42578125" customWidth="1"/>
    <col min="7" max="7" width="18.7109375" customWidth="1"/>
    <col min="8" max="8" width="10.5703125" customWidth="1"/>
  </cols>
  <sheetData>
    <row r="2" spans="2:8" s="16" customFormat="1" ht="27.75" customHeight="1" x14ac:dyDescent="0.25">
      <c r="B2" s="17" t="s">
        <v>16</v>
      </c>
    </row>
    <row r="4" spans="2:8" x14ac:dyDescent="0.25">
      <c r="B4" t="s">
        <v>103</v>
      </c>
      <c r="C4" t="s">
        <v>104</v>
      </c>
      <c r="D4" t="s">
        <v>105</v>
      </c>
      <c r="E4" t="s">
        <v>106</v>
      </c>
      <c r="F4" t="s">
        <v>107</v>
      </c>
      <c r="G4" t="s">
        <v>108</v>
      </c>
      <c r="H4" t="s">
        <v>109</v>
      </c>
    </row>
    <row r="5" spans="2:8" x14ac:dyDescent="0.25">
      <c r="B5" t="s">
        <v>30</v>
      </c>
      <c r="C5" s="14">
        <f>IFERROR(INDEX(Tabela2[],MATCH(Tabela1[[#This Row],[Produto]],Tabela2[Mercadoria],0),1),"")</f>
        <v>42187</v>
      </c>
      <c r="D5" s="18">
        <v>15</v>
      </c>
      <c r="E5">
        <f>SUMIF(Tabela2[Mercadoria],Tabela1[[#This Row],[Produto]],Tabela2[Quantidade])</f>
        <v>150</v>
      </c>
      <c r="G5">
        <f>Tabela1[[#This Row],[Quantidade Inicial]]+Tabela1[[#This Row],[Quantidade Comprada]]-Tabela1[[#This Row],[Quantidade Vendida]]</f>
        <v>165</v>
      </c>
      <c r="H5" t="str">
        <f>IF(Tabela1[[#This Row],[Quantidade Atual]]&lt;50,IF(Tabela1[[#This Row],[Quantidade Atual]]&lt;21,"Comprar","Atenção"),"Ok")</f>
        <v>Ok</v>
      </c>
    </row>
    <row r="6" spans="2:8" x14ac:dyDescent="0.25">
      <c r="B6" t="s">
        <v>39</v>
      </c>
      <c r="C6" s="14">
        <f>IFERROR(INDEX(Tabela2[],MATCH(Tabela1[[#This Row],[Produto]],Tabela2[Mercadoria],0),1),"")</f>
        <v>42188</v>
      </c>
      <c r="D6" s="18">
        <v>10</v>
      </c>
      <c r="E6">
        <f>SUMIF(Tabela2[Mercadoria],Tabela1[[#This Row],[Produto]],Tabela2[Quantidade])</f>
        <v>50</v>
      </c>
      <c r="G6">
        <f>Tabela1[[#This Row],[Quantidade Inicial]]+Tabela1[[#This Row],[Quantidade Comprada]]-Tabela1[[#This Row],[Quantidade Vendida]]</f>
        <v>60</v>
      </c>
      <c r="H6" t="str">
        <f>IF(Tabela1[[#This Row],[Quantidade Atual]]&lt;50,IF(Tabela1[[#This Row],[Quantidade Atual]]&lt;21,"Comprar","Atenção"),"Ok")</f>
        <v>Ok</v>
      </c>
    </row>
    <row r="7" spans="2:8" x14ac:dyDescent="0.25">
      <c r="B7" t="s">
        <v>27</v>
      </c>
      <c r="C7" s="14">
        <f>IFERROR(INDEX(Tabela2[],MATCH(Tabela1[[#This Row],[Produto]],Tabela2[Mercadoria],0),1),"")</f>
        <v>42189</v>
      </c>
      <c r="D7" s="18">
        <v>0</v>
      </c>
      <c r="E7">
        <f>SUMIF(Tabela2[Mercadoria],Tabela1[[#This Row],[Produto]],Tabela2[Quantidade])</f>
        <v>450</v>
      </c>
      <c r="G7">
        <f>Tabela1[[#This Row],[Quantidade Inicial]]+Tabela1[[#This Row],[Quantidade Comprada]]-Tabela1[[#This Row],[Quantidade Vendida]]</f>
        <v>450</v>
      </c>
      <c r="H7" t="str">
        <f>IF(Tabela1[[#This Row],[Quantidade Atual]]&lt;50,IF(Tabela1[[#This Row],[Quantidade Atual]]&lt;21,"Comprar","Atenção"),"Ok")</f>
        <v>Ok</v>
      </c>
    </row>
    <row r="8" spans="2:8" x14ac:dyDescent="0.25">
      <c r="B8" t="s">
        <v>44</v>
      </c>
      <c r="C8" s="14">
        <f>IFERROR(INDEX(Tabela2[],MATCH(Tabela1[[#This Row],[Produto]],Tabela2[Mercadoria],0),1),"")</f>
        <v>42188</v>
      </c>
      <c r="D8" s="18">
        <v>0</v>
      </c>
      <c r="E8">
        <f>SUMIF(Tabela2[Mercadoria],Tabela1[[#This Row],[Produto]],Tabela2[Quantidade])</f>
        <v>100</v>
      </c>
      <c r="G8">
        <f>Tabela1[[#This Row],[Quantidade Inicial]]+Tabela1[[#This Row],[Quantidade Comprada]]-Tabela1[[#This Row],[Quantidade Vendida]]</f>
        <v>100</v>
      </c>
      <c r="H8" t="str">
        <f>IF(Tabela1[[#This Row],[Quantidade Atual]]&lt;50,IF(Tabela1[[#This Row],[Quantidade Atual]]&lt;21,"Comprar","Atenção"),"Ok")</f>
        <v>Ok</v>
      </c>
    </row>
    <row r="9" spans="2:8" x14ac:dyDescent="0.25">
      <c r="B9" t="s">
        <v>47</v>
      </c>
      <c r="C9" s="14" t="str">
        <f>IFERROR(INDEX(Tabela2[],MATCH(Tabela1[[#This Row],[Produto]],Tabela2[Mercadoria],0),1),"")</f>
        <v/>
      </c>
      <c r="D9" s="18">
        <v>150</v>
      </c>
      <c r="E9">
        <f>SUMIF(Tabela2[Mercadoria],Tabela1[[#This Row],[Produto]],Tabela2[Quantidade])</f>
        <v>0</v>
      </c>
      <c r="G9">
        <f>Tabela1[[#This Row],[Quantidade Inicial]]+Tabela1[[#This Row],[Quantidade Comprada]]-Tabela1[[#This Row],[Quantidade Vendida]]</f>
        <v>150</v>
      </c>
      <c r="H9" t="str">
        <f>IF(Tabela1[[#This Row],[Quantidade Atual]]&lt;50,IF(Tabela1[[#This Row],[Quantidade Atual]]&lt;21,"Comprar","Atenção"),"Ok")</f>
        <v>Ok</v>
      </c>
    </row>
    <row r="10" spans="2:8" x14ac:dyDescent="0.25">
      <c r="B10" t="s">
        <v>43</v>
      </c>
      <c r="C10" s="14" t="str">
        <f>IFERROR(INDEX(Tabela2[],MATCH(Tabela1[[#This Row],[Produto]],Tabela2[Mercadoria],0),1),"")</f>
        <v/>
      </c>
      <c r="D10" s="18">
        <v>15</v>
      </c>
      <c r="E10">
        <f>SUMIF(Tabela2[Mercadoria],Tabela1[[#This Row],[Produto]],Tabela2[Quantidade])</f>
        <v>0</v>
      </c>
      <c r="G10">
        <f>Tabela1[[#This Row],[Quantidade Inicial]]+Tabela1[[#This Row],[Quantidade Comprada]]-Tabela1[[#This Row],[Quantidade Vendida]]</f>
        <v>15</v>
      </c>
      <c r="H10" t="str">
        <f>IF(Tabela1[[#This Row],[Quantidade Atual]]&lt;50,IF(Tabela1[[#This Row],[Quantidade Atual]]&lt;21,"Comprar","Atenção"),"Ok")</f>
        <v>Comprar</v>
      </c>
    </row>
    <row r="11" spans="2:8" x14ac:dyDescent="0.25">
      <c r="B11" t="s">
        <v>31</v>
      </c>
      <c r="C11" s="14">
        <f>IFERROR(INDEX(Tabela2[],MATCH(Tabela1[[#This Row],[Produto]],Tabela2[Mercadoria],0),1),"")</f>
        <v>42187</v>
      </c>
      <c r="D11" s="18">
        <v>25</v>
      </c>
      <c r="E11">
        <f>SUMIF(Tabela2[Mercadoria],Tabela1[[#This Row],[Produto]],Tabela2[Quantidade])</f>
        <v>150</v>
      </c>
      <c r="G11">
        <f>Tabela1[[#This Row],[Quantidade Inicial]]+Tabela1[[#This Row],[Quantidade Comprada]]-Tabela1[[#This Row],[Quantidade Vendida]]</f>
        <v>175</v>
      </c>
      <c r="H11" t="str">
        <f>IF(Tabela1[[#This Row],[Quantidade Atual]]&lt;50,IF(Tabela1[[#This Row],[Quantidade Atual]]&lt;21,"Comprar","Atenção"),"Ok")</f>
        <v>Ok</v>
      </c>
    </row>
    <row r="12" spans="2:8" x14ac:dyDescent="0.25">
      <c r="B12" t="s">
        <v>37</v>
      </c>
      <c r="C12" s="14">
        <f>IFERROR(INDEX(Tabela2[],MATCH(Tabela1[[#This Row],[Produto]],Tabela2[Mercadoria],0),1),"")</f>
        <v>42187</v>
      </c>
      <c r="D12" s="18">
        <v>0</v>
      </c>
      <c r="E12">
        <f>SUMIF(Tabela2[Mercadoria],Tabela1[[#This Row],[Produto]],Tabela2[Quantidade])</f>
        <v>150</v>
      </c>
      <c r="G12">
        <f>Tabela1[[#This Row],[Quantidade Inicial]]+Tabela1[[#This Row],[Quantidade Comprada]]-Tabela1[[#This Row],[Quantidade Vendida]]</f>
        <v>150</v>
      </c>
      <c r="H12" t="str">
        <f>IF(Tabela1[[#This Row],[Quantidade Atual]]&lt;50,IF(Tabela1[[#This Row],[Quantidade Atual]]&lt;21,"Comprar","Atenção"),"Ok")</f>
        <v>Ok</v>
      </c>
    </row>
    <row r="13" spans="2:8" x14ac:dyDescent="0.25">
      <c r="B13" t="s">
        <v>40</v>
      </c>
      <c r="C13" s="14">
        <f>IFERROR(INDEX(Tabela2[],MATCH(Tabela1[[#This Row],[Produto]],Tabela2[Mercadoria],0),1),"")</f>
        <v>42189</v>
      </c>
      <c r="D13" s="18">
        <v>0</v>
      </c>
      <c r="E13">
        <f>SUMIF(Tabela2[Mercadoria],Tabela1[[#This Row],[Produto]],Tabela2[Quantidade])</f>
        <v>300</v>
      </c>
      <c r="G13">
        <f>Tabela1[[#This Row],[Quantidade Inicial]]+Tabela1[[#This Row],[Quantidade Comprada]]-Tabela1[[#This Row],[Quantidade Vendida]]</f>
        <v>300</v>
      </c>
      <c r="H13" t="str">
        <f>IF(Tabela1[[#This Row],[Quantidade Atual]]&lt;50,IF(Tabela1[[#This Row],[Quantidade Atual]]&lt;21,"Comprar","Atenção"),"Ok")</f>
        <v>Ok</v>
      </c>
    </row>
    <row r="14" spans="2:8" x14ac:dyDescent="0.25">
      <c r="B14" t="s">
        <v>45</v>
      </c>
      <c r="C14" s="14">
        <f>IFERROR(INDEX(Tabela2[],MATCH(Tabela1[[#This Row],[Produto]],Tabela2[Mercadoria],0),1),"")</f>
        <v>42188</v>
      </c>
      <c r="D14" s="18">
        <v>30</v>
      </c>
      <c r="E14">
        <f>SUMIF(Tabela2[Mercadoria],Tabela1[[#This Row],[Produto]],Tabela2[Quantidade])</f>
        <v>100</v>
      </c>
      <c r="G14">
        <f>Tabela1[[#This Row],[Quantidade Inicial]]+Tabela1[[#This Row],[Quantidade Comprada]]-Tabela1[[#This Row],[Quantidade Vendida]]</f>
        <v>130</v>
      </c>
      <c r="H14" t="str">
        <f>IF(Tabela1[[#This Row],[Quantidade Atual]]&lt;50,IF(Tabela1[[#This Row],[Quantidade Atual]]&lt;21,"Comprar","Atenção"),"Ok")</f>
        <v>Ok</v>
      </c>
    </row>
    <row r="15" spans="2:8" x14ac:dyDescent="0.25">
      <c r="B15" t="s">
        <v>46</v>
      </c>
      <c r="C15" s="14">
        <f>IFERROR(INDEX(Tabela2[],MATCH(Tabela1[[#This Row],[Produto]],Tabela2[Mercadoria],0),1),"")</f>
        <v>42188</v>
      </c>
      <c r="D15" s="18">
        <v>0</v>
      </c>
      <c r="E15">
        <f>SUMIF(Tabela2[Mercadoria],Tabela1[[#This Row],[Produto]],Tabela2[Quantidade])</f>
        <v>100</v>
      </c>
      <c r="G15">
        <f>Tabela1[[#This Row],[Quantidade Inicial]]+Tabela1[[#This Row],[Quantidade Comprada]]-Tabela1[[#This Row],[Quantidade Vendida]]</f>
        <v>100</v>
      </c>
      <c r="H15" t="str">
        <f>IF(Tabela1[[#This Row],[Quantidade Atual]]&lt;50,IF(Tabela1[[#This Row],[Quantidade Atual]]&lt;21,"Comprar","Atenção"),"Ok")</f>
        <v>Ok</v>
      </c>
    </row>
    <row r="16" spans="2:8" x14ac:dyDescent="0.25">
      <c r="B16" t="s">
        <v>42</v>
      </c>
      <c r="C16" s="14">
        <f>IFERROR(INDEX(Tabela2[],MATCH(Tabela1[[#This Row],[Produto]],Tabela2[Mercadoria],0),1),"")</f>
        <v>42190</v>
      </c>
      <c r="D16" s="18">
        <v>0</v>
      </c>
      <c r="E16">
        <f>SUMIF(Tabela2[Mercadoria],Tabela1[[#This Row],[Produto]],Tabela2[Quantidade])</f>
        <v>150</v>
      </c>
      <c r="G16">
        <f>Tabela1[[#This Row],[Quantidade Inicial]]+Tabela1[[#This Row],[Quantidade Comprada]]-Tabela1[[#This Row],[Quantidade Vendida]]</f>
        <v>150</v>
      </c>
      <c r="H16" t="str">
        <f>IF(Tabela1[[#This Row],[Quantidade Atual]]&lt;50,IF(Tabela1[[#This Row],[Quantidade Atual]]&lt;21,"Comprar","Atenção"),"Ok")</f>
        <v>Ok</v>
      </c>
    </row>
    <row r="17" spans="2:8" x14ac:dyDescent="0.25">
      <c r="B17" t="s">
        <v>28</v>
      </c>
      <c r="C17" s="14">
        <f>IFERROR(INDEX(Tabela2[],MATCH(Tabela1[[#This Row],[Produto]],Tabela2[Mercadoria],0),1),"")</f>
        <v>42190</v>
      </c>
      <c r="D17" s="18">
        <v>0</v>
      </c>
      <c r="E17">
        <f>SUMIF(Tabela2[Mercadoria],Tabela1[[#This Row],[Produto]],Tabela2[Quantidade])</f>
        <v>570</v>
      </c>
      <c r="G17">
        <f>Tabela1[[#This Row],[Quantidade Inicial]]+Tabela1[[#This Row],[Quantidade Comprada]]-Tabela1[[#This Row],[Quantidade Vendida]]</f>
        <v>570</v>
      </c>
      <c r="H17" t="str">
        <f>IF(Tabela1[[#This Row],[Quantidade Atual]]&lt;50,IF(Tabela1[[#This Row],[Quantidade Atual]]&lt;21,"Comprar","Atenção"),"Ok")</f>
        <v>Ok</v>
      </c>
    </row>
    <row r="18" spans="2:8" x14ac:dyDescent="0.25">
      <c r="B18" t="s">
        <v>32</v>
      </c>
      <c r="C18" s="14">
        <f>IFERROR(INDEX(Tabela2[],MATCH(Tabela1[[#This Row],[Produto]],Tabela2[Mercadoria],0),1),"")</f>
        <v>42188</v>
      </c>
      <c r="D18" s="18">
        <v>0</v>
      </c>
      <c r="E18">
        <f>SUMIF(Tabela2[Mercadoria],Tabela1[[#This Row],[Produto]],Tabela2[Quantidade])</f>
        <v>110</v>
      </c>
      <c r="G18">
        <f>Tabela1[[#This Row],[Quantidade Inicial]]+Tabela1[[#This Row],[Quantidade Comprada]]-Tabela1[[#This Row],[Quantidade Vendida]]</f>
        <v>110</v>
      </c>
      <c r="H18" t="str">
        <f>IF(Tabela1[[#This Row],[Quantidade Atual]]&lt;50,IF(Tabela1[[#This Row],[Quantidade Atual]]&lt;21,"Comprar","Atenção"),"Ok")</f>
        <v>Ok</v>
      </c>
    </row>
    <row r="19" spans="2:8" x14ac:dyDescent="0.25">
      <c r="B19" t="s">
        <v>76</v>
      </c>
      <c r="C19" s="14" t="str">
        <f>IFERROR(INDEX(Tabela2[],MATCH(Tabela1[[#This Row],[Produto]],Tabela2[Mercadoria],0),1),"")</f>
        <v/>
      </c>
      <c r="D19" s="18">
        <v>39</v>
      </c>
      <c r="E19">
        <f>SUMIF(Tabela2[Mercadoria],Tabela1[[#This Row],[Produto]],Tabela2[Quantidade])</f>
        <v>0</v>
      </c>
      <c r="G19">
        <f>Tabela1[[#This Row],[Quantidade Inicial]]+Tabela1[[#This Row],[Quantidade Comprada]]-Tabela1[[#This Row],[Quantidade Vendida]]</f>
        <v>39</v>
      </c>
      <c r="H19" t="str">
        <f>IF(Tabela1[[#This Row],[Quantidade Atual]]&lt;50,IF(Tabela1[[#This Row],[Quantidade Atual]]&lt;21,"Comprar","Atenção"),"Ok")</f>
        <v>Atenção</v>
      </c>
    </row>
    <row r="20" spans="2:8" x14ac:dyDescent="0.25">
      <c r="B20" t="s">
        <v>81</v>
      </c>
      <c r="C20" s="14">
        <f>IFERROR(INDEX(Tabela2[],MATCH(Tabela1[[#This Row],[Produto]],Tabela2[Mercadoria],0),1),"")</f>
        <v>42188</v>
      </c>
      <c r="D20" s="18">
        <v>0</v>
      </c>
      <c r="E20">
        <f>SUMIF(Tabela2[Mercadoria],Tabela1[[#This Row],[Produto]],Tabela2[Quantidade])</f>
        <v>300</v>
      </c>
      <c r="G20">
        <f>Tabela1[[#This Row],[Quantidade Inicial]]+Tabela1[[#This Row],[Quantidade Comprada]]-Tabela1[[#This Row],[Quantidade Vendida]]</f>
        <v>300</v>
      </c>
      <c r="H20" t="str">
        <f>IF(Tabela1[[#This Row],[Quantidade Atual]]&lt;50,IF(Tabela1[[#This Row],[Quantidade Atual]]&lt;21,"Comprar","Atenção"),"Ok")</f>
        <v>Ok</v>
      </c>
    </row>
    <row r="21" spans="2:8" x14ac:dyDescent="0.25">
      <c r="B21" t="s">
        <v>33</v>
      </c>
      <c r="C21" s="14">
        <f>IFERROR(INDEX(Tabela2[],MATCH(Tabela1[[#This Row],[Produto]],Tabela2[Mercadoria],0),1),"")</f>
        <v>42188</v>
      </c>
      <c r="D21" s="18">
        <v>0</v>
      </c>
      <c r="E21">
        <f>SUMIF(Tabela2[Mercadoria],Tabela1[[#This Row],[Produto]],Tabela2[Quantidade])</f>
        <v>50</v>
      </c>
      <c r="G21">
        <f>Tabela1[[#This Row],[Quantidade Inicial]]+Tabela1[[#This Row],[Quantidade Comprada]]-Tabela1[[#This Row],[Quantidade Vendida]]</f>
        <v>50</v>
      </c>
      <c r="H21" t="str">
        <f>IF(Tabela1[[#This Row],[Quantidade Atual]]&lt;50,IF(Tabela1[[#This Row],[Quantidade Atual]]&lt;21,"Comprar","Atenção"),"Ok")</f>
        <v>Ok</v>
      </c>
    </row>
    <row r="22" spans="2:8" x14ac:dyDescent="0.25">
      <c r="B22" t="s">
        <v>34</v>
      </c>
      <c r="C22" s="14" t="str">
        <f>IFERROR(INDEX(Tabela2[],MATCH(Tabela1[[#This Row],[Produto]],Tabela2[Mercadoria],0),1),"")</f>
        <v/>
      </c>
      <c r="D22" s="18">
        <v>10</v>
      </c>
      <c r="E22">
        <f>SUMIF(Tabela2[Mercadoria],Tabela1[[#This Row],[Produto]],Tabela2[Quantidade])</f>
        <v>0</v>
      </c>
      <c r="G22">
        <f>Tabela1[[#This Row],[Quantidade Inicial]]+Tabela1[[#This Row],[Quantidade Comprada]]-Tabela1[[#This Row],[Quantidade Vendida]]</f>
        <v>10</v>
      </c>
      <c r="H22" t="str">
        <f>IF(Tabela1[[#This Row],[Quantidade Atual]]&lt;50,IF(Tabela1[[#This Row],[Quantidade Atual]]&lt;21,"Comprar","Atenção"),"Ok")</f>
        <v>Comprar</v>
      </c>
    </row>
    <row r="23" spans="2:8" x14ac:dyDescent="0.25">
      <c r="B23" t="s">
        <v>82</v>
      </c>
      <c r="C23" s="14" t="str">
        <f>IFERROR(INDEX(Tabela2[],MATCH(Tabela1[[#This Row],[Produto]],Tabela2[Mercadoria],0),1),"")</f>
        <v/>
      </c>
      <c r="D23" s="18">
        <v>100</v>
      </c>
      <c r="E23">
        <f>SUMIF(Tabela2[Mercadoria],Tabela1[[#This Row],[Produto]],Tabela2[Quantidade])</f>
        <v>0</v>
      </c>
      <c r="G23">
        <f>Tabela1[[#This Row],[Quantidade Inicial]]+Tabela1[[#This Row],[Quantidade Comprada]]-Tabela1[[#This Row],[Quantidade Vendida]]</f>
        <v>100</v>
      </c>
      <c r="H23" t="str">
        <f>IF(Tabela1[[#This Row],[Quantidade Atual]]&lt;50,IF(Tabela1[[#This Row],[Quantidade Atual]]&lt;21,"Comprar","Atenção"),"Ok")</f>
        <v>Ok</v>
      </c>
    </row>
    <row r="24" spans="2:8" x14ac:dyDescent="0.25">
      <c r="B24" t="s">
        <v>36</v>
      </c>
      <c r="C24" s="14">
        <f>IFERROR(INDEX(Tabela2[],MATCH(Tabela1[[#This Row],[Produto]],Tabela2[Mercadoria],0),1),"")</f>
        <v>42189</v>
      </c>
      <c r="D24" s="18">
        <v>0</v>
      </c>
      <c r="E24">
        <f>SUMIF(Tabela2[Mercadoria],Tabela1[[#This Row],[Produto]],Tabela2[Quantidade])</f>
        <v>200</v>
      </c>
      <c r="G24">
        <f>Tabela1[[#This Row],[Quantidade Inicial]]+Tabela1[[#This Row],[Quantidade Comprada]]-Tabela1[[#This Row],[Quantidade Vendida]]</f>
        <v>200</v>
      </c>
      <c r="H24" t="str">
        <f>IF(Tabela1[[#This Row],[Quantidade Atual]]&lt;50,IF(Tabela1[[#This Row],[Quantidade Atual]]&lt;21,"Comprar","Atenção"),"Ok")</f>
        <v>Ok</v>
      </c>
    </row>
    <row r="25" spans="2:8" x14ac:dyDescent="0.25">
      <c r="B25" t="s">
        <v>29</v>
      </c>
      <c r="C25" s="14" t="str">
        <f>IFERROR(INDEX(Tabela2[],MATCH(Tabela1[[#This Row],[Produto]],Tabela2[Mercadoria],0),1),"")</f>
        <v/>
      </c>
      <c r="D25" s="18">
        <v>30</v>
      </c>
      <c r="E25">
        <f>SUMIF(Tabela2[Mercadoria],Tabela1[[#This Row],[Produto]],Tabela2[Quantidade])</f>
        <v>0</v>
      </c>
      <c r="G25">
        <f>Tabela1[[#This Row],[Quantidade Inicial]]+Tabela1[[#This Row],[Quantidade Comprada]]-Tabela1[[#This Row],[Quantidade Vendida]]</f>
        <v>30</v>
      </c>
      <c r="H25" t="str">
        <f>IF(Tabela1[[#This Row],[Quantidade Atual]]&lt;50,IF(Tabela1[[#This Row],[Quantidade Atual]]&lt;21,"Comprar","Atenção"),"Ok")</f>
        <v>Atenção</v>
      </c>
    </row>
    <row r="26" spans="2:8" x14ac:dyDescent="0.25">
      <c r="B26" t="s">
        <v>38</v>
      </c>
      <c r="C26" s="14" t="str">
        <f>IFERROR(INDEX(Tabela2[],MATCH(Tabela1[[#This Row],[Produto]],Tabela2[Mercadoria],0),1),"")</f>
        <v/>
      </c>
      <c r="D26" s="18">
        <v>50</v>
      </c>
      <c r="E26">
        <f>SUMIF(Tabela2[Mercadoria],Tabela1[[#This Row],[Produto]],Tabela2[Quantidade])</f>
        <v>0</v>
      </c>
      <c r="G26">
        <f>Tabela1[[#This Row],[Quantidade Inicial]]+Tabela1[[#This Row],[Quantidade Comprada]]-Tabela1[[#This Row],[Quantidade Vendida]]</f>
        <v>50</v>
      </c>
      <c r="H26" t="str">
        <f>IF(Tabela1[[#This Row],[Quantidade Atual]]&lt;50,IF(Tabela1[[#This Row],[Quantidade Atual]]&lt;21,"Comprar","Atenção"),"Ok")</f>
        <v>Ok</v>
      </c>
    </row>
    <row r="27" spans="2:8" x14ac:dyDescent="0.25">
      <c r="B27" t="s">
        <v>35</v>
      </c>
      <c r="C27" s="14">
        <f>IFERROR(INDEX(Tabela2[],MATCH(Tabela1[[#This Row],[Produto]],Tabela2[Mercadoria],0),1),"")</f>
        <v>42187</v>
      </c>
      <c r="D27" s="18">
        <v>0</v>
      </c>
      <c r="E27">
        <f>SUMIF(Tabela2[Mercadoria],Tabela1[[#This Row],[Produto]],Tabela2[Quantidade])</f>
        <v>80</v>
      </c>
      <c r="G27">
        <f>Tabela1[[#This Row],[Quantidade Inicial]]+Tabela1[[#This Row],[Quantidade Comprada]]-Tabela1[[#This Row],[Quantidade Vendida]]</f>
        <v>80</v>
      </c>
      <c r="H27" t="str">
        <f>IF(Tabela1[[#This Row],[Quantidade Atual]]&lt;50,IF(Tabela1[[#This Row],[Quantidade Atual]]&lt;21,"Comprar","Atenção"),"Ok")</f>
        <v>Ok</v>
      </c>
    </row>
    <row r="28" spans="2:8" x14ac:dyDescent="0.25">
      <c r="B28" t="s">
        <v>41</v>
      </c>
      <c r="C28" s="14" t="str">
        <f>IFERROR(INDEX(Tabela2[],MATCH(Tabela1[[#This Row],[Produto]],Tabela2[Mercadoria],0),1),"")</f>
        <v/>
      </c>
      <c r="D28" s="18">
        <v>20</v>
      </c>
      <c r="E28">
        <f>SUMIF(Tabela2[Mercadoria],Tabela1[[#This Row],[Produto]],Tabela2[Quantidade])</f>
        <v>0</v>
      </c>
      <c r="G28">
        <f>Tabela1[[#This Row],[Quantidade Inicial]]+Tabela1[[#This Row],[Quantidade Comprada]]-Tabela1[[#This Row],[Quantidade Vendida]]</f>
        <v>20</v>
      </c>
      <c r="H28" t="str">
        <f>IF(Tabela1[[#This Row],[Quantidade Atual]]&lt;50,IF(Tabela1[[#This Row],[Quantidade Atual]]&lt;21,"Comprar","Atenção"),"Ok")</f>
        <v>Comprar</v>
      </c>
    </row>
  </sheetData>
  <conditionalFormatting sqref="H5:H28">
    <cfRule type="containsText" dxfId="5" priority="3" operator="containsText" text="Comprar">
      <formula>NOT(ISERROR(SEARCH("Comprar",H5)))</formula>
    </cfRule>
    <cfRule type="containsText" dxfId="4" priority="1" operator="containsText" text="Atenção">
      <formula>NOT(ISERROR(SEARCH("Atenção",H5)))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legacy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B12"/>
  <sheetViews>
    <sheetView workbookViewId="0"/>
  </sheetViews>
  <sheetFormatPr defaultRowHeight="15" x14ac:dyDescent="0.25"/>
  <sheetData>
    <row r="3" spans="2:2" x14ac:dyDescent="0.25">
      <c r="B3" t="s">
        <v>11</v>
      </c>
    </row>
    <row r="6" spans="2:2" x14ac:dyDescent="0.25">
      <c r="B6" t="s">
        <v>9</v>
      </c>
    </row>
    <row r="9" spans="2:2" x14ac:dyDescent="0.25">
      <c r="B9" t="s">
        <v>10</v>
      </c>
    </row>
    <row r="12" spans="2:2" x14ac:dyDescent="0.25">
      <c r="B12" t="s">
        <v>12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B5"/>
  <sheetViews>
    <sheetView workbookViewId="0"/>
  </sheetViews>
  <sheetFormatPr defaultRowHeight="15" x14ac:dyDescent="0.25"/>
  <sheetData>
    <row r="3" spans="2:2" x14ac:dyDescent="0.25">
      <c r="B3" t="s">
        <v>7</v>
      </c>
    </row>
    <row r="5" spans="2:2" x14ac:dyDescent="0.25">
      <c r="B5" t="s">
        <v>8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J6:P30"/>
  <sheetViews>
    <sheetView workbookViewId="0">
      <selection activeCell="J12" sqref="J12"/>
    </sheetView>
  </sheetViews>
  <sheetFormatPr defaultRowHeight="15" x14ac:dyDescent="0.25"/>
  <cols>
    <col min="13" max="13" width="15.7109375" bestFit="1" customWidth="1"/>
    <col min="14" max="14" width="24" bestFit="1" customWidth="1"/>
    <col min="15" max="15" width="22.85546875" bestFit="1" customWidth="1"/>
    <col min="16" max="16" width="8.42578125" bestFit="1" customWidth="1"/>
  </cols>
  <sheetData>
    <row r="6" spans="10:16" x14ac:dyDescent="0.25">
      <c r="J6">
        <f>INDEX(M7:P30,5,2)</f>
        <v>1.0900000000000001</v>
      </c>
      <c r="M6" s="8" t="s">
        <v>70</v>
      </c>
      <c r="N6" s="8" t="s">
        <v>71</v>
      </c>
      <c r="O6" s="8" t="s">
        <v>72</v>
      </c>
      <c r="P6" s="8" t="s">
        <v>65</v>
      </c>
    </row>
    <row r="7" spans="10:16" x14ac:dyDescent="0.25">
      <c r="M7" t="s">
        <v>30</v>
      </c>
      <c r="N7" s="7">
        <v>2.84</v>
      </c>
      <c r="O7" s="7">
        <v>2.99</v>
      </c>
      <c r="P7" t="s">
        <v>73</v>
      </c>
    </row>
    <row r="8" spans="10:16" x14ac:dyDescent="0.25">
      <c r="J8">
        <f>MATCH(M17,M7:M30,0)</f>
        <v>11</v>
      </c>
      <c r="M8" t="s">
        <v>39</v>
      </c>
      <c r="N8" s="7">
        <v>1.06</v>
      </c>
      <c r="O8" s="7">
        <v>1.1499999999999999</v>
      </c>
      <c r="P8" t="s">
        <v>74</v>
      </c>
    </row>
    <row r="9" spans="10:16" x14ac:dyDescent="0.25">
      <c r="M9" t="s">
        <v>27</v>
      </c>
      <c r="N9" s="7">
        <v>2.34</v>
      </c>
      <c r="O9" s="7">
        <v>2.4900000000000002</v>
      </c>
      <c r="P9" t="s">
        <v>75</v>
      </c>
    </row>
    <row r="10" spans="10:16" x14ac:dyDescent="0.25">
      <c r="J10">
        <f>MATCH(22.23,N7:N30,0)</f>
        <v>17</v>
      </c>
      <c r="M10" t="s">
        <v>44</v>
      </c>
      <c r="N10" s="7">
        <v>1.85</v>
      </c>
      <c r="O10" s="7">
        <v>1.99</v>
      </c>
      <c r="P10" t="s">
        <v>74</v>
      </c>
    </row>
    <row r="11" spans="10:16" x14ac:dyDescent="0.25">
      <c r="M11" t="s">
        <v>47</v>
      </c>
      <c r="N11" s="7">
        <v>1.0900000000000001</v>
      </c>
      <c r="O11" s="7">
        <v>1.1499999999999999</v>
      </c>
      <c r="P11" t="s">
        <v>74</v>
      </c>
    </row>
    <row r="12" spans="10:16" x14ac:dyDescent="0.25">
      <c r="J12" t="str" cm="1">
        <f t="array" ref="J12">INDEX(M7:P30,J10,1)</f>
        <v>Peixe</v>
      </c>
      <c r="M12" t="s">
        <v>43</v>
      </c>
      <c r="N12" s="7">
        <v>0.74</v>
      </c>
      <c r="O12" s="7">
        <v>0.79</v>
      </c>
      <c r="P12" t="s">
        <v>74</v>
      </c>
    </row>
    <row r="13" spans="10:16" x14ac:dyDescent="0.25">
      <c r="M13" t="s">
        <v>31</v>
      </c>
      <c r="N13" s="7">
        <v>14.47</v>
      </c>
      <c r="O13" s="7">
        <v>15.9</v>
      </c>
      <c r="P13" t="s">
        <v>75</v>
      </c>
    </row>
    <row r="14" spans="10:16" x14ac:dyDescent="0.25">
      <c r="M14" t="s">
        <v>37</v>
      </c>
      <c r="N14" s="7">
        <v>3.63</v>
      </c>
      <c r="O14" s="7">
        <v>3.99</v>
      </c>
      <c r="P14" t="s">
        <v>75</v>
      </c>
    </row>
    <row r="15" spans="10:16" x14ac:dyDescent="0.25">
      <c r="M15" t="s">
        <v>40</v>
      </c>
      <c r="N15" s="7">
        <v>2.1</v>
      </c>
      <c r="O15" s="7">
        <v>2.19</v>
      </c>
      <c r="P15" t="s">
        <v>78</v>
      </c>
    </row>
    <row r="16" spans="10:16" x14ac:dyDescent="0.25">
      <c r="M16" t="s">
        <v>45</v>
      </c>
      <c r="N16" s="7">
        <v>4.54</v>
      </c>
      <c r="O16" s="7">
        <v>4.99</v>
      </c>
      <c r="P16" t="s">
        <v>79</v>
      </c>
    </row>
    <row r="17" spans="13:16" x14ac:dyDescent="0.25">
      <c r="M17" t="s">
        <v>46</v>
      </c>
      <c r="N17" s="7">
        <v>6.35</v>
      </c>
      <c r="O17" s="7">
        <v>6.75</v>
      </c>
      <c r="P17" t="s">
        <v>80</v>
      </c>
    </row>
    <row r="18" spans="13:16" x14ac:dyDescent="0.25">
      <c r="M18" t="s">
        <v>42</v>
      </c>
      <c r="N18" s="7">
        <v>2.37</v>
      </c>
      <c r="O18" s="7">
        <v>2.6</v>
      </c>
      <c r="P18" t="s">
        <v>73</v>
      </c>
    </row>
    <row r="19" spans="13:16" x14ac:dyDescent="0.25">
      <c r="M19" t="s">
        <v>28</v>
      </c>
      <c r="N19" s="7">
        <v>4.07</v>
      </c>
      <c r="O19" s="7">
        <v>4.28</v>
      </c>
      <c r="P19" t="s">
        <v>75</v>
      </c>
    </row>
    <row r="20" spans="13:16" x14ac:dyDescent="0.25">
      <c r="M20" t="s">
        <v>32</v>
      </c>
      <c r="N20" s="7">
        <v>6.42</v>
      </c>
      <c r="O20" s="7">
        <v>6.98</v>
      </c>
      <c r="P20" t="s">
        <v>75</v>
      </c>
    </row>
    <row r="21" spans="13:16" x14ac:dyDescent="0.25">
      <c r="M21" t="s">
        <v>76</v>
      </c>
      <c r="N21" s="7">
        <v>1.37</v>
      </c>
      <c r="O21" s="7">
        <v>1.49</v>
      </c>
      <c r="P21" t="s">
        <v>77</v>
      </c>
    </row>
    <row r="22" spans="13:16" x14ac:dyDescent="0.25">
      <c r="M22" t="s">
        <v>81</v>
      </c>
      <c r="N22" s="7">
        <v>2.63</v>
      </c>
      <c r="O22" s="7">
        <v>2.89</v>
      </c>
      <c r="P22" t="s">
        <v>73</v>
      </c>
    </row>
    <row r="23" spans="13:16" x14ac:dyDescent="0.25">
      <c r="M23" t="s">
        <v>33</v>
      </c>
      <c r="N23" s="7">
        <v>22.23</v>
      </c>
      <c r="O23" s="7">
        <v>23.9</v>
      </c>
      <c r="P23" t="s">
        <v>75</v>
      </c>
    </row>
    <row r="24" spans="13:16" x14ac:dyDescent="0.25">
      <c r="M24" t="s">
        <v>34</v>
      </c>
      <c r="N24" s="7">
        <v>23.83</v>
      </c>
      <c r="O24" s="7">
        <v>25.9</v>
      </c>
      <c r="P24" t="s">
        <v>75</v>
      </c>
    </row>
    <row r="25" spans="13:16" x14ac:dyDescent="0.25">
      <c r="M25" t="s">
        <v>82</v>
      </c>
      <c r="N25" s="7">
        <v>2.17</v>
      </c>
      <c r="O25" s="7">
        <v>2.39</v>
      </c>
      <c r="P25" t="s">
        <v>77</v>
      </c>
    </row>
    <row r="26" spans="13:16" x14ac:dyDescent="0.25">
      <c r="M26" t="s">
        <v>36</v>
      </c>
      <c r="N26" s="7">
        <v>3.21</v>
      </c>
      <c r="O26" s="7">
        <v>3.45</v>
      </c>
      <c r="P26" t="s">
        <v>77</v>
      </c>
    </row>
    <row r="27" spans="13:16" x14ac:dyDescent="0.25">
      <c r="M27" t="s">
        <v>29</v>
      </c>
      <c r="N27" s="7">
        <v>5.35</v>
      </c>
      <c r="O27" s="7">
        <v>5.82</v>
      </c>
      <c r="P27" t="s">
        <v>75</v>
      </c>
    </row>
    <row r="28" spans="13:16" x14ac:dyDescent="0.25">
      <c r="M28" t="s">
        <v>38</v>
      </c>
      <c r="N28" s="7">
        <v>9.1</v>
      </c>
      <c r="O28" s="7">
        <v>9.58</v>
      </c>
      <c r="P28" t="s">
        <v>75</v>
      </c>
    </row>
    <row r="29" spans="13:16" x14ac:dyDescent="0.25">
      <c r="M29" t="s">
        <v>35</v>
      </c>
      <c r="N29" s="7">
        <v>26.01</v>
      </c>
      <c r="O29" s="7">
        <v>29.9</v>
      </c>
      <c r="P29" t="s">
        <v>83</v>
      </c>
    </row>
    <row r="30" spans="13:16" x14ac:dyDescent="0.25">
      <c r="M30" t="s">
        <v>41</v>
      </c>
      <c r="N30" s="7">
        <v>46.67</v>
      </c>
      <c r="O30" s="7">
        <v>54.9</v>
      </c>
      <c r="P30" t="s">
        <v>83</v>
      </c>
    </row>
  </sheetData>
  <autoFilter ref="M6:P6" xr:uid="{00000000-0001-0000-0700-000000000000}">
    <sortState xmlns:xlrd2="http://schemas.microsoft.com/office/spreadsheetml/2017/richdata2" ref="M7:P30">
      <sortCondition ref="M6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Menu</vt:lpstr>
      <vt:lpstr>Despesas</vt:lpstr>
      <vt:lpstr>Controle Mercadorias</vt:lpstr>
      <vt:lpstr>Investimentos</vt:lpstr>
      <vt:lpstr>Controle de Estoque</vt:lpstr>
      <vt:lpstr>Resultados</vt:lpstr>
      <vt:lpstr>Vendas</vt:lpstr>
      <vt:lpstr>cálculos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Paulo de Lira</dc:creator>
  <cp:lastModifiedBy>Lucas Barbosa</cp:lastModifiedBy>
  <dcterms:created xsi:type="dcterms:W3CDTF">2015-06-24T19:21:22Z</dcterms:created>
  <dcterms:modified xsi:type="dcterms:W3CDTF">2025-06-07T19:52:35Z</dcterms:modified>
</cp:coreProperties>
</file>