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ml.chartshapes+xml"/>
  <Override PartName="/xl/charts/chart8.xml" ContentType="application/vnd.openxmlformats-officedocument.drawingml.chart+xml"/>
  <Override PartName="/xl/drawings/drawing3.xml" ContentType="application/vnd.openxmlformats-officedocument.drawingml.chartshapes+xml"/>
  <Override PartName="/xl/charts/chart9.xml" ContentType="application/vnd.openxmlformats-officedocument.drawingml.chart+xml"/>
  <Override PartName="/xl/drawings/drawing4.xml" ContentType="application/vnd.openxmlformats-officedocument.drawingml.chartshapes+xml"/>
  <Override PartName="/xl/charts/chart10.xml" ContentType="application/vnd.openxmlformats-officedocument.drawingml.chart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ml.chartshapes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harts/chart18.xml" ContentType="application/vnd.openxmlformats-officedocument.drawingml.chart+xml"/>
  <Override PartName="/xl/drawings/drawing10.xml" ContentType="application/vnd.openxmlformats-officedocument.drawingml.chartshapes+xml"/>
  <Override PartName="/xl/charts/chart19.xml" ContentType="application/vnd.openxmlformats-officedocument.drawingml.chart+xml"/>
  <Override PartName="/xl/drawings/drawing11.xml" ContentType="application/vnd.openxmlformats-officedocument.drawingml.chartshapes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12.xml" ContentType="application/vnd.openxmlformats-officedocument.drawing+xml"/>
  <Override PartName="/xl/comments1.xml" ContentType="application/vnd.openxmlformats-officedocument.spreadsheetml.comments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drawings/drawing13.xml" ContentType="application/vnd.openxmlformats-officedocument.drawingml.chartshapes+xml"/>
  <Override PartName="/xl/charts/chart26.xml" ContentType="application/vnd.openxmlformats-officedocument.drawingml.chart+xml"/>
  <Override PartName="/xl/comments2.xml" ContentType="application/vnd.openxmlformats-officedocument.spreadsheetml.comments+xml"/>
  <Override PartName="/xl/drawings/drawing14.xml" ContentType="application/vnd.openxmlformats-officedocument.drawing+xml"/>
  <Override PartName="/xl/comments3.xml" ContentType="application/vnd.openxmlformats-officedocument.spreadsheetml.comments+xml"/>
  <Override PartName="/xl/charts/chart27.xml" ContentType="application/vnd.openxmlformats-officedocument.drawingml.chart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28.xml" ContentType="application/vnd.openxmlformats-officedocument.drawingml.chart+xml"/>
  <Override PartName="/xl/drawings/drawing17.xml" ContentType="application/vnd.openxmlformats-officedocument.drawingml.chartshapes+xml"/>
  <Override PartName="/xl/charts/chart29.xml" ContentType="application/vnd.openxmlformats-officedocument.drawingml.chart+xml"/>
  <Override PartName="/xl/drawings/drawing18.xml" ContentType="application/vnd.openxmlformats-officedocument.drawingml.chartshapes+xml"/>
  <Override PartName="/xl/drawings/drawing19.xml" ContentType="application/vnd.openxmlformats-officedocument.drawing+xml"/>
  <Override PartName="/xl/charts/chart30.xml" ContentType="application/vnd.openxmlformats-officedocument.drawingml.chart+xml"/>
  <Override PartName="/xl/drawings/drawing20.xml" ContentType="application/vnd.openxmlformats-officedocument.drawingml.chartshapes+xml"/>
  <Override PartName="/xl/charts/chart31.xml" ContentType="application/vnd.openxmlformats-officedocument.drawingml.chart+xml"/>
  <Override PartName="/xl/drawings/drawing21.xml" ContentType="application/vnd.openxmlformats-officedocument.drawingml.chartshapes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harts/chart32.xml" ContentType="application/vnd.openxmlformats-officedocument.drawingml.chart+xml"/>
  <Override PartName="/xl/drawings/drawing25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maximilianbredow/Downloads/OneDrive-2018-02-23/"/>
    </mc:Choice>
  </mc:AlternateContent>
  <xr:revisionPtr revIDLastSave="0" documentId="13_ncr:1_{745424EA-9334-8240-AA64-38A678174C28}" xr6:coauthVersionLast="28" xr6:coauthVersionMax="28" xr10:uidLastSave="{00000000-0000-0000-0000-000000000000}"/>
  <bookViews>
    <workbookView xWindow="0" yWindow="440" windowWidth="28800" windowHeight="16600" xr2:uid="{00000000-000D-0000-FFFF-FFFF00000000}"/>
  </bookViews>
  <sheets>
    <sheet name="Sensitivitätsanalyse" sheetId="50" r:id="rId1"/>
    <sheet name="Eingabe und Ausgabe" sheetId="32" r:id="rId2"/>
    <sheet name="Cost Allocation" sheetId="31" r:id="rId3"/>
    <sheet name="Cash Flows" sheetId="29" r:id="rId4"/>
    <sheet name="Ergebnis" sheetId="39" r:id="rId5"/>
    <sheet name="NR Fahrzeug&amp;Fahrverhalten" sheetId="49" r:id="rId6"/>
    <sheet name="NR Kraftstoffpreisprognosen" sheetId="44" r:id="rId7"/>
    <sheet name="NR Strommix-Prognose" sheetId="45" r:id="rId8"/>
    <sheet name="NR Wertverlust" sheetId="41" r:id="rId9"/>
    <sheet name="NR Kfz-Steuer" sheetId="35" r:id="rId10"/>
    <sheet name="NR Batterieleasing" sheetId="42" r:id="rId11"/>
    <sheet name="Quellen" sheetId="4" r:id="rId12"/>
    <sheet name="Umrechnungswerte" sheetId="48" r:id="rId13"/>
    <sheet name="Archiv" sheetId="15" r:id="rId14"/>
    <sheet name="BSP TCO" sheetId="52" r:id="rId15"/>
    <sheet name="Benzinpreise Historie" sheetId="53" r:id="rId16"/>
    <sheet name="Tabelle4" sheetId="54" r:id="rId17"/>
    <sheet name="Tabelle1" sheetId="55" r:id="rId18"/>
    <sheet name="Verbraucherpreis Strom 2012" sheetId="58" r:id="rId19"/>
    <sheet name="Tabelle2" sheetId="61" r:id="rId20"/>
    <sheet name="Versicherung" sheetId="62" r:id="rId21"/>
    <sheet name="Strompreis" sheetId="63" r:id="rId22"/>
  </sheets>
  <definedNames>
    <definedName name="_xlnm._FilterDatabase" localSheetId="21" hidden="1">Strompreis!$A$6:$J$51</definedName>
    <definedName name="_ftn1" localSheetId="15">'Benzinpreise Historie'!$C$5</definedName>
    <definedName name="_ftnref1" localSheetId="15">'Benzinpreise Historie'!#REF!</definedName>
    <definedName name="BEV_Battery_leasing">OFFSET('Cash Flows'!$C$43,0,0,1,Sensitivitätsanalyse!$B$30)</definedName>
    <definedName name="BEV_Congestion_pricing">OFFSET('Cash Flows'!$C$51,0,0,1,Sensitivitätsanalyse!$B$30)</definedName>
    <definedName name="BEV_Cost_of_Electricity">OFFSET('Cash Flows'!$C$46,0,0,1,Sensitivitätsanalyse!$B$30)</definedName>
    <definedName name="BEV_Cost_of_Fuel">OFFSET('Cash Flows'!$C$45,0,0,1,Sensitivitätsanalyse!$B$30)</definedName>
    <definedName name="BEV_Insurance">OFFSET('Cash Flows'!$C$49,0,0,1,Sensitivitätsanalyse!$B$30)</definedName>
    <definedName name="BEV_Interest">OFFSET('Cash Flows'!$C$44,0,0,1,Sensitivitätsanalyse!$B$30)</definedName>
    <definedName name="BEV_Maintenance">OFFSET('Cash Flows'!$C$48,0,0,1,Sensitivitätsanalyse!$B$30)</definedName>
    <definedName name="BEV_Parking">OFFSET('Cash Flows'!$C$50,0,0,1,Sensitivitätsanalyse!$B$30)</definedName>
    <definedName name="BEV_Residual_value">OFFSET('Cash Flows'!$C$52,0,0,1,Sensitivitätsanalyse!$B$30)</definedName>
    <definedName name="BEV_Summe">OFFSET('Cash Flows'!$C$54,0,0,1,Sensitivitätsanalyse!$B$30)</definedName>
    <definedName name="BEV_Upfront_Cost">OFFSET('Cash Flows'!$C$42,0,0,1,Sensitivitätsanalyse!$B$30)</definedName>
    <definedName name="BEV_Vehicle_tax">OFFSET('Cash Flows'!$C$47,0,0,1,Sensitivitätsanalyse!$B$30)</definedName>
    <definedName name="CA_ICE_Names">OFFSET('Cost Allocation'!$A$3,0,0,COUNTA('Cost Allocation'!$B$3:$B$12),1)</definedName>
    <definedName name="CA_ICE_Values">OFFSET('Cost Allocation'!$B$3,0,0,COUNTA('Cost Allocation'!$B$3:$B$12),1)</definedName>
    <definedName name="ICE_Battery_leasing">OFFSET('Cash Flows'!$C$23,0,0,1,Sensitivitätsanalyse!$B$30)</definedName>
    <definedName name="ICE_Car_invest">OFFSET('Cash Flows'!$C$22,0,0,1,Sensitivitätsanalyse!$B$30)</definedName>
    <definedName name="ICE_Congestion_pricing">OFFSET('Cash Flows'!$C$31,0,0,1,Sensitivitätsanalyse!$B$30)</definedName>
    <definedName name="ICE_Cost_of_Electricity">OFFSET('Cash Flows'!$C$26,0,0,1,Sensitivitätsanalyse!$B$30)</definedName>
    <definedName name="ICE_Cost_of_Fuel">OFFSET('Cash Flows'!$C$25,0,0,1,Sensitivitätsanalyse!$B$30)</definedName>
    <definedName name="ICE_Insurance">OFFSET('Cash Flows'!$C$29,0,0,1,Sensitivitätsanalyse!$B$30)</definedName>
    <definedName name="ICE_Interest">OFFSET('Cash Flows'!$C$24,0,0,1,Sensitivitätsanalyse!$B$30)</definedName>
    <definedName name="ICE_Maintenance">OFFSET('Cash Flows'!$C$28,0,0,1,Sensitivitätsanalyse!$B$30)</definedName>
    <definedName name="ICE_Parking">OFFSET('Cash Flows'!$C$30,0,0,1,Sensitivitätsanalyse!$B$30)</definedName>
    <definedName name="ICE_Residual_Value">OFFSET('Cash Flows'!$C$32,0,0,1,Sensitivitätsanalyse!$B$30)</definedName>
    <definedName name="ICE_Summe">OFFSET('Cash Flows'!$C$34,0,0,1,Sensitivitätsanalyse!$B$30)</definedName>
    <definedName name="ICE_Vehicle_tax">OFFSET('Cash Flows'!$C$27,0,0,1,Sensitivitätsanalyse!$B$30)</definedName>
    <definedName name="Name">#REF!</definedName>
    <definedName name="solver_adj" localSheetId="0" hidden="1">Sensitivitätsanalyse!$B$30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Sensitivitätsanalyse!$B$30</definedName>
    <definedName name="solver_lhs2" localSheetId="0" hidden="1">Sensitivitätsanalyse!$B$30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Sensitivitätsanalyse!$J$93</definedName>
    <definedName name="solver_pre" localSheetId="0" hidden="1">0.01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Sensitivitätsanalyse!$B$28</definedName>
    <definedName name="solver_rlx" localSheetId="0" hidden="1">1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71027" calcMode="autoNoTable" iterate="1" iterateDelta="1"/>
</workbook>
</file>

<file path=xl/calcChain.xml><?xml version="1.0" encoding="utf-8"?>
<calcChain xmlns="http://schemas.openxmlformats.org/spreadsheetml/2006/main">
  <c r="P60" i="50" l="1"/>
  <c r="P61" i="50"/>
  <c r="P59" i="50"/>
  <c r="N27" i="50"/>
  <c r="N28" i="50"/>
  <c r="N29" i="50"/>
  <c r="N30" i="50"/>
  <c r="N31" i="50"/>
  <c r="N32" i="50"/>
  <c r="N26" i="50"/>
  <c r="S81" i="32" l="1"/>
  <c r="BP61" i="44"/>
  <c r="D4" i="63" l="1"/>
  <c r="H4" i="63"/>
  <c r="C4" i="63"/>
  <c r="D5" i="63"/>
  <c r="H5" i="63"/>
  <c r="C5" i="63"/>
  <c r="F51" i="63"/>
  <c r="E51" i="63"/>
  <c r="G51" i="63" s="1"/>
  <c r="F50" i="63"/>
  <c r="E50" i="63"/>
  <c r="F49" i="63"/>
  <c r="E49" i="63"/>
  <c r="G49" i="63" s="1"/>
  <c r="F48" i="63"/>
  <c r="E48" i="63"/>
  <c r="F47" i="63"/>
  <c r="E47" i="63"/>
  <c r="F46" i="63"/>
  <c r="E46" i="63"/>
  <c r="F45" i="63"/>
  <c r="E45" i="63"/>
  <c r="F44" i="63"/>
  <c r="E44" i="63"/>
  <c r="F43" i="63"/>
  <c r="E43" i="63"/>
  <c r="F42" i="63"/>
  <c r="E42" i="63"/>
  <c r="F41" i="63"/>
  <c r="E41" i="63"/>
  <c r="F40" i="63"/>
  <c r="E40" i="63"/>
  <c r="F39" i="63"/>
  <c r="E39" i="63"/>
  <c r="F38" i="63"/>
  <c r="E38" i="63"/>
  <c r="F37" i="63"/>
  <c r="E37" i="63"/>
  <c r="E24" i="63"/>
  <c r="E29" i="63"/>
  <c r="F29" i="63"/>
  <c r="E14" i="63"/>
  <c r="F14" i="63"/>
  <c r="E15" i="63"/>
  <c r="F15" i="63"/>
  <c r="E30" i="63"/>
  <c r="F30" i="63"/>
  <c r="E26" i="63"/>
  <c r="F26" i="63"/>
  <c r="E17" i="63"/>
  <c r="F17" i="63"/>
  <c r="E16" i="63"/>
  <c r="F16" i="63"/>
  <c r="E7" i="63"/>
  <c r="F7" i="63"/>
  <c r="E8" i="63"/>
  <c r="F8" i="63"/>
  <c r="E35" i="63"/>
  <c r="F35" i="63"/>
  <c r="E23" i="63"/>
  <c r="F23" i="63"/>
  <c r="E27" i="63"/>
  <c r="F27" i="63"/>
  <c r="E12" i="63"/>
  <c r="F12" i="63"/>
  <c r="E33" i="63"/>
  <c r="F33" i="63"/>
  <c r="E34" i="63"/>
  <c r="F34" i="63"/>
  <c r="E20" i="63"/>
  <c r="F20" i="63"/>
  <c r="E13" i="63"/>
  <c r="F13" i="63"/>
  <c r="E31" i="63"/>
  <c r="F31" i="63"/>
  <c r="E9" i="63"/>
  <c r="F9" i="63"/>
  <c r="E11" i="63"/>
  <c r="F11" i="63"/>
  <c r="E18" i="63"/>
  <c r="F18" i="63"/>
  <c r="E19" i="63"/>
  <c r="F19" i="63"/>
  <c r="E28" i="63"/>
  <c r="F28" i="63"/>
  <c r="E10" i="63"/>
  <c r="F10" i="63"/>
  <c r="E25" i="63"/>
  <c r="F25" i="63"/>
  <c r="E22" i="63"/>
  <c r="F22" i="63"/>
  <c r="E21" i="63"/>
  <c r="F21" i="63"/>
  <c r="E32" i="63"/>
  <c r="F32" i="63"/>
  <c r="E36" i="63"/>
  <c r="F36" i="63"/>
  <c r="F24" i="63"/>
  <c r="C2" i="35"/>
  <c r="K28" i="49"/>
  <c r="B13" i="62"/>
  <c r="A13" i="62"/>
  <c r="J28" i="49" s="1"/>
  <c r="AR61" i="44"/>
  <c r="AQ61" i="44"/>
  <c r="AQ37" i="44"/>
  <c r="AQ63" i="44" s="1"/>
  <c r="J13" i="49" s="1"/>
  <c r="C8" i="49" s="1"/>
  <c r="AU35" i="44"/>
  <c r="AX35" i="44"/>
  <c r="AT35" i="44" s="1"/>
  <c r="AY35" i="44"/>
  <c r="AV35" i="44" s="1"/>
  <c r="AX36" i="44"/>
  <c r="AY36" i="44"/>
  <c r="AX37" i="44"/>
  <c r="AY37" i="44"/>
  <c r="AX38" i="44"/>
  <c r="AY38" i="44"/>
  <c r="AY39" i="44"/>
  <c r="AX39" i="44"/>
  <c r="AX40" i="44"/>
  <c r="AT40" i="44" s="1"/>
  <c r="AY40" i="44"/>
  <c r="AV40" i="44" s="1"/>
  <c r="AX41" i="44"/>
  <c r="AY41" i="44"/>
  <c r="AX42" i="44"/>
  <c r="AY42" i="44"/>
  <c r="AX43" i="44"/>
  <c r="AY43" i="44"/>
  <c r="AY44" i="44"/>
  <c r="AX44" i="44"/>
  <c r="AX45" i="44"/>
  <c r="AT45" i="44" s="1"/>
  <c r="AY45" i="44"/>
  <c r="AV45" i="44" s="1"/>
  <c r="AV46" i="44" s="1"/>
  <c r="AX46" i="44"/>
  <c r="AY46" i="44"/>
  <c r="AX47" i="44"/>
  <c r="AY47" i="44"/>
  <c r="AX48" i="44"/>
  <c r="AY48" i="44"/>
  <c r="AX51" i="44"/>
  <c r="AX52" i="44"/>
  <c r="AX53" i="44"/>
  <c r="AX54" i="44"/>
  <c r="AX55" i="44"/>
  <c r="AT55" i="44" s="1"/>
  <c r="AX56" i="44"/>
  <c r="AX57" i="44"/>
  <c r="AX58" i="44"/>
  <c r="AX59" i="44"/>
  <c r="AX50" i="44"/>
  <c r="AT50" i="44" s="1"/>
  <c r="AX49" i="44"/>
  <c r="AY49" i="44"/>
  <c r="AY50" i="44"/>
  <c r="AV50" i="44" s="1"/>
  <c r="AY51" i="44"/>
  <c r="AY52" i="44"/>
  <c r="AY53" i="44"/>
  <c r="AY54" i="44"/>
  <c r="AY55" i="44"/>
  <c r="AV55" i="44" s="1"/>
  <c r="AY56" i="44"/>
  <c r="AY57" i="44"/>
  <c r="AY58" i="44"/>
  <c r="AY59" i="44"/>
  <c r="AW34" i="44"/>
  <c r="AW35" i="44"/>
  <c r="AU34" i="44"/>
  <c r="C13" i="62" l="1"/>
  <c r="AT56" i="44"/>
  <c r="AT57" i="44" s="1"/>
  <c r="AT58" i="44" s="1"/>
  <c r="AT59" i="44" s="1"/>
  <c r="AT41" i="44"/>
  <c r="AT36" i="44"/>
  <c r="AT37" i="44" s="1"/>
  <c r="AT38" i="44" s="1"/>
  <c r="AV56" i="44"/>
  <c r="AV57" i="44" s="1"/>
  <c r="AV58" i="44" s="1"/>
  <c r="AV59" i="44" s="1"/>
  <c r="AT51" i="44"/>
  <c r="AT52" i="44" s="1"/>
  <c r="AV47" i="44"/>
  <c r="AV48" i="44" s="1"/>
  <c r="AV41" i="44"/>
  <c r="AV42" i="44" s="1"/>
  <c r="AV43" i="44" s="1"/>
  <c r="G50" i="63"/>
  <c r="AV51" i="44"/>
  <c r="AV52" i="44" s="1"/>
  <c r="AV53" i="44" s="1"/>
  <c r="AT46" i="44"/>
  <c r="AT47" i="44" s="1"/>
  <c r="AT48" i="44" s="1"/>
  <c r="AV61" i="44"/>
  <c r="AV36" i="44"/>
  <c r="AV37" i="44" s="1"/>
  <c r="AQ38" i="44"/>
  <c r="AQ39" i="44" s="1"/>
  <c r="AQ40" i="44" s="1"/>
  <c r="AQ41" i="44" s="1"/>
  <c r="AQ42" i="44" s="1"/>
  <c r="AQ43" i="44" s="1"/>
  <c r="AQ44" i="44" s="1"/>
  <c r="AQ45" i="44" s="1"/>
  <c r="AQ46" i="44" s="1"/>
  <c r="AQ47" i="44" s="1"/>
  <c r="AQ48" i="44" s="1"/>
  <c r="AQ49" i="44" s="1"/>
  <c r="AQ50" i="44" s="1"/>
  <c r="AQ51" i="44" s="1"/>
  <c r="AQ52" i="44" s="1"/>
  <c r="AQ53" i="44" s="1"/>
  <c r="AQ54" i="44" s="1"/>
  <c r="AQ55" i="44" s="1"/>
  <c r="AQ56" i="44" s="1"/>
  <c r="AQ57" i="44" s="1"/>
  <c r="AQ58" i="44" s="1"/>
  <c r="AQ59" i="44" s="1"/>
  <c r="F5" i="63"/>
  <c r="G38" i="63"/>
  <c r="G42" i="63"/>
  <c r="G44" i="63"/>
  <c r="F4" i="63"/>
  <c r="G7" i="63"/>
  <c r="G17" i="63"/>
  <c r="G37" i="63"/>
  <c r="G41" i="63"/>
  <c r="G43" i="63"/>
  <c r="G45" i="63"/>
  <c r="E5" i="63"/>
  <c r="G47" i="63"/>
  <c r="E4" i="63"/>
  <c r="G39" i="63"/>
  <c r="G46" i="63"/>
  <c r="G48" i="63"/>
  <c r="G36" i="63"/>
  <c r="G21" i="63"/>
  <c r="G25" i="63"/>
  <c r="G18" i="63"/>
  <c r="G40" i="63"/>
  <c r="G26" i="63"/>
  <c r="G12" i="63"/>
  <c r="G32" i="63"/>
  <c r="G11" i="63"/>
  <c r="G30" i="63"/>
  <c r="G24" i="63"/>
  <c r="G9" i="63"/>
  <c r="G13" i="63"/>
  <c r="G10" i="63"/>
  <c r="G19" i="63"/>
  <c r="G23" i="63"/>
  <c r="G8" i="63"/>
  <c r="G20" i="63"/>
  <c r="G33" i="63"/>
  <c r="G27" i="63"/>
  <c r="G15" i="63"/>
  <c r="G29" i="63"/>
  <c r="G22" i="63"/>
  <c r="G28" i="63"/>
  <c r="G31" i="63"/>
  <c r="G34" i="63"/>
  <c r="G35" i="63"/>
  <c r="G16" i="63"/>
  <c r="G14" i="63"/>
  <c r="J16" i="49"/>
  <c r="AT42" i="44"/>
  <c r="AV38" i="44"/>
  <c r="AT53" i="44"/>
  <c r="AT61" i="44" l="1"/>
  <c r="G5" i="63"/>
  <c r="G4" i="63"/>
  <c r="AT43" i="44"/>
  <c r="E95" i="32" l="1"/>
  <c r="D95" i="32"/>
  <c r="E97" i="32" s="1"/>
  <c r="F99" i="32" s="1"/>
  <c r="G101" i="32" s="1"/>
  <c r="H103" i="32" s="1"/>
  <c r="I105" i="32" s="1"/>
  <c r="J107" i="32" s="1"/>
  <c r="K109" i="32" s="1"/>
  <c r="K86" i="32"/>
  <c r="E86" i="32"/>
  <c r="C86" i="32"/>
  <c r="C55" i="32"/>
  <c r="E55" i="32"/>
  <c r="K55" i="32"/>
  <c r="D64" i="32"/>
  <c r="E66" i="32" s="1"/>
  <c r="F68" i="32" s="1"/>
  <c r="G70" i="32" s="1"/>
  <c r="E64" i="32"/>
  <c r="F66" i="32" s="1"/>
  <c r="G68" i="32" s="1"/>
  <c r="H70" i="32" l="1"/>
  <c r="I72" i="32" s="1"/>
  <c r="J74" i="32" s="1"/>
  <c r="K76" i="32" s="1"/>
  <c r="H72" i="32"/>
  <c r="I74" i="32" s="1"/>
  <c r="J76" i="32" s="1"/>
  <c r="K78" i="32" s="1"/>
  <c r="F97" i="32"/>
  <c r="G99" i="32" s="1"/>
  <c r="H101" i="32" s="1"/>
  <c r="I103" i="32" s="1"/>
  <c r="J105" i="32" s="1"/>
  <c r="K107" i="32" s="1"/>
  <c r="N6" i="50" l="1"/>
  <c r="N7" i="50"/>
  <c r="N8" i="50"/>
  <c r="N9" i="50"/>
  <c r="N10" i="50"/>
  <c r="N11" i="50"/>
  <c r="N12" i="50"/>
  <c r="N13" i="50"/>
  <c r="N14" i="50"/>
  <c r="N15" i="50"/>
  <c r="N16" i="50"/>
  <c r="N5" i="50"/>
  <c r="E85" i="4"/>
  <c r="E84" i="4"/>
  <c r="C89" i="4"/>
  <c r="C90" i="4" s="1"/>
  <c r="E90" i="4"/>
  <c r="E91" i="4" s="1"/>
  <c r="D90" i="4"/>
  <c r="D91" i="4" s="1"/>
  <c r="F89" i="4"/>
  <c r="O22" i="52" l="1"/>
  <c r="F20" i="52"/>
  <c r="F26" i="52" s="1"/>
  <c r="G20" i="52"/>
  <c r="H20" i="52"/>
  <c r="H22" i="52" s="1"/>
  <c r="I20" i="52"/>
  <c r="I22" i="52" s="1"/>
  <c r="J20" i="52"/>
  <c r="K20" i="52"/>
  <c r="K26" i="52" s="1"/>
  <c r="L20" i="52"/>
  <c r="L22" i="52" s="1"/>
  <c r="M20" i="52"/>
  <c r="M26" i="52" s="1"/>
  <c r="N20" i="52"/>
  <c r="N22" i="52" s="1"/>
  <c r="O20" i="52"/>
  <c r="O26" i="52" s="1"/>
  <c r="E20" i="52"/>
  <c r="E22" i="52" s="1"/>
  <c r="F19" i="52"/>
  <c r="F25" i="52" s="1"/>
  <c r="G19" i="52"/>
  <c r="H19" i="52"/>
  <c r="H25" i="52" s="1"/>
  <c r="I19" i="52"/>
  <c r="I25" i="52" s="1"/>
  <c r="J19" i="52"/>
  <c r="J25" i="52" s="1"/>
  <c r="K19" i="52"/>
  <c r="K21" i="52" s="1"/>
  <c r="L19" i="52"/>
  <c r="L21" i="52" s="1"/>
  <c r="M19" i="52"/>
  <c r="M25" i="52" s="1"/>
  <c r="N19" i="52"/>
  <c r="N25" i="52" s="1"/>
  <c r="O19" i="52"/>
  <c r="O21" i="52" s="1"/>
  <c r="E19" i="52"/>
  <c r="E25" i="52" s="1"/>
  <c r="J23" i="52"/>
  <c r="I23" i="52"/>
  <c r="H23" i="52"/>
  <c r="G23" i="52"/>
  <c r="F23" i="52"/>
  <c r="E23" i="52"/>
  <c r="J22" i="52"/>
  <c r="F22" i="52"/>
  <c r="I21" i="52"/>
  <c r="N26" i="52"/>
  <c r="L26" i="52"/>
  <c r="J26" i="52"/>
  <c r="G26" i="52"/>
  <c r="O25" i="52"/>
  <c r="L25" i="52"/>
  <c r="G21" i="52"/>
  <c r="K22" i="52" l="1"/>
  <c r="K25" i="52"/>
  <c r="H21" i="52"/>
  <c r="E21" i="52"/>
  <c r="M21" i="52"/>
  <c r="M22" i="52"/>
  <c r="N21" i="52"/>
  <c r="G22" i="52"/>
  <c r="G25" i="52"/>
  <c r="H26" i="52"/>
  <c r="F21" i="52"/>
  <c r="J21" i="52"/>
  <c r="E26" i="52"/>
  <c r="I26" i="52"/>
  <c r="Z37" i="44"/>
  <c r="Z63" i="44" s="1"/>
  <c r="P23" i="41" s="1"/>
  <c r="K5" i="41"/>
  <c r="K6" i="41"/>
  <c r="K7" i="41"/>
  <c r="K8" i="41"/>
  <c r="K9" i="41"/>
  <c r="K10" i="41"/>
  <c r="K11" i="41"/>
  <c r="K12" i="41"/>
  <c r="K13" i="41"/>
  <c r="K14" i="41"/>
  <c r="K15" i="41"/>
  <c r="P26" i="41"/>
  <c r="P25" i="41"/>
  <c r="D28" i="49" a="1"/>
  <c r="D28" i="49" s="1"/>
  <c r="C28" i="49" a="1"/>
  <c r="C28" i="49" s="1"/>
  <c r="O3" i="41"/>
  <c r="BK37" i="44"/>
  <c r="BK22" i="44"/>
  <c r="BK23" i="44"/>
  <c r="BK24" i="44"/>
  <c r="BK25" i="44"/>
  <c r="BK26" i="44"/>
  <c r="BK27" i="44"/>
  <c r="BK28" i="44"/>
  <c r="BK29" i="44"/>
  <c r="BK30" i="44"/>
  <c r="BK35" i="44"/>
  <c r="BK34" i="44"/>
  <c r="BK33" i="44"/>
  <c r="BK32" i="44"/>
  <c r="BK31" i="44"/>
  <c r="BK36" i="44"/>
  <c r="BK19" i="44"/>
  <c r="L15" i="41" l="1"/>
  <c r="L5" i="41"/>
  <c r="L9" i="41"/>
  <c r="L7" i="41"/>
  <c r="L13" i="41"/>
  <c r="P22" i="41"/>
  <c r="L4" i="41" s="1"/>
  <c r="N4" i="41" s="1"/>
  <c r="P24" i="41"/>
  <c r="L11" i="41"/>
  <c r="Z43" i="44"/>
  <c r="Z39" i="44"/>
  <c r="Z41" i="44"/>
  <c r="Z38" i="44"/>
  <c r="Z40" i="44"/>
  <c r="Z42" i="44"/>
  <c r="L14" i="41"/>
  <c r="L12" i="41"/>
  <c r="L10" i="41"/>
  <c r="L8" i="41"/>
  <c r="L6" i="41"/>
  <c r="S35" i="44"/>
  <c r="M63" i="44" l="1"/>
  <c r="N63" i="44"/>
  <c r="AF63" i="44"/>
  <c r="AN63" i="44"/>
  <c r="AP63" i="44"/>
  <c r="AT63" i="44"/>
  <c r="AV63" i="44"/>
  <c r="BD63" i="44"/>
  <c r="BE63" i="44"/>
  <c r="BG63" i="44"/>
  <c r="BH63" i="44"/>
  <c r="BI63" i="44"/>
  <c r="BJ63" i="44"/>
  <c r="BO61" i="44"/>
  <c r="BO33" i="44" s="1"/>
  <c r="BO34" i="44" s="1"/>
  <c r="BO35" i="44" s="1"/>
  <c r="BO36" i="44" s="1"/>
  <c r="BN61" i="44"/>
  <c r="BM23" i="44"/>
  <c r="BM24" i="44" s="1"/>
  <c r="BM25" i="44" s="1"/>
  <c r="BM26" i="44" s="1"/>
  <c r="BM27" i="44" s="1"/>
  <c r="BM28" i="44" s="1"/>
  <c r="BM29" i="44" s="1"/>
  <c r="BM30" i="44" s="1"/>
  <c r="BM31" i="44" s="1"/>
  <c r="BM32" i="44" s="1"/>
  <c r="BM33" i="44" s="1"/>
  <c r="BM34" i="44" s="1"/>
  <c r="BM35" i="44" s="1"/>
  <c r="BM36" i="44" s="1"/>
  <c r="BJ39" i="44"/>
  <c r="BJ40" i="44" s="1"/>
  <c r="BJ41" i="44" s="1"/>
  <c r="BI39" i="44"/>
  <c r="BI40" i="44" s="1"/>
  <c r="BI41" i="44" s="1"/>
  <c r="BI42" i="44" s="1"/>
  <c r="BI43" i="44" s="1"/>
  <c r="BI44" i="44" s="1"/>
  <c r="BI45" i="44" s="1"/>
  <c r="BI46" i="44" s="1"/>
  <c r="BI47" i="44" s="1"/>
  <c r="BI48" i="44" s="1"/>
  <c r="BI49" i="44" s="1"/>
  <c r="BI50" i="44" s="1"/>
  <c r="BI51" i="44" s="1"/>
  <c r="BI52" i="44" s="1"/>
  <c r="BI53" i="44" s="1"/>
  <c r="BI54" i="44" s="1"/>
  <c r="BI55" i="44" s="1"/>
  <c r="BI56" i="44" s="1"/>
  <c r="BI57" i="44" s="1"/>
  <c r="BI58" i="44" s="1"/>
  <c r="BI59" i="44" s="1"/>
  <c r="BH39" i="44"/>
  <c r="BH40" i="44" s="1"/>
  <c r="BH41" i="44" s="1"/>
  <c r="BG39" i="44"/>
  <c r="BG40" i="44" s="1"/>
  <c r="BG41" i="44" s="1"/>
  <c r="BG42" i="44" s="1"/>
  <c r="BG43" i="44" s="1"/>
  <c r="BG44" i="44" s="1"/>
  <c r="BG45" i="44" s="1"/>
  <c r="BG46" i="44" s="1"/>
  <c r="BG47" i="44" s="1"/>
  <c r="BG48" i="44" s="1"/>
  <c r="BG49" i="44" s="1"/>
  <c r="BG50" i="44" s="1"/>
  <c r="BG51" i="44" s="1"/>
  <c r="BG52" i="44" s="1"/>
  <c r="BG53" i="44" s="1"/>
  <c r="BG54" i="44" s="1"/>
  <c r="BG55" i="44" s="1"/>
  <c r="BG56" i="44" s="1"/>
  <c r="BG57" i="44" s="1"/>
  <c r="BG58" i="44" s="1"/>
  <c r="BG59" i="44" s="1"/>
  <c r="BE39" i="44"/>
  <c r="BE40" i="44" s="1"/>
  <c r="BE41" i="44" s="1"/>
  <c r="BE42" i="44" s="1"/>
  <c r="BE43" i="44" s="1"/>
  <c r="BE44" i="44" s="1"/>
  <c r="BE45" i="44" s="1"/>
  <c r="BE46" i="44" s="1"/>
  <c r="BE47" i="44" s="1"/>
  <c r="BE48" i="44" s="1"/>
  <c r="BE49" i="44" s="1"/>
  <c r="BE50" i="44" s="1"/>
  <c r="BE51" i="44" s="1"/>
  <c r="BE52" i="44" s="1"/>
  <c r="BE53" i="44" s="1"/>
  <c r="BE54" i="44" s="1"/>
  <c r="BE55" i="44" s="1"/>
  <c r="BE56" i="44" s="1"/>
  <c r="BE57" i="44" s="1"/>
  <c r="BE58" i="44" s="1"/>
  <c r="BE59" i="44" s="1"/>
  <c r="BD39" i="44"/>
  <c r="BD40" i="44" s="1"/>
  <c r="BD41" i="44" s="1"/>
  <c r="BD42" i="44" s="1"/>
  <c r="BD43" i="44" s="1"/>
  <c r="BD44" i="44" s="1"/>
  <c r="BD45" i="44" s="1"/>
  <c r="BD46" i="44" s="1"/>
  <c r="BD47" i="44" s="1"/>
  <c r="BD48" i="44" s="1"/>
  <c r="BD49" i="44" s="1"/>
  <c r="BD50" i="44" s="1"/>
  <c r="BD51" i="44" s="1"/>
  <c r="BD52" i="44" s="1"/>
  <c r="BD53" i="44" s="1"/>
  <c r="BD54" i="44" s="1"/>
  <c r="BD55" i="44" s="1"/>
  <c r="BD56" i="44" s="1"/>
  <c r="BD57" i="44" s="1"/>
  <c r="BD58" i="44" s="1"/>
  <c r="BD59" i="44" s="1"/>
  <c r="BL22" i="44"/>
  <c r="BL23" i="44"/>
  <c r="BL24" i="44"/>
  <c r="BL25" i="44"/>
  <c r="BL26" i="44"/>
  <c r="BL27" i="44"/>
  <c r="BL28" i="44"/>
  <c r="BL29" i="44"/>
  <c r="BL30" i="44"/>
  <c r="BL31" i="44"/>
  <c r="BL32" i="44"/>
  <c r="BL33" i="44"/>
  <c r="BL34" i="44"/>
  <c r="BL35" i="44"/>
  <c r="BL36" i="44"/>
  <c r="BL37" i="44"/>
  <c r="CC7" i="44"/>
  <c r="AF61" i="44"/>
  <c r="AF38" i="44" s="1"/>
  <c r="AF39" i="44" s="1"/>
  <c r="AF40" i="44" s="1"/>
  <c r="AF41" i="44" s="1"/>
  <c r="AF42" i="44" s="1"/>
  <c r="AF43" i="44" s="1"/>
  <c r="AF44" i="44" s="1"/>
  <c r="AF45" i="44" s="1"/>
  <c r="AF46" i="44" s="1"/>
  <c r="AF47" i="44" s="1"/>
  <c r="AF48" i="44" s="1"/>
  <c r="AF49" i="44" s="1"/>
  <c r="AF50" i="44" s="1"/>
  <c r="AF51" i="44" s="1"/>
  <c r="AF52" i="44" s="1"/>
  <c r="AF53" i="44" s="1"/>
  <c r="AF54" i="44" s="1"/>
  <c r="AF55" i="44" s="1"/>
  <c r="AF56" i="44" s="1"/>
  <c r="AF57" i="44" s="1"/>
  <c r="AF58" i="44" s="1"/>
  <c r="AF59" i="44" s="1"/>
  <c r="CD4" i="44"/>
  <c r="CF10" i="44"/>
  <c r="CF9" i="44"/>
  <c r="CE5" i="44"/>
  <c r="CC3" i="44"/>
  <c r="AE44" i="44"/>
  <c r="BJ42" i="44" l="1"/>
  <c r="BJ43" i="44" s="1"/>
  <c r="BJ44" i="44" s="1"/>
  <c r="BJ45" i="44" s="1"/>
  <c r="BJ46" i="44" s="1"/>
  <c r="BJ47" i="44" s="1"/>
  <c r="BJ48" i="44" s="1"/>
  <c r="BJ49" i="44" s="1"/>
  <c r="BJ50" i="44" s="1"/>
  <c r="BJ51" i="44" s="1"/>
  <c r="BJ52" i="44" s="1"/>
  <c r="BJ53" i="44" s="1"/>
  <c r="BJ54" i="44" s="1"/>
  <c r="BJ55" i="44" s="1"/>
  <c r="BJ56" i="44" s="1"/>
  <c r="BJ57" i="44" s="1"/>
  <c r="BJ58" i="44" s="1"/>
  <c r="BJ59" i="44" s="1"/>
  <c r="BH42" i="44"/>
  <c r="BH43" i="44" s="1"/>
  <c r="BH44" i="44" s="1"/>
  <c r="BH45" i="44" s="1"/>
  <c r="BH46" i="44" s="1"/>
  <c r="BH47" i="44" s="1"/>
  <c r="BH48" i="44" s="1"/>
  <c r="BH49" i="44" s="1"/>
  <c r="BH50" i="44" s="1"/>
  <c r="BH51" i="44" s="1"/>
  <c r="BH52" i="44" s="1"/>
  <c r="BH53" i="44" s="1"/>
  <c r="BH54" i="44" s="1"/>
  <c r="BH55" i="44" s="1"/>
  <c r="BH56" i="44" s="1"/>
  <c r="BH57" i="44" s="1"/>
  <c r="BH58" i="44" s="1"/>
  <c r="BH59" i="44" s="1"/>
  <c r="BQ61" i="44"/>
  <c r="BF61" i="44" s="1"/>
  <c r="BN28" i="44"/>
  <c r="BN29" i="44" s="1"/>
  <c r="BN30" i="44" s="1"/>
  <c r="BN31" i="44" s="1"/>
  <c r="BN32" i="44" s="1"/>
  <c r="BN33" i="44" s="1"/>
  <c r="BN34" i="44" s="1"/>
  <c r="BN35" i="44" s="1"/>
  <c r="BN36" i="44" s="1"/>
  <c r="CD7" i="44"/>
  <c r="Q60" i="50"/>
  <c r="R60" i="50"/>
  <c r="Q61" i="50"/>
  <c r="R61" i="50"/>
  <c r="R59" i="50"/>
  <c r="AA62" i="50" s="1"/>
  <c r="Q59" i="50"/>
  <c r="N43" i="50"/>
  <c r="N44" i="50"/>
  <c r="N45" i="50"/>
  <c r="N46" i="50"/>
  <c r="N47" i="50"/>
  <c r="N48" i="50"/>
  <c r="N49" i="50"/>
  <c r="N42" i="50"/>
  <c r="AY63" i="44"/>
  <c r="AX63" i="44"/>
  <c r="AL59" i="44"/>
  <c r="AK59" i="44"/>
  <c r="AJ59" i="44"/>
  <c r="AL58" i="44"/>
  <c r="AK58" i="44"/>
  <c r="AJ58" i="44"/>
  <c r="AL57" i="44"/>
  <c r="AK57" i="44"/>
  <c r="AJ57" i="44"/>
  <c r="AL56" i="44"/>
  <c r="AK56" i="44"/>
  <c r="AJ56" i="44"/>
  <c r="AL55" i="44"/>
  <c r="AK55" i="44"/>
  <c r="AJ55" i="44"/>
  <c r="AL54" i="44"/>
  <c r="AK54" i="44"/>
  <c r="AJ54" i="44"/>
  <c r="AL53" i="44"/>
  <c r="AK53" i="44"/>
  <c r="AJ53" i="44"/>
  <c r="AL52" i="44"/>
  <c r="AK52" i="44"/>
  <c r="AJ52" i="44"/>
  <c r="AL51" i="44"/>
  <c r="AK51" i="44"/>
  <c r="AJ51" i="44"/>
  <c r="AL50" i="44"/>
  <c r="AK50" i="44"/>
  <c r="AJ50" i="44"/>
  <c r="AL49" i="44"/>
  <c r="AK49" i="44"/>
  <c r="AJ49" i="44"/>
  <c r="AL48" i="44"/>
  <c r="AK48" i="44"/>
  <c r="AJ48" i="44"/>
  <c r="AL47" i="44"/>
  <c r="AK47" i="44"/>
  <c r="AJ47" i="44"/>
  <c r="AL46" i="44"/>
  <c r="AK46" i="44"/>
  <c r="AJ46" i="44"/>
  <c r="AL45" i="44"/>
  <c r="AK45" i="44"/>
  <c r="AJ45" i="44"/>
  <c r="AL44" i="44"/>
  <c r="AK44" i="44"/>
  <c r="AJ44" i="44"/>
  <c r="AL43" i="44"/>
  <c r="AK43" i="44"/>
  <c r="AJ43" i="44"/>
  <c r="AL42" i="44"/>
  <c r="AK42" i="44"/>
  <c r="AJ42" i="44"/>
  <c r="AL41" i="44"/>
  <c r="AK41" i="44"/>
  <c r="AJ41" i="44"/>
  <c r="AL40" i="44"/>
  <c r="AK40" i="44"/>
  <c r="AJ40" i="44"/>
  <c r="AL39" i="44"/>
  <c r="AK39" i="44"/>
  <c r="AJ39" i="44"/>
  <c r="AL38" i="44"/>
  <c r="AK38" i="44"/>
  <c r="AJ38" i="44"/>
  <c r="AL37" i="44"/>
  <c r="AL63" i="44" s="1"/>
  <c r="AK37" i="44"/>
  <c r="AK63" i="44" s="1"/>
  <c r="AJ37" i="44"/>
  <c r="AJ63" i="44" s="1"/>
  <c r="AL36" i="44"/>
  <c r="AK36" i="44"/>
  <c r="AJ36" i="44"/>
  <c r="AL35" i="44"/>
  <c r="AK35" i="44"/>
  <c r="AJ35" i="44"/>
  <c r="R35" i="44"/>
  <c r="Z62" i="50" l="1"/>
  <c r="AY62" i="44"/>
  <c r="AG35" i="44" l="1"/>
  <c r="AH35" i="44"/>
  <c r="AI35" i="44"/>
  <c r="AE37" i="44"/>
  <c r="AE63" i="44" s="1"/>
  <c r="AM37" i="44"/>
  <c r="AM63" i="44" s="1"/>
  <c r="AO37" i="44"/>
  <c r="AO63" i="44" s="1"/>
  <c r="AG40" i="44"/>
  <c r="AH40" i="44"/>
  <c r="AI40" i="44"/>
  <c r="AG45" i="44"/>
  <c r="AH45" i="44"/>
  <c r="AI45" i="44"/>
  <c r="AG55" i="44"/>
  <c r="AH55" i="44"/>
  <c r="AI55" i="44"/>
  <c r="AS59" i="44"/>
  <c r="C38" i="44"/>
  <c r="C39" i="44"/>
  <c r="C40" i="44"/>
  <c r="C41" i="44"/>
  <c r="C42" i="44"/>
  <c r="C43" i="44"/>
  <c r="C44" i="44"/>
  <c r="C45" i="44"/>
  <c r="C46" i="44"/>
  <c r="C47" i="44"/>
  <c r="C48" i="44"/>
  <c r="C49" i="44"/>
  <c r="C50" i="44"/>
  <c r="C51" i="44"/>
  <c r="C52" i="44"/>
  <c r="C53" i="44"/>
  <c r="C54" i="44"/>
  <c r="C55" i="44"/>
  <c r="C56" i="44"/>
  <c r="C57" i="44"/>
  <c r="C58" i="44"/>
  <c r="C59" i="44"/>
  <c r="C37" i="44"/>
  <c r="D36" i="44"/>
  <c r="B38" i="44"/>
  <c r="B39" i="44"/>
  <c r="B40" i="44"/>
  <c r="B41" i="44"/>
  <c r="B42" i="44"/>
  <c r="B43" i="44"/>
  <c r="B44" i="44"/>
  <c r="B45" i="44"/>
  <c r="B46" i="44"/>
  <c r="B47" i="44"/>
  <c r="B48" i="44"/>
  <c r="B49" i="44"/>
  <c r="B50" i="44"/>
  <c r="B51" i="44"/>
  <c r="B52" i="44"/>
  <c r="B53" i="44"/>
  <c r="B54" i="44"/>
  <c r="B55" i="44"/>
  <c r="B56" i="44"/>
  <c r="B57" i="44"/>
  <c r="B58" i="44"/>
  <c r="B59" i="44"/>
  <c r="B37" i="44"/>
  <c r="B33" i="50"/>
  <c r="D3" i="49" a="1"/>
  <c r="D3" i="49" s="1"/>
  <c r="C3" i="49" a="1"/>
  <c r="C3" i="49" s="1"/>
  <c r="C20" i="49" a="1"/>
  <c r="C20" i="49" s="1"/>
  <c r="C9" i="49" a="1"/>
  <c r="C9" i="49" s="1"/>
  <c r="C21" i="49" a="1"/>
  <c r="C21" i="49" s="1"/>
  <c r="C22" i="49" a="1"/>
  <c r="C22" i="49" s="1"/>
  <c r="D19" i="49" a="1"/>
  <c r="D19" i="49" s="1"/>
  <c r="D7" i="49" a="1"/>
  <c r="D7" i="49" s="1"/>
  <c r="D6" i="49" a="1"/>
  <c r="D6" i="49" s="1"/>
  <c r="S36" i="44" l="1"/>
  <c r="AU36" i="44"/>
  <c r="AW36" i="44"/>
  <c r="CC5" i="44"/>
  <c r="AE61" i="44"/>
  <c r="AE38" i="44" s="1"/>
  <c r="AO38" i="44"/>
  <c r="AO39" i="44" s="1"/>
  <c r="AO40" i="44" s="1"/>
  <c r="AO41" i="44" s="1"/>
  <c r="AO42" i="44" s="1"/>
  <c r="AO43" i="44" s="1"/>
  <c r="AO61" i="44"/>
  <c r="AM38" i="44"/>
  <c r="AM39" i="44" s="1"/>
  <c r="AM40" i="44" s="1"/>
  <c r="AM41" i="44" s="1"/>
  <c r="AM42" i="44" s="1"/>
  <c r="AM43" i="44" s="1"/>
  <c r="AM61" i="44"/>
  <c r="AS56" i="44"/>
  <c r="AS52" i="44"/>
  <c r="AS48" i="44"/>
  <c r="AS44" i="44"/>
  <c r="AS40" i="44"/>
  <c r="AS36" i="44"/>
  <c r="AS55" i="44"/>
  <c r="AS51" i="44"/>
  <c r="AS47" i="44"/>
  <c r="AS43" i="44"/>
  <c r="AS39" i="44"/>
  <c r="AS35" i="44"/>
  <c r="AS58" i="44"/>
  <c r="AS54" i="44"/>
  <c r="AS50" i="44"/>
  <c r="AS46" i="44"/>
  <c r="AS42" i="44"/>
  <c r="AS38" i="44"/>
  <c r="AS49" i="44"/>
  <c r="AS45" i="44"/>
  <c r="AS57" i="44"/>
  <c r="AS41" i="44"/>
  <c r="AS53" i="44"/>
  <c r="AS37" i="44"/>
  <c r="AS63" i="44" s="1"/>
  <c r="R36" i="44"/>
  <c r="AG36" i="44"/>
  <c r="AG37" i="44" s="1"/>
  <c r="AG63" i="44" s="1"/>
  <c r="AH41" i="44"/>
  <c r="AH42" i="44" s="1"/>
  <c r="AH43" i="44" s="1"/>
  <c r="AG56" i="44"/>
  <c r="AG57" i="44" s="1"/>
  <c r="AG58" i="44" s="1"/>
  <c r="AG59" i="44" s="1"/>
  <c r="AH56" i="44"/>
  <c r="AH57" i="44" s="1"/>
  <c r="AH58" i="44" s="1"/>
  <c r="AH59" i="44" s="1"/>
  <c r="AH36" i="44"/>
  <c r="AH37" i="44" s="1"/>
  <c r="AH63" i="44" s="1"/>
  <c r="AI41" i="44"/>
  <c r="AI42" i="44" s="1"/>
  <c r="AI43" i="44" s="1"/>
  <c r="AI46" i="44"/>
  <c r="AI47" i="44" s="1"/>
  <c r="AI48" i="44" s="1"/>
  <c r="AI49" i="44" s="1"/>
  <c r="AI50" i="44" s="1"/>
  <c r="AI51" i="44" s="1"/>
  <c r="AI52" i="44" s="1"/>
  <c r="AI53" i="44" s="1"/>
  <c r="AI36" i="44"/>
  <c r="AI37" i="44" s="1"/>
  <c r="AI56" i="44"/>
  <c r="AI57" i="44" s="1"/>
  <c r="AI58" i="44" s="1"/>
  <c r="AI59" i="44" s="1"/>
  <c r="AH46" i="44"/>
  <c r="AH47" i="44" s="1"/>
  <c r="AH48" i="44" s="1"/>
  <c r="AH49" i="44" s="1"/>
  <c r="AH50" i="44" s="1"/>
  <c r="AH51" i="44" s="1"/>
  <c r="AH52" i="44" s="1"/>
  <c r="AH53" i="44" s="1"/>
  <c r="AG46" i="44"/>
  <c r="AG47" i="44" s="1"/>
  <c r="AG48" i="44" s="1"/>
  <c r="AG49" i="44" s="1"/>
  <c r="AG50" i="44" s="1"/>
  <c r="AG51" i="44" s="1"/>
  <c r="AG52" i="44" s="1"/>
  <c r="AG53" i="44" s="1"/>
  <c r="AG41" i="44"/>
  <c r="AG42" i="44" s="1"/>
  <c r="AG43" i="44" s="1"/>
  <c r="D58" i="44"/>
  <c r="D54" i="44"/>
  <c r="D50" i="44"/>
  <c r="D46" i="44"/>
  <c r="D42" i="44"/>
  <c r="D37" i="44"/>
  <c r="D56" i="44"/>
  <c r="D52" i="44"/>
  <c r="D48" i="44"/>
  <c r="D44" i="44"/>
  <c r="D40" i="44"/>
  <c r="D59" i="44"/>
  <c r="D57" i="44"/>
  <c r="D55" i="44"/>
  <c r="D53" i="44"/>
  <c r="D51" i="44"/>
  <c r="D49" i="44"/>
  <c r="D47" i="44"/>
  <c r="D45" i="44"/>
  <c r="D43" i="44"/>
  <c r="D41" i="44"/>
  <c r="D39" i="44"/>
  <c r="D38" i="44"/>
  <c r="D5" i="49" a="1"/>
  <c r="D5" i="49" s="1"/>
  <c r="C5" i="49" a="1"/>
  <c r="C5" i="49" s="1"/>
  <c r="D15" i="49" a="1"/>
  <c r="D15" i="49" s="1"/>
  <c r="D14" i="49" a="1"/>
  <c r="D14" i="49" s="1"/>
  <c r="D13" i="49" a="1"/>
  <c r="D13" i="49" s="1"/>
  <c r="C13" i="49" a="1"/>
  <c r="C13" i="49" s="1"/>
  <c r="C14" i="49" a="1"/>
  <c r="C14" i="49" s="1"/>
  <c r="C15" i="49" a="1"/>
  <c r="C15" i="49" s="1"/>
  <c r="D21" i="49" a="1"/>
  <c r="D21" i="49" s="1"/>
  <c r="D20" i="49" a="1"/>
  <c r="D20" i="49" s="1"/>
  <c r="D27" i="49" a="1"/>
  <c r="D27" i="49" s="1"/>
  <c r="D26" i="49" a="1"/>
  <c r="D26" i="49" s="1"/>
  <c r="C27" i="49" a="1"/>
  <c r="C27" i="49" s="1"/>
  <c r="C26" i="49" a="1"/>
  <c r="C26" i="49" s="1"/>
  <c r="C19" i="49" a="1"/>
  <c r="C19" i="49" s="1"/>
  <c r="D18" i="49" a="1"/>
  <c r="D18" i="49" s="1"/>
  <c r="C18" i="49" a="1"/>
  <c r="C18" i="49" s="1"/>
  <c r="D17" i="49" a="1"/>
  <c r="D17" i="49" s="1"/>
  <c r="C6" i="49" a="1"/>
  <c r="C6" i="49" s="1"/>
  <c r="AU41" i="44" l="1"/>
  <c r="AW41" i="44"/>
  <c r="AW49" i="44"/>
  <c r="AU49" i="44"/>
  <c r="AW57" i="44"/>
  <c r="AU57" i="44"/>
  <c r="AU48" i="44"/>
  <c r="AW48" i="44"/>
  <c r="AW42" i="44"/>
  <c r="AU42" i="44"/>
  <c r="AU58" i="44"/>
  <c r="AW58" i="44"/>
  <c r="AU43" i="44"/>
  <c r="AW43" i="44"/>
  <c r="AW51" i="44"/>
  <c r="AU51" i="44"/>
  <c r="AW59" i="44"/>
  <c r="AU59" i="44"/>
  <c r="AW52" i="44"/>
  <c r="AU52" i="44"/>
  <c r="AU46" i="44"/>
  <c r="AW46" i="44"/>
  <c r="AW38" i="44"/>
  <c r="AU38" i="44"/>
  <c r="AW45" i="44"/>
  <c r="AU45" i="44"/>
  <c r="AW53" i="44"/>
  <c r="AU53" i="44"/>
  <c r="AU40" i="44"/>
  <c r="AW40" i="44"/>
  <c r="AU56" i="44"/>
  <c r="AW56" i="44"/>
  <c r="AU50" i="44"/>
  <c r="AW50" i="44"/>
  <c r="AU39" i="44"/>
  <c r="AW39" i="44"/>
  <c r="AW47" i="44"/>
  <c r="AU47" i="44"/>
  <c r="AW55" i="44"/>
  <c r="AU55" i="44"/>
  <c r="AW44" i="44"/>
  <c r="AU44" i="44"/>
  <c r="AW37" i="44"/>
  <c r="AU37" i="44"/>
  <c r="AU54" i="44"/>
  <c r="AW54" i="44"/>
  <c r="AI63" i="44"/>
  <c r="CA6" i="44"/>
  <c r="CC4" i="44"/>
  <c r="CA4" i="44"/>
  <c r="AD37" i="44"/>
  <c r="AI61" i="44"/>
  <c r="AH61" i="44"/>
  <c r="AG61" i="44"/>
  <c r="AH38" i="44"/>
  <c r="AG38" i="44"/>
  <c r="AI38" i="44"/>
  <c r="J25" i="49"/>
  <c r="C7" i="49" s="1" a="1"/>
  <c r="C7" i="49" s="1"/>
  <c r="J37" i="44"/>
  <c r="U37" i="44"/>
  <c r="U63" i="44" s="1"/>
  <c r="V37" i="44"/>
  <c r="V63" i="44" s="1"/>
  <c r="W37" i="44"/>
  <c r="W63" i="44" s="1"/>
  <c r="X37" i="44"/>
  <c r="X63" i="44" s="1"/>
  <c r="Y37" i="44"/>
  <c r="Y63" i="44" s="1"/>
  <c r="U38" i="44"/>
  <c r="V38" i="44"/>
  <c r="W38" i="44"/>
  <c r="X38" i="44"/>
  <c r="Y38" i="44"/>
  <c r="U39" i="44"/>
  <c r="V39" i="44"/>
  <c r="W39" i="44"/>
  <c r="X39" i="44"/>
  <c r="Y39" i="44"/>
  <c r="U40" i="44"/>
  <c r="V40" i="44"/>
  <c r="W40" i="44"/>
  <c r="X40" i="44"/>
  <c r="Y40" i="44"/>
  <c r="U41" i="44"/>
  <c r="V41" i="44"/>
  <c r="W41" i="44"/>
  <c r="X41" i="44"/>
  <c r="Y41" i="44"/>
  <c r="U42" i="44"/>
  <c r="V42" i="44"/>
  <c r="W42" i="44"/>
  <c r="X42" i="44"/>
  <c r="Y42" i="44"/>
  <c r="U43" i="44"/>
  <c r="V43" i="44"/>
  <c r="W43" i="44"/>
  <c r="X43" i="44"/>
  <c r="Y43" i="44"/>
  <c r="U44" i="44"/>
  <c r="V44" i="44"/>
  <c r="W44" i="44"/>
  <c r="X44" i="44"/>
  <c r="Y44" i="44"/>
  <c r="U45" i="44"/>
  <c r="V45" i="44"/>
  <c r="W45" i="44"/>
  <c r="X45" i="44"/>
  <c r="Y45" i="44"/>
  <c r="U46" i="44"/>
  <c r="V46" i="44"/>
  <c r="W46" i="44"/>
  <c r="X46" i="44"/>
  <c r="Y46" i="44"/>
  <c r="U47" i="44"/>
  <c r="V47" i="44"/>
  <c r="W47" i="44"/>
  <c r="X47" i="44"/>
  <c r="Y47" i="44"/>
  <c r="U48" i="44"/>
  <c r="V48" i="44"/>
  <c r="W48" i="44"/>
  <c r="X48" i="44"/>
  <c r="Y48" i="44"/>
  <c r="U49" i="44"/>
  <c r="V49" i="44"/>
  <c r="W49" i="44"/>
  <c r="X49" i="44"/>
  <c r="Y49" i="44"/>
  <c r="U50" i="44"/>
  <c r="V50" i="44"/>
  <c r="W50" i="44"/>
  <c r="X50" i="44"/>
  <c r="Y50" i="44"/>
  <c r="U51" i="44"/>
  <c r="V51" i="44"/>
  <c r="W51" i="44"/>
  <c r="X51" i="44"/>
  <c r="Y51" i="44"/>
  <c r="U52" i="44"/>
  <c r="V52" i="44"/>
  <c r="W52" i="44"/>
  <c r="X52" i="44"/>
  <c r="Y52" i="44"/>
  <c r="U53" i="44"/>
  <c r="V53" i="44"/>
  <c r="W53" i="44"/>
  <c r="X53" i="44"/>
  <c r="Y53" i="44"/>
  <c r="U54" i="44"/>
  <c r="V54" i="44"/>
  <c r="W54" i="44"/>
  <c r="X54" i="44"/>
  <c r="Y54" i="44"/>
  <c r="U55" i="44"/>
  <c r="V55" i="44"/>
  <c r="W55" i="44"/>
  <c r="X55" i="44"/>
  <c r="Y55" i="44"/>
  <c r="U56" i="44"/>
  <c r="V56" i="44"/>
  <c r="W56" i="44"/>
  <c r="X56" i="44"/>
  <c r="Y56" i="44"/>
  <c r="U57" i="44"/>
  <c r="V57" i="44"/>
  <c r="W57" i="44"/>
  <c r="X57" i="44"/>
  <c r="Y57" i="44"/>
  <c r="U58" i="44"/>
  <c r="V58" i="44"/>
  <c r="W58" i="44"/>
  <c r="X58" i="44"/>
  <c r="Y58" i="44"/>
  <c r="U36" i="44"/>
  <c r="V36" i="44"/>
  <c r="W36" i="44"/>
  <c r="X36" i="44"/>
  <c r="Y36" i="44"/>
  <c r="U35" i="44"/>
  <c r="V35" i="44"/>
  <c r="W35" i="44"/>
  <c r="X35" i="44"/>
  <c r="Y35" i="44"/>
  <c r="T59" i="44"/>
  <c r="T35" i="44" s="1"/>
  <c r="L37" i="44"/>
  <c r="L63" i="44" s="1"/>
  <c r="L38" i="44"/>
  <c r="L39" i="44"/>
  <c r="L40" i="44"/>
  <c r="L41" i="44"/>
  <c r="L42" i="44"/>
  <c r="L43" i="44"/>
  <c r="L44" i="44"/>
  <c r="L45" i="44"/>
  <c r="L46" i="44"/>
  <c r="L47" i="44"/>
  <c r="L48" i="44"/>
  <c r="L49" i="44"/>
  <c r="L50" i="44"/>
  <c r="L51" i="44"/>
  <c r="L52" i="44"/>
  <c r="L53" i="44"/>
  <c r="L54" i="44"/>
  <c r="L55" i="44"/>
  <c r="L56" i="44"/>
  <c r="L57" i="44"/>
  <c r="L58" i="44"/>
  <c r="L59" i="44"/>
  <c r="D28" i="55"/>
  <c r="AU63" i="44" l="1"/>
  <c r="AW63" i="44"/>
  <c r="CA8" i="44"/>
  <c r="CA13" i="44"/>
  <c r="AX62" i="44"/>
  <c r="AD38" i="44"/>
  <c r="AD39" i="44" s="1"/>
  <c r="AD40" i="44" s="1"/>
  <c r="AD41" i="44" s="1"/>
  <c r="AD42" i="44" s="1"/>
  <c r="AD43" i="44" s="1"/>
  <c r="AD44" i="44" s="1"/>
  <c r="AD63" i="44" s="1"/>
  <c r="AT62" i="44"/>
  <c r="AW61" i="44"/>
  <c r="AW62" i="44"/>
  <c r="K23" i="49" s="1"/>
  <c r="AU61" i="44"/>
  <c r="AV62" i="44"/>
  <c r="G71" i="44"/>
  <c r="G72" i="44"/>
  <c r="G73" i="44"/>
  <c r="G74" i="44"/>
  <c r="G75" i="44"/>
  <c r="T61" i="44"/>
  <c r="T48" i="44"/>
  <c r="Q48" i="44" s="1"/>
  <c r="T40" i="44"/>
  <c r="Q40" i="44" s="1"/>
  <c r="T56" i="44"/>
  <c r="Q56" i="44" s="1"/>
  <c r="T52" i="44"/>
  <c r="Q52" i="44" s="1"/>
  <c r="T44" i="44"/>
  <c r="Q44" i="44" s="1"/>
  <c r="T54" i="44"/>
  <c r="Q54" i="44" s="1"/>
  <c r="T46" i="44"/>
  <c r="Q46" i="44" s="1"/>
  <c r="T38" i="44"/>
  <c r="T58" i="44"/>
  <c r="Q58" i="44" s="1"/>
  <c r="T50" i="44"/>
  <c r="Q50" i="44" s="1"/>
  <c r="T42" i="44"/>
  <c r="Q42" i="44" s="1"/>
  <c r="Q59" i="44"/>
  <c r="Q35" i="44"/>
  <c r="T36" i="44"/>
  <c r="Q36" i="44" s="1"/>
  <c r="T57" i="44"/>
  <c r="Q57" i="44" s="1"/>
  <c r="T55" i="44"/>
  <c r="Q55" i="44" s="1"/>
  <c r="T53" i="44"/>
  <c r="Q53" i="44" s="1"/>
  <c r="T51" i="44"/>
  <c r="Q51" i="44" s="1"/>
  <c r="T49" i="44"/>
  <c r="Q49" i="44" s="1"/>
  <c r="T47" i="44"/>
  <c r="Q47" i="44" s="1"/>
  <c r="T45" i="44"/>
  <c r="Q45" i="44" s="1"/>
  <c r="T43" i="44"/>
  <c r="Q43" i="44" s="1"/>
  <c r="T41" i="44"/>
  <c r="Q41" i="44" s="1"/>
  <c r="T39" i="44"/>
  <c r="Q39" i="44" s="1"/>
  <c r="T37" i="44"/>
  <c r="T63" i="44" s="1"/>
  <c r="C28" i="55"/>
  <c r="G116" i="54"/>
  <c r="D2" i="53"/>
  <c r="D3" i="53"/>
  <c r="H3" i="53" s="1"/>
  <c r="I3" i="53" s="1"/>
  <c r="D4" i="53"/>
  <c r="H4" i="53" s="1"/>
  <c r="D5" i="53"/>
  <c r="H5" i="53" s="1"/>
  <c r="I5" i="53" s="1"/>
  <c r="D6" i="53"/>
  <c r="H6" i="53" s="1"/>
  <c r="D7" i="53"/>
  <c r="H7" i="53" s="1"/>
  <c r="I7" i="53" s="1"/>
  <c r="D8" i="53"/>
  <c r="H8" i="53" s="1"/>
  <c r="D9" i="53"/>
  <c r="H9" i="53" s="1"/>
  <c r="I9" i="53" s="1"/>
  <c r="D10" i="53"/>
  <c r="D11" i="53"/>
  <c r="H11" i="53" s="1"/>
  <c r="I11" i="53" s="1"/>
  <c r="D12" i="53"/>
  <c r="H12" i="53" s="1"/>
  <c r="D13" i="53"/>
  <c r="H13" i="53" s="1"/>
  <c r="I13" i="53" s="1"/>
  <c r="D14" i="53"/>
  <c r="H14" i="53" s="1"/>
  <c r="D15" i="53"/>
  <c r="H15" i="53" s="1"/>
  <c r="I15" i="53" s="1"/>
  <c r="D16" i="53"/>
  <c r="H16" i="53" s="1"/>
  <c r="D17" i="53"/>
  <c r="H17" i="53" s="1"/>
  <c r="I17" i="53" s="1"/>
  <c r="D18" i="53"/>
  <c r="D19" i="53"/>
  <c r="H19" i="53" s="1"/>
  <c r="I19" i="53" s="1"/>
  <c r="D20" i="53"/>
  <c r="H20" i="53" s="1"/>
  <c r="D21" i="53"/>
  <c r="H21" i="53" s="1"/>
  <c r="I21" i="53" s="1"/>
  <c r="D22" i="53"/>
  <c r="H22" i="53" s="1"/>
  <c r="D23" i="53"/>
  <c r="H23" i="53" s="1"/>
  <c r="I23" i="53" s="1"/>
  <c r="D24" i="53"/>
  <c r="H24" i="53" s="1"/>
  <c r="D25" i="53"/>
  <c r="H25" i="53" s="1"/>
  <c r="I25" i="53" s="1"/>
  <c r="D26" i="53"/>
  <c r="D27" i="53"/>
  <c r="H27" i="53" s="1"/>
  <c r="I27" i="53" s="1"/>
  <c r="D28" i="53"/>
  <c r="H28" i="53" s="1"/>
  <c r="D29" i="53"/>
  <c r="H29" i="53" s="1"/>
  <c r="I29" i="53" s="1"/>
  <c r="D30" i="53"/>
  <c r="H30" i="53" s="1"/>
  <c r="D31" i="53"/>
  <c r="H31" i="53" s="1"/>
  <c r="I31" i="53" s="1"/>
  <c r="D32" i="53"/>
  <c r="H32" i="53" s="1"/>
  <c r="D33" i="53"/>
  <c r="H33" i="53" s="1"/>
  <c r="I33" i="53" s="1"/>
  <c r="D34" i="53"/>
  <c r="D35" i="53"/>
  <c r="H35" i="53" s="1"/>
  <c r="I35" i="53" s="1"/>
  <c r="D36" i="53"/>
  <c r="H36" i="53" s="1"/>
  <c r="D37" i="53"/>
  <c r="H37" i="53" s="1"/>
  <c r="I37" i="53" s="1"/>
  <c r="D38" i="53"/>
  <c r="H38" i="53" s="1"/>
  <c r="D39" i="53"/>
  <c r="H39" i="53" s="1"/>
  <c r="I39" i="53" s="1"/>
  <c r="D40" i="53"/>
  <c r="H40" i="53" s="1"/>
  <c r="D41" i="53"/>
  <c r="H41" i="53" s="1"/>
  <c r="I41" i="53" s="1"/>
  <c r="D42" i="53"/>
  <c r="D43" i="53"/>
  <c r="H43" i="53" s="1"/>
  <c r="I43" i="53" s="1"/>
  <c r="D44" i="53"/>
  <c r="H44" i="53" s="1"/>
  <c r="D45" i="53"/>
  <c r="H45" i="53" s="1"/>
  <c r="I45" i="53" s="1"/>
  <c r="D46" i="53"/>
  <c r="H46" i="53" s="1"/>
  <c r="I46" i="53" s="1"/>
  <c r="D47" i="53"/>
  <c r="H47" i="53" s="1"/>
  <c r="I47" i="53" s="1"/>
  <c r="D48" i="53"/>
  <c r="D49" i="53"/>
  <c r="H49" i="53" s="1"/>
  <c r="D50" i="53"/>
  <c r="D51" i="53"/>
  <c r="D52" i="53"/>
  <c r="D53" i="53"/>
  <c r="D54" i="53"/>
  <c r="D55" i="53"/>
  <c r="D56" i="53"/>
  <c r="D57" i="53"/>
  <c r="D58" i="53"/>
  <c r="D59" i="53"/>
  <c r="D60" i="53"/>
  <c r="D61" i="53"/>
  <c r="D62" i="53"/>
  <c r="D63" i="53"/>
  <c r="D64" i="53"/>
  <c r="D65" i="53"/>
  <c r="D66" i="53"/>
  <c r="D67" i="53"/>
  <c r="D68" i="53"/>
  <c r="D69" i="53"/>
  <c r="D70" i="53"/>
  <c r="D71" i="53"/>
  <c r="D72" i="53"/>
  <c r="D73" i="53"/>
  <c r="D74" i="53"/>
  <c r="D75" i="53"/>
  <c r="D76" i="53"/>
  <c r="D77" i="53"/>
  <c r="D78" i="53"/>
  <c r="D79" i="53"/>
  <c r="D80" i="53"/>
  <c r="D81" i="53"/>
  <c r="D82" i="53"/>
  <c r="D83" i="53"/>
  <c r="D84" i="53"/>
  <c r="D85" i="53"/>
  <c r="D86" i="53"/>
  <c r="D87" i="53"/>
  <c r="D88" i="53"/>
  <c r="D89" i="53"/>
  <c r="D90" i="53"/>
  <c r="D91" i="53"/>
  <c r="D92" i="53"/>
  <c r="D93" i="53"/>
  <c r="D94" i="53"/>
  <c r="D95" i="53"/>
  <c r="D96" i="53"/>
  <c r="D97" i="53"/>
  <c r="D98" i="53"/>
  <c r="D99" i="53"/>
  <c r="D100" i="53"/>
  <c r="BF38" i="44" l="1"/>
  <c r="BF39" i="44" s="1"/>
  <c r="BF40" i="44" s="1"/>
  <c r="BF41" i="44" s="1"/>
  <c r="BF42" i="44" s="1"/>
  <c r="BF43" i="44" s="1"/>
  <c r="BF44" i="44" s="1"/>
  <c r="BF45" i="44" s="1"/>
  <c r="BF46" i="44" s="1"/>
  <c r="BF47" i="44" s="1"/>
  <c r="BF48" i="44" s="1"/>
  <c r="BF49" i="44" s="1"/>
  <c r="BF50" i="44" s="1"/>
  <c r="BF51" i="44" s="1"/>
  <c r="BF52" i="44" s="1"/>
  <c r="BF53" i="44" s="1"/>
  <c r="BF54" i="44" s="1"/>
  <c r="BF55" i="44" s="1"/>
  <c r="BF56" i="44" s="1"/>
  <c r="BF57" i="44" s="1"/>
  <c r="BF58" i="44" s="1"/>
  <c r="BF59" i="44" s="1"/>
  <c r="CC6" i="44"/>
  <c r="CC8" i="44" s="1"/>
  <c r="AD45" i="44"/>
  <c r="AD46" i="44" s="1"/>
  <c r="AD47" i="44" s="1"/>
  <c r="AD48" i="44" s="1"/>
  <c r="AD49" i="44" s="1"/>
  <c r="AD50" i="44" s="1"/>
  <c r="AD51" i="44" s="1"/>
  <c r="AD52" i="44" s="1"/>
  <c r="AD53" i="44" s="1"/>
  <c r="AD54" i="44" s="1"/>
  <c r="AD55" i="44" s="1"/>
  <c r="AD56" i="44" s="1"/>
  <c r="AD57" i="44" s="1"/>
  <c r="AD58" i="44" s="1"/>
  <c r="AD59" i="44" s="1"/>
  <c r="AD61" i="44" s="1"/>
  <c r="CD6" i="44"/>
  <c r="D25" i="49" a="1"/>
  <c r="D25" i="49" s="1"/>
  <c r="AU62" i="44"/>
  <c r="Q37" i="44"/>
  <c r="Q38" i="44"/>
  <c r="K37" i="44"/>
  <c r="I44" i="53"/>
  <c r="I36" i="53"/>
  <c r="I28" i="53"/>
  <c r="I20" i="53"/>
  <c r="I12" i="53"/>
  <c r="I4" i="53"/>
  <c r="H48" i="53"/>
  <c r="I48" i="53" s="1"/>
  <c r="H42" i="53"/>
  <c r="I42" i="53" s="1"/>
  <c r="H34" i="53"/>
  <c r="I34" i="53" s="1"/>
  <c r="H26" i="53"/>
  <c r="I26" i="53" s="1"/>
  <c r="H18" i="53"/>
  <c r="I18" i="53" s="1"/>
  <c r="H10" i="53"/>
  <c r="I10" i="53" s="1"/>
  <c r="H2" i="53"/>
  <c r="I2" i="53" s="1"/>
  <c r="I49" i="53"/>
  <c r="I38" i="53"/>
  <c r="I30" i="53"/>
  <c r="I22" i="53"/>
  <c r="I14" i="53"/>
  <c r="I6" i="53"/>
  <c r="I40" i="53"/>
  <c r="I32" i="53"/>
  <c r="I24" i="53"/>
  <c r="I16" i="53"/>
  <c r="I8" i="53"/>
  <c r="H50" i="53"/>
  <c r="I50" i="53" s="1"/>
  <c r="G52" i="53"/>
  <c r="G53" i="53"/>
  <c r="G54" i="53"/>
  <c r="G55" i="53"/>
  <c r="G56" i="53"/>
  <c r="G57" i="53"/>
  <c r="G58" i="53"/>
  <c r="G59" i="53"/>
  <c r="G60" i="53"/>
  <c r="G61" i="53"/>
  <c r="G62" i="53"/>
  <c r="G63" i="53"/>
  <c r="G64" i="53"/>
  <c r="G65" i="53"/>
  <c r="G66" i="53"/>
  <c r="G67" i="53"/>
  <c r="G68" i="53"/>
  <c r="G69" i="53"/>
  <c r="G70" i="53"/>
  <c r="G71" i="53"/>
  <c r="G72" i="53"/>
  <c r="G73" i="53"/>
  <c r="G74" i="53"/>
  <c r="G75" i="53"/>
  <c r="G76" i="53"/>
  <c r="G77" i="53"/>
  <c r="G78" i="53"/>
  <c r="G79" i="53"/>
  <c r="G80" i="53"/>
  <c r="G81" i="53"/>
  <c r="G82" i="53"/>
  <c r="G83" i="53"/>
  <c r="G84" i="53"/>
  <c r="G85" i="53"/>
  <c r="G86" i="53"/>
  <c r="G87" i="53"/>
  <c r="G88" i="53"/>
  <c r="G89" i="53"/>
  <c r="G90" i="53"/>
  <c r="G91" i="53"/>
  <c r="G92" i="53"/>
  <c r="G93" i="53"/>
  <c r="G94" i="53"/>
  <c r="G95" i="53"/>
  <c r="G96" i="53"/>
  <c r="G97" i="53"/>
  <c r="G98" i="53"/>
  <c r="H98" i="53" s="1"/>
  <c r="I98" i="53" s="1"/>
  <c r="G99" i="53"/>
  <c r="G100" i="53"/>
  <c r="H100" i="53" s="1"/>
  <c r="I100" i="53" s="1"/>
  <c r="G51" i="53"/>
  <c r="G8" i="52"/>
  <c r="H8" i="52"/>
  <c r="I8" i="52"/>
  <c r="J8" i="52"/>
  <c r="F8" i="52"/>
  <c r="E8" i="52"/>
  <c r="F5" i="52"/>
  <c r="F11" i="52" s="1"/>
  <c r="G5" i="52"/>
  <c r="G11" i="52" s="1"/>
  <c r="H5" i="52"/>
  <c r="H11" i="52" s="1"/>
  <c r="I5" i="52"/>
  <c r="I11" i="52" s="1"/>
  <c r="J5" i="52"/>
  <c r="J11" i="52" s="1"/>
  <c r="K5" i="52"/>
  <c r="K11" i="52" s="1"/>
  <c r="L5" i="52"/>
  <c r="L11" i="52" s="1"/>
  <c r="M5" i="52"/>
  <c r="M11" i="52" s="1"/>
  <c r="N5" i="52"/>
  <c r="N11" i="52" s="1"/>
  <c r="O5" i="52"/>
  <c r="O11" i="52" s="1"/>
  <c r="E5" i="52"/>
  <c r="E11" i="52" s="1"/>
  <c r="F4" i="52"/>
  <c r="F6" i="52" s="1"/>
  <c r="G4" i="52"/>
  <c r="G10" i="52" s="1"/>
  <c r="H4" i="52"/>
  <c r="H10" i="52" s="1"/>
  <c r="I4" i="52"/>
  <c r="I6" i="52" s="1"/>
  <c r="J4" i="52"/>
  <c r="J6" i="52" s="1"/>
  <c r="K4" i="52"/>
  <c r="K10" i="52" s="1"/>
  <c r="L4" i="52"/>
  <c r="L10" i="52" s="1"/>
  <c r="M4" i="52"/>
  <c r="M10" i="52" s="1"/>
  <c r="N4" i="52"/>
  <c r="N10" i="52" s="1"/>
  <c r="O4" i="52"/>
  <c r="O10" i="52" s="1"/>
  <c r="E4" i="52"/>
  <c r="E6" i="52" s="1"/>
  <c r="J7" i="52" l="1"/>
  <c r="Q63" i="44"/>
  <c r="BK39" i="44"/>
  <c r="BK38" i="44"/>
  <c r="BL38" i="44" s="1"/>
  <c r="H6" i="52"/>
  <c r="E10" i="52"/>
  <c r="G6" i="52"/>
  <c r="CC13" i="44"/>
  <c r="BK40" i="44"/>
  <c r="CD8" i="44"/>
  <c r="CD13" i="44"/>
  <c r="H7" i="52"/>
  <c r="J10" i="52"/>
  <c r="F10" i="52"/>
  <c r="G7" i="52"/>
  <c r="I10" i="52"/>
  <c r="F7" i="52"/>
  <c r="I7" i="52"/>
  <c r="E7" i="52"/>
  <c r="J23" i="49"/>
  <c r="O37" i="44"/>
  <c r="K38" i="44"/>
  <c r="I105" i="53"/>
  <c r="J100" i="53"/>
  <c r="H94" i="53"/>
  <c r="I94" i="53" s="1"/>
  <c r="H90" i="53"/>
  <c r="I90" i="53" s="1"/>
  <c r="H86" i="53"/>
  <c r="I86" i="53" s="1"/>
  <c r="H82" i="53"/>
  <c r="I82" i="53" s="1"/>
  <c r="H78" i="53"/>
  <c r="I78" i="53" s="1"/>
  <c r="H74" i="53"/>
  <c r="I74" i="53" s="1"/>
  <c r="H70" i="53"/>
  <c r="I70" i="53" s="1"/>
  <c r="H66" i="53"/>
  <c r="I66" i="53" s="1"/>
  <c r="H62" i="53"/>
  <c r="I62" i="53" s="1"/>
  <c r="H58" i="53"/>
  <c r="I58" i="53" s="1"/>
  <c r="H54" i="53"/>
  <c r="I54" i="53" s="1"/>
  <c r="H97" i="53"/>
  <c r="I97" i="53" s="1"/>
  <c r="H93" i="53"/>
  <c r="I93" i="53" s="1"/>
  <c r="H89" i="53"/>
  <c r="I89" i="53" s="1"/>
  <c r="H85" i="53"/>
  <c r="I85" i="53" s="1"/>
  <c r="H81" i="53"/>
  <c r="I81" i="53" s="1"/>
  <c r="H77" i="53"/>
  <c r="I77" i="53" s="1"/>
  <c r="H73" i="53"/>
  <c r="I73" i="53" s="1"/>
  <c r="H69" i="53"/>
  <c r="I69" i="53" s="1"/>
  <c r="H65" i="53"/>
  <c r="I65" i="53" s="1"/>
  <c r="H61" i="53"/>
  <c r="I61" i="53" s="1"/>
  <c r="H57" i="53"/>
  <c r="I57" i="53" s="1"/>
  <c r="H53" i="53"/>
  <c r="I53" i="53" s="1"/>
  <c r="H96" i="53"/>
  <c r="I96" i="53" s="1"/>
  <c r="H92" i="53"/>
  <c r="I92" i="53" s="1"/>
  <c r="H88" i="53"/>
  <c r="I88" i="53" s="1"/>
  <c r="H84" i="53"/>
  <c r="I84" i="53" s="1"/>
  <c r="H80" i="53"/>
  <c r="I80" i="53" s="1"/>
  <c r="H76" i="53"/>
  <c r="I76" i="53" s="1"/>
  <c r="L76" i="53" s="1"/>
  <c r="H72" i="53"/>
  <c r="I72" i="53" s="1"/>
  <c r="H68" i="53"/>
  <c r="I68" i="53" s="1"/>
  <c r="H64" i="53"/>
  <c r="I64" i="53" s="1"/>
  <c r="K64" i="53" s="1"/>
  <c r="H60" i="53"/>
  <c r="I60" i="53" s="1"/>
  <c r="H56" i="53"/>
  <c r="I56" i="53" s="1"/>
  <c r="H52" i="53"/>
  <c r="I52" i="53" s="1"/>
  <c r="J52" i="53" s="1"/>
  <c r="H99" i="53"/>
  <c r="I99" i="53" s="1"/>
  <c r="H95" i="53"/>
  <c r="I95" i="53" s="1"/>
  <c r="H91" i="53"/>
  <c r="I91" i="53" s="1"/>
  <c r="H87" i="53"/>
  <c r="I87" i="53" s="1"/>
  <c r="H83" i="53"/>
  <c r="I83" i="53" s="1"/>
  <c r="H79" i="53"/>
  <c r="I79" i="53" s="1"/>
  <c r="H75" i="53"/>
  <c r="I75" i="53" s="1"/>
  <c r="H71" i="53"/>
  <c r="I71" i="53" s="1"/>
  <c r="H67" i="53"/>
  <c r="I67" i="53" s="1"/>
  <c r="H63" i="53"/>
  <c r="I63" i="53" s="1"/>
  <c r="H59" i="53"/>
  <c r="I59" i="53" s="1"/>
  <c r="H55" i="53"/>
  <c r="I55" i="53" s="1"/>
  <c r="H51" i="53"/>
  <c r="I51" i="53" s="1"/>
  <c r="M52" i="50"/>
  <c r="K55" i="50"/>
  <c r="Q80" i="50"/>
  <c r="Q78" i="50"/>
  <c r="T78" i="50"/>
  <c r="R80" i="50"/>
  <c r="S80" i="50"/>
  <c r="T80" i="50"/>
  <c r="Q81" i="50"/>
  <c r="R81" i="50"/>
  <c r="S81" i="50"/>
  <c r="T81" i="50"/>
  <c r="Q82" i="50"/>
  <c r="R82" i="50"/>
  <c r="S82" i="50"/>
  <c r="T82" i="50"/>
  <c r="Q83" i="50"/>
  <c r="R83" i="50"/>
  <c r="S83" i="50"/>
  <c r="T83" i="50"/>
  <c r="Q84" i="50"/>
  <c r="R84" i="50"/>
  <c r="S84" i="50"/>
  <c r="T84" i="50"/>
  <c r="Q85" i="50"/>
  <c r="R85" i="50"/>
  <c r="S85" i="50"/>
  <c r="T85" i="50"/>
  <c r="Q86" i="50"/>
  <c r="R86" i="50"/>
  <c r="S86" i="50"/>
  <c r="T86" i="50"/>
  <c r="Q87" i="50"/>
  <c r="R87" i="50"/>
  <c r="S87" i="50"/>
  <c r="T87" i="50"/>
  <c r="Q88" i="50"/>
  <c r="R88" i="50"/>
  <c r="S88" i="50"/>
  <c r="T88" i="50"/>
  <c r="Q89" i="50"/>
  <c r="R89" i="50"/>
  <c r="S89" i="50"/>
  <c r="T89" i="50"/>
  <c r="Q90" i="50"/>
  <c r="R90" i="50"/>
  <c r="S90" i="50"/>
  <c r="T90" i="50"/>
  <c r="Q91" i="50"/>
  <c r="R91" i="50"/>
  <c r="S91" i="50"/>
  <c r="T91" i="50"/>
  <c r="P79" i="50"/>
  <c r="P80" i="50"/>
  <c r="P81" i="50"/>
  <c r="P82" i="50"/>
  <c r="P83" i="50"/>
  <c r="P84" i="50"/>
  <c r="P85" i="50"/>
  <c r="P86" i="50"/>
  <c r="P87" i="50"/>
  <c r="P88" i="50"/>
  <c r="P89" i="50"/>
  <c r="P90" i="50"/>
  <c r="P91" i="50"/>
  <c r="BL39" i="44" l="1"/>
  <c r="P37" i="44"/>
  <c r="K39" i="44"/>
  <c r="O38" i="44"/>
  <c r="I103" i="53"/>
  <c r="I104" i="53"/>
  <c r="I109" i="53"/>
  <c r="I110" i="53" s="1"/>
  <c r="M88" i="53"/>
  <c r="K100" i="53"/>
  <c r="I108" i="53"/>
  <c r="I107" i="53" s="1"/>
  <c r="I102" i="53"/>
  <c r="BK41" i="44" l="1"/>
  <c r="BK42" i="44"/>
  <c r="K40" i="44"/>
  <c r="O39" i="44"/>
  <c r="L100" i="53"/>
  <c r="BK43" i="44" l="1"/>
  <c r="K41" i="44"/>
  <c r="O40" i="44"/>
  <c r="M100" i="53"/>
  <c r="W119" i="53" s="1"/>
  <c r="K42" i="44" l="1"/>
  <c r="O41" i="44"/>
  <c r="C33" i="50"/>
  <c r="K9" i="49" s="1"/>
  <c r="BB36" i="44" s="1"/>
  <c r="BK44" i="44" l="1"/>
  <c r="BK63" i="44" s="1"/>
  <c r="BF63" i="44"/>
  <c r="BK45" i="44"/>
  <c r="BB44" i="44"/>
  <c r="BB37" i="44"/>
  <c r="BB63" i="44" s="1"/>
  <c r="D12" i="49" a="1"/>
  <c r="D12" i="49" s="1"/>
  <c r="J9" i="49"/>
  <c r="AZ36" i="44" s="1"/>
  <c r="K43" i="44"/>
  <c r="O42" i="44"/>
  <c r="C59" i="50"/>
  <c r="J18" i="50"/>
  <c r="BK46" i="44" l="1"/>
  <c r="BB64" i="44"/>
  <c r="BC59" i="44"/>
  <c r="BC58" i="44"/>
  <c r="BC57" i="44"/>
  <c r="BC56" i="44"/>
  <c r="BC55" i="44"/>
  <c r="BC54" i="44"/>
  <c r="BC53" i="44"/>
  <c r="BC52" i="44"/>
  <c r="BC51" i="44"/>
  <c r="BC50" i="44"/>
  <c r="BC49" i="44"/>
  <c r="BC48" i="44"/>
  <c r="BC47" i="44"/>
  <c r="BC46" i="44"/>
  <c r="BC45" i="44"/>
  <c r="BC44" i="44"/>
  <c r="BC43" i="44"/>
  <c r="BC42" i="44"/>
  <c r="BC41" i="44"/>
  <c r="BC40" i="44"/>
  <c r="BC39" i="44"/>
  <c r="BC38" i="44"/>
  <c r="BB38" i="44" s="1"/>
  <c r="BC37" i="44"/>
  <c r="BC63" i="44" s="1"/>
  <c r="BC36" i="44"/>
  <c r="AZ37" i="44"/>
  <c r="AZ63" i="44" s="1"/>
  <c r="AZ44" i="44"/>
  <c r="BB45" i="44"/>
  <c r="C12" i="49" a="1"/>
  <c r="C12" i="49" s="1"/>
  <c r="K44" i="44"/>
  <c r="K63" i="44" s="1"/>
  <c r="O43" i="44"/>
  <c r="C65" i="50"/>
  <c r="C62" i="50"/>
  <c r="E30" i="50"/>
  <c r="O18" i="49" s="1"/>
  <c r="M35" i="50" a="1"/>
  <c r="M35" i="50" s="1"/>
  <c r="J41" i="50"/>
  <c r="M19" i="50" a="1"/>
  <c r="M19" i="50" s="1"/>
  <c r="N19" i="50" s="1"/>
  <c r="M94" i="50" a="1"/>
  <c r="M94" i="50" s="1"/>
  <c r="N94" i="50" s="1"/>
  <c r="M95" i="50" a="1"/>
  <c r="M95" i="50" s="1"/>
  <c r="N95" i="50" s="1"/>
  <c r="BK47" i="44" l="1"/>
  <c r="AZ64" i="44"/>
  <c r="BA59" i="44"/>
  <c r="BA58" i="44"/>
  <c r="BA57" i="44"/>
  <c r="BA56" i="44"/>
  <c r="BA55" i="44"/>
  <c r="BA54" i="44"/>
  <c r="BA53" i="44"/>
  <c r="BA52" i="44"/>
  <c r="BA51" i="44"/>
  <c r="BA50" i="44"/>
  <c r="BA49" i="44"/>
  <c r="BA48" i="44"/>
  <c r="BA47" i="44"/>
  <c r="BA46" i="44"/>
  <c r="BA45" i="44"/>
  <c r="AZ45" i="44" s="1"/>
  <c r="BA44" i="44"/>
  <c r="BA43" i="44"/>
  <c r="BA42" i="44"/>
  <c r="BA41" i="44"/>
  <c r="BA40" i="44"/>
  <c r="BA39" i="44"/>
  <c r="BA38" i="44"/>
  <c r="AZ38" i="44" s="1"/>
  <c r="BA37" i="44"/>
  <c r="BA63" i="44" s="1"/>
  <c r="BA36" i="44"/>
  <c r="BB46" i="44"/>
  <c r="BB47" i="44" s="1"/>
  <c r="BB48" i="44" s="1"/>
  <c r="BB49" i="44" s="1"/>
  <c r="BB50" i="44" s="1"/>
  <c r="BB51" i="44" s="1"/>
  <c r="BB52" i="44" s="1"/>
  <c r="BB53" i="44" s="1"/>
  <c r="BB54" i="44" s="1"/>
  <c r="BB55" i="44" s="1"/>
  <c r="BB56" i="44" s="1"/>
  <c r="BB57" i="44" s="1"/>
  <c r="BB58" i="44" s="1"/>
  <c r="BB59" i="44" s="1"/>
  <c r="BB39" i="44"/>
  <c r="BB40" i="44" s="1"/>
  <c r="BB41" i="44" s="1"/>
  <c r="BB42" i="44" s="1"/>
  <c r="BB43" i="44" s="1"/>
  <c r="C25" i="49" a="1"/>
  <c r="C25" i="49" s="1"/>
  <c r="K45" i="44"/>
  <c r="O44" i="44"/>
  <c r="O63" i="44" s="1"/>
  <c r="BK48" i="44" l="1"/>
  <c r="AZ46" i="44"/>
  <c r="AZ47" i="44" s="1"/>
  <c r="AZ48" i="44" s="1"/>
  <c r="AZ49" i="44" s="1"/>
  <c r="AZ50" i="44" s="1"/>
  <c r="AZ51" i="44" s="1"/>
  <c r="AZ52" i="44" s="1"/>
  <c r="AZ53" i="44" s="1"/>
  <c r="AZ54" i="44" s="1"/>
  <c r="AZ55" i="44" s="1"/>
  <c r="AZ56" i="44" s="1"/>
  <c r="AZ57" i="44" s="1"/>
  <c r="AZ58" i="44" s="1"/>
  <c r="AZ59" i="44" s="1"/>
  <c r="AZ61" i="44" s="1"/>
  <c r="AZ39" i="44"/>
  <c r="AZ40" i="44" s="1"/>
  <c r="AZ41" i="44" s="1"/>
  <c r="AZ42" i="44" s="1"/>
  <c r="AZ43" i="44" s="1"/>
  <c r="K46" i="44"/>
  <c r="O45" i="44"/>
  <c r="L78" i="50"/>
  <c r="R78" i="50" s="1"/>
  <c r="M78" i="50"/>
  <c r="S78" i="50" s="1"/>
  <c r="C10" i="49" a="1"/>
  <c r="C10" i="49" s="1"/>
  <c r="C3" i="32" s="1"/>
  <c r="K5" i="49"/>
  <c r="D4" i="49" s="1" a="1"/>
  <c r="D4" i="49" s="1"/>
  <c r="V17" i="49"/>
  <c r="V16" i="49"/>
  <c r="U25" i="49"/>
  <c r="V26" i="49"/>
  <c r="U26" i="49"/>
  <c r="V22" i="49"/>
  <c r="U22" i="49"/>
  <c r="U21" i="49"/>
  <c r="BK49" i="44" l="1"/>
  <c r="K47" i="44"/>
  <c r="O46" i="44"/>
  <c r="F59" i="39"/>
  <c r="H6" i="39"/>
  <c r="F7" i="39"/>
  <c r="H9" i="39"/>
  <c r="F10" i="39"/>
  <c r="M43" i="50"/>
  <c r="M44" i="50"/>
  <c r="M45" i="50"/>
  <c r="M46" i="50"/>
  <c r="M47" i="50"/>
  <c r="M48" i="50"/>
  <c r="M49" i="50"/>
  <c r="M42" i="50"/>
  <c r="L40" i="50"/>
  <c r="K40" i="50"/>
  <c r="M32" i="29"/>
  <c r="P32" i="29"/>
  <c r="E54" i="50"/>
  <c r="D38" i="49"/>
  <c r="O19" i="49"/>
  <c r="G58" i="39"/>
  <c r="H58" i="39" s="1"/>
  <c r="M26" i="50"/>
  <c r="M27" i="50"/>
  <c r="M28" i="50"/>
  <c r="M29" i="50"/>
  <c r="M30" i="50"/>
  <c r="M31" i="50"/>
  <c r="M32" i="50"/>
  <c r="J25" i="50"/>
  <c r="J4" i="50"/>
  <c r="L24" i="50"/>
  <c r="K24" i="50"/>
  <c r="J22" i="50"/>
  <c r="J1" i="50"/>
  <c r="M6" i="50"/>
  <c r="M7" i="50"/>
  <c r="M8" i="50"/>
  <c r="M9" i="50"/>
  <c r="M10" i="50"/>
  <c r="M11" i="50"/>
  <c r="M12" i="50"/>
  <c r="M13" i="50"/>
  <c r="M14" i="50"/>
  <c r="M15" i="50"/>
  <c r="M16" i="50"/>
  <c r="M5" i="50"/>
  <c r="K3" i="50"/>
  <c r="L3" i="50"/>
  <c r="B20" i="50"/>
  <c r="A20" i="50"/>
  <c r="B18" i="50"/>
  <c r="A18" i="50"/>
  <c r="B17" i="50"/>
  <c r="A17" i="50"/>
  <c r="B16" i="50"/>
  <c r="A16" i="50"/>
  <c r="B15" i="50"/>
  <c r="A15" i="50"/>
  <c r="B14" i="50"/>
  <c r="A14" i="50"/>
  <c r="B13" i="50"/>
  <c r="A13" i="50"/>
  <c r="J32" i="29"/>
  <c r="K32" i="29"/>
  <c r="J52" i="29"/>
  <c r="K52" i="29"/>
  <c r="M52" i="29"/>
  <c r="P52" i="29"/>
  <c r="K40" i="29"/>
  <c r="L40" i="29"/>
  <c r="M40" i="29"/>
  <c r="N40" i="29"/>
  <c r="O40" i="29"/>
  <c r="P40" i="29"/>
  <c r="P21" i="29"/>
  <c r="O21" i="29"/>
  <c r="N21" i="29"/>
  <c r="M21" i="29"/>
  <c r="L21" i="29"/>
  <c r="BK50" i="44" l="1"/>
  <c r="K48" i="44"/>
  <c r="O47" i="44"/>
  <c r="K2" i="50"/>
  <c r="E58" i="39"/>
  <c r="E60" i="39" s="1"/>
  <c r="K39" i="50"/>
  <c r="K23" i="50"/>
  <c r="O28" i="49"/>
  <c r="CA12" i="44" s="1"/>
  <c r="O6" i="49"/>
  <c r="O7" i="49"/>
  <c r="O8" i="49"/>
  <c r="O12" i="49"/>
  <c r="O22" i="49"/>
  <c r="C6" i="48"/>
  <c r="BK51" i="44" l="1"/>
  <c r="K49" i="44"/>
  <c r="O48" i="44"/>
  <c r="K79" i="50"/>
  <c r="U27" i="49"/>
  <c r="F60" i="39"/>
  <c r="F58" i="39"/>
  <c r="G59" i="39"/>
  <c r="C11" i="32"/>
  <c r="L23" i="29"/>
  <c r="L45" i="29"/>
  <c r="P18" i="45"/>
  <c r="O18" i="45"/>
  <c r="P5" i="45"/>
  <c r="O5" i="45"/>
  <c r="S74" i="44"/>
  <c r="S73" i="44"/>
  <c r="S72" i="44"/>
  <c r="S70" i="44"/>
  <c r="G59" i="44"/>
  <c r="G58" i="44"/>
  <c r="G57" i="44"/>
  <c r="G56" i="44"/>
  <c r="G55" i="44"/>
  <c r="G54" i="44"/>
  <c r="G53" i="44"/>
  <c r="G52" i="44"/>
  <c r="G51" i="44"/>
  <c r="G50" i="44"/>
  <c r="G49" i="44"/>
  <c r="G48" i="44"/>
  <c r="G47" i="44"/>
  <c r="G46" i="44"/>
  <c r="G45" i="44"/>
  <c r="G44" i="44"/>
  <c r="G43" i="44"/>
  <c r="G42" i="44"/>
  <c r="G41" i="44"/>
  <c r="G40" i="44"/>
  <c r="G39" i="44"/>
  <c r="G38" i="44"/>
  <c r="G37" i="44"/>
  <c r="G36" i="44"/>
  <c r="L36" i="44"/>
  <c r="O36" i="44" s="1"/>
  <c r="C13" i="29" l="1"/>
  <c r="H29" i="29" s="1"/>
  <c r="O29" i="29"/>
  <c r="P29" i="29"/>
  <c r="BK52" i="44"/>
  <c r="G63" i="44"/>
  <c r="K50" i="44"/>
  <c r="O49" i="44"/>
  <c r="P36" i="44"/>
  <c r="M29" i="29"/>
  <c r="H59" i="39"/>
  <c r="G60" i="39"/>
  <c r="Q18" i="45"/>
  <c r="Q5" i="45"/>
  <c r="E36" i="44"/>
  <c r="H36" i="44" s="1"/>
  <c r="H37" i="44" s="1"/>
  <c r="F16" i="42"/>
  <c r="F15" i="42"/>
  <c r="F8" i="42"/>
  <c r="O26" i="41"/>
  <c r="O25" i="41"/>
  <c r="K4" i="41"/>
  <c r="M4" i="41" s="1"/>
  <c r="O4" i="41" s="1"/>
  <c r="G23" i="41"/>
  <c r="F23" i="41"/>
  <c r="D23" i="41"/>
  <c r="C23" i="41"/>
  <c r="G22" i="41"/>
  <c r="F22" i="41"/>
  <c r="D22" i="41"/>
  <c r="C22" i="41"/>
  <c r="G21" i="41"/>
  <c r="F21" i="41"/>
  <c r="D21" i="41"/>
  <c r="C21" i="41"/>
  <c r="G20" i="41"/>
  <c r="F20" i="41"/>
  <c r="D20" i="41"/>
  <c r="C20" i="41"/>
  <c r="G19" i="41"/>
  <c r="F19" i="41"/>
  <c r="D19" i="41"/>
  <c r="C19" i="41"/>
  <c r="F18" i="41"/>
  <c r="C18" i="41"/>
  <c r="G15" i="41"/>
  <c r="F15" i="41"/>
  <c r="D15" i="41"/>
  <c r="C15" i="41"/>
  <c r="G14" i="41"/>
  <c r="F14" i="41"/>
  <c r="D14" i="41"/>
  <c r="C14" i="41"/>
  <c r="G13" i="41"/>
  <c r="F13" i="41"/>
  <c r="D13" i="41"/>
  <c r="C13" i="41"/>
  <c r="G12" i="41"/>
  <c r="F12" i="41"/>
  <c r="D12" i="41"/>
  <c r="C12" i="41"/>
  <c r="F11" i="41"/>
  <c r="C11" i="41"/>
  <c r="G9" i="41"/>
  <c r="F9" i="41"/>
  <c r="D9" i="41"/>
  <c r="C9" i="41"/>
  <c r="G8" i="41"/>
  <c r="F8" i="41"/>
  <c r="D8" i="41"/>
  <c r="C8" i="41"/>
  <c r="G7" i="41"/>
  <c r="F7" i="41"/>
  <c r="D7" i="41"/>
  <c r="C7" i="41"/>
  <c r="G6" i="41"/>
  <c r="F6" i="41"/>
  <c r="D6" i="41"/>
  <c r="C6" i="41"/>
  <c r="G5" i="41"/>
  <c r="F5" i="41"/>
  <c r="D5" i="41"/>
  <c r="C5" i="41"/>
  <c r="F4" i="41"/>
  <c r="C4" i="41"/>
  <c r="S18" i="41"/>
  <c r="S17" i="41"/>
  <c r="S16" i="41"/>
  <c r="S15" i="41"/>
  <c r="S14" i="41"/>
  <c r="S13" i="41"/>
  <c r="S12" i="41"/>
  <c r="S11" i="41"/>
  <c r="S10" i="41"/>
  <c r="S9" i="41"/>
  <c r="S8" i="41"/>
  <c r="S7" i="41"/>
  <c r="S6" i="41"/>
  <c r="S5" i="41"/>
  <c r="S4" i="41"/>
  <c r="T3" i="41"/>
  <c r="T4" i="41" s="1"/>
  <c r="T5" i="41" s="1"/>
  <c r="T6" i="41" s="1"/>
  <c r="T7" i="41" s="1"/>
  <c r="T8" i="41" s="1"/>
  <c r="T9" i="41" s="1"/>
  <c r="T10" i="41" s="1"/>
  <c r="T11" i="41" s="1"/>
  <c r="T12" i="41" s="1"/>
  <c r="T13" i="41" s="1"/>
  <c r="T14" i="41" s="1"/>
  <c r="T15" i="41" s="1"/>
  <c r="T16" i="41" s="1"/>
  <c r="T17" i="41" s="1"/>
  <c r="T18" i="41" s="1"/>
  <c r="F52" i="39"/>
  <c r="H27" i="39"/>
  <c r="F27" i="39"/>
  <c r="F46" i="39"/>
  <c r="N29" i="29" l="1"/>
  <c r="K29" i="29"/>
  <c r="I29" i="29"/>
  <c r="J29" i="29"/>
  <c r="L29" i="29"/>
  <c r="D29" i="29"/>
  <c r="C29" i="29"/>
  <c r="G29" i="29"/>
  <c r="E29" i="29"/>
  <c r="F29" i="29"/>
  <c r="Q4" i="41"/>
  <c r="BK53" i="44"/>
  <c r="H38" i="44"/>
  <c r="H39" i="44" s="1"/>
  <c r="H40" i="44" s="1"/>
  <c r="H41" i="44" s="1"/>
  <c r="H42" i="44" s="1"/>
  <c r="H43" i="44" s="1"/>
  <c r="H44" i="44" s="1"/>
  <c r="H45" i="44" s="1"/>
  <c r="H46" i="44" s="1"/>
  <c r="H47" i="44" s="1"/>
  <c r="H48" i="44" s="1"/>
  <c r="H49" i="44" s="1"/>
  <c r="H50" i="44" s="1"/>
  <c r="H51" i="44" s="1"/>
  <c r="H52" i="44" s="1"/>
  <c r="H53" i="44" s="1"/>
  <c r="H54" i="44" s="1"/>
  <c r="H55" i="44" s="1"/>
  <c r="H56" i="44" s="1"/>
  <c r="H57" i="44" s="1"/>
  <c r="H58" i="44" s="1"/>
  <c r="H59" i="44" s="1"/>
  <c r="O26" i="49"/>
  <c r="O29" i="49" s="1"/>
  <c r="K51" i="44"/>
  <c r="O50" i="44"/>
  <c r="H60" i="39"/>
  <c r="F18" i="42"/>
  <c r="K36" i="49" s="1"/>
  <c r="D39" i="49" s="1" a="1"/>
  <c r="D39" i="49" s="1"/>
  <c r="F36" i="44"/>
  <c r="T23" i="41"/>
  <c r="S22" i="41"/>
  <c r="S23" i="41"/>
  <c r="S24" i="41"/>
  <c r="S25" i="41"/>
  <c r="T24" i="41"/>
  <c r="T22" i="41"/>
  <c r="T25" i="41"/>
  <c r="M5" i="41"/>
  <c r="C11" i="35"/>
  <c r="M6" i="41" l="1"/>
  <c r="O5" i="41"/>
  <c r="BK54" i="44"/>
  <c r="H63" i="44"/>
  <c r="K52" i="44"/>
  <c r="O51" i="44"/>
  <c r="K22" i="49"/>
  <c r="F19" i="42"/>
  <c r="K39" i="49"/>
  <c r="D41" i="49" s="1" a="1"/>
  <c r="D41" i="49" s="1"/>
  <c r="I36" i="44"/>
  <c r="P38" i="44"/>
  <c r="Q5" i="41" l="1"/>
  <c r="M7" i="41"/>
  <c r="O6" i="41"/>
  <c r="BK55" i="44"/>
  <c r="D22" i="49" a="1"/>
  <c r="D22" i="49" s="1"/>
  <c r="C50" i="50" s="1"/>
  <c r="K53" i="44"/>
  <c r="O52" i="44"/>
  <c r="P39" i="44"/>
  <c r="D4" i="32"/>
  <c r="D5" i="29" s="1"/>
  <c r="C13" i="32"/>
  <c r="D13" i="32"/>
  <c r="C14" i="32"/>
  <c r="D14" i="32"/>
  <c r="C62" i="29"/>
  <c r="C63" i="29"/>
  <c r="C64" i="29"/>
  <c r="C65" i="29"/>
  <c r="C66" i="29"/>
  <c r="C67" i="29"/>
  <c r="C68" i="29"/>
  <c r="C69" i="29"/>
  <c r="C70" i="29"/>
  <c r="C71" i="29"/>
  <c r="C61" i="29"/>
  <c r="C20" i="29"/>
  <c r="C21" i="29"/>
  <c r="A12" i="29"/>
  <c r="B4" i="29"/>
  <c r="B5" i="29"/>
  <c r="C5" i="29"/>
  <c r="B6" i="29"/>
  <c r="B7" i="29"/>
  <c r="C7" i="29"/>
  <c r="D7" i="29"/>
  <c r="K43" i="29" s="1"/>
  <c r="B8" i="29"/>
  <c r="B9" i="29"/>
  <c r="D9" i="29"/>
  <c r="B10" i="29"/>
  <c r="C10" i="29"/>
  <c r="B11" i="29"/>
  <c r="B12" i="29"/>
  <c r="B13" i="29"/>
  <c r="B14" i="29"/>
  <c r="D14" i="29"/>
  <c r="L50" i="29" s="1"/>
  <c r="B15" i="29"/>
  <c r="C15" i="29"/>
  <c r="D15" i="29"/>
  <c r="G51" i="29" s="1"/>
  <c r="A5" i="29"/>
  <c r="A6" i="29"/>
  <c r="A7" i="29"/>
  <c r="A8" i="29"/>
  <c r="A9" i="29"/>
  <c r="A10" i="29"/>
  <c r="A11" i="29"/>
  <c r="A13" i="29"/>
  <c r="A14" i="29"/>
  <c r="A15" i="29"/>
  <c r="A4" i="29"/>
  <c r="J40" i="29"/>
  <c r="I40" i="29"/>
  <c r="H40" i="29"/>
  <c r="G40" i="29"/>
  <c r="F40" i="29"/>
  <c r="E40" i="29"/>
  <c r="D40" i="29"/>
  <c r="C40" i="29"/>
  <c r="C39" i="29"/>
  <c r="D39" i="29" s="1"/>
  <c r="E39" i="29" s="1"/>
  <c r="F39" i="29" s="1"/>
  <c r="G39" i="29" s="1"/>
  <c r="H39" i="29" s="1"/>
  <c r="I39" i="29" s="1"/>
  <c r="J39" i="29" s="1"/>
  <c r="K39" i="29" s="1"/>
  <c r="L39" i="29" s="1"/>
  <c r="M39" i="29" s="1"/>
  <c r="N39" i="29" s="1"/>
  <c r="O39" i="29" s="1"/>
  <c r="P39" i="29" s="1"/>
  <c r="C14" i="29"/>
  <c r="L30" i="29" s="1"/>
  <c r="D21" i="29"/>
  <c r="K21" i="29"/>
  <c r="J21" i="29"/>
  <c r="I21" i="29"/>
  <c r="H21" i="29"/>
  <c r="G21" i="29"/>
  <c r="F21" i="29"/>
  <c r="E21" i="29"/>
  <c r="Q6" i="41" l="1"/>
  <c r="M8" i="41"/>
  <c r="O7" i="41"/>
  <c r="L51" i="29"/>
  <c r="BK56" i="44"/>
  <c r="D20" i="29"/>
  <c r="E20" i="29" s="1"/>
  <c r="C48" i="29" a="1"/>
  <c r="C48" i="29" s="1"/>
  <c r="C28" i="29" a="1"/>
  <c r="C28" i="29" s="1"/>
  <c r="E45" i="39"/>
  <c r="F45" i="39" s="1"/>
  <c r="K54" i="44"/>
  <c r="O53" i="44"/>
  <c r="D50" i="29"/>
  <c r="N50" i="29"/>
  <c r="O50" i="29"/>
  <c r="P50" i="29"/>
  <c r="M50" i="29"/>
  <c r="M31" i="29"/>
  <c r="N31" i="29"/>
  <c r="O31" i="29"/>
  <c r="P31" i="29"/>
  <c r="L31" i="29"/>
  <c r="F30" i="29"/>
  <c r="M30" i="29"/>
  <c r="N30" i="29"/>
  <c r="O30" i="29"/>
  <c r="P30" i="29"/>
  <c r="K50" i="29"/>
  <c r="L43" i="29"/>
  <c r="I30" i="29"/>
  <c r="J50" i="29"/>
  <c r="J51" i="29"/>
  <c r="J30" i="29"/>
  <c r="I51" i="29"/>
  <c r="I50" i="29"/>
  <c r="I31" i="29"/>
  <c r="J31" i="29"/>
  <c r="K31" i="29"/>
  <c r="K30" i="29"/>
  <c r="K45" i="29"/>
  <c r="I45" i="29"/>
  <c r="J45" i="29"/>
  <c r="K23" i="29"/>
  <c r="I23" i="29"/>
  <c r="J23" i="29"/>
  <c r="K51" i="29"/>
  <c r="A23" i="29"/>
  <c r="F23" i="29"/>
  <c r="C23" i="29"/>
  <c r="G23" i="29"/>
  <c r="D23" i="29"/>
  <c r="H23" i="29"/>
  <c r="E23" i="29"/>
  <c r="A26" i="29"/>
  <c r="A31" i="29"/>
  <c r="F31" i="29"/>
  <c r="C31" i="29"/>
  <c r="G31" i="29"/>
  <c r="D31" i="29"/>
  <c r="E31" i="29"/>
  <c r="H31" i="29"/>
  <c r="A45" i="29"/>
  <c r="F45" i="29"/>
  <c r="E45" i="29"/>
  <c r="C45" i="29"/>
  <c r="G45" i="29"/>
  <c r="D45" i="29"/>
  <c r="H45" i="29"/>
  <c r="H51" i="29"/>
  <c r="P40" i="44"/>
  <c r="H50" i="29"/>
  <c r="H30" i="29"/>
  <c r="C10" i="32"/>
  <c r="J33" i="29"/>
  <c r="F51" i="29"/>
  <c r="A51" i="29"/>
  <c r="A30" i="29"/>
  <c r="G50" i="29"/>
  <c r="A50" i="29"/>
  <c r="C51" i="29"/>
  <c r="E51" i="29"/>
  <c r="F50" i="29"/>
  <c r="C50" i="29"/>
  <c r="D51" i="29"/>
  <c r="E50" i="29"/>
  <c r="E30" i="29"/>
  <c r="G30" i="29"/>
  <c r="C30" i="29"/>
  <c r="D30" i="29"/>
  <c r="C12" i="29" l="1"/>
  <c r="A28" i="29" s="1"/>
  <c r="I50" i="32" s="1"/>
  <c r="Q7" i="41"/>
  <c r="M9" i="41"/>
  <c r="O8" i="41"/>
  <c r="BK57" i="44"/>
  <c r="E48" i="29" a="1"/>
  <c r="E48" i="29" s="1"/>
  <c r="E28" i="29" a="1"/>
  <c r="E28" i="29" s="1"/>
  <c r="D48" i="29" a="1"/>
  <c r="D48" i="29" s="1"/>
  <c r="D28" i="29" a="1"/>
  <c r="D28" i="29" s="1"/>
  <c r="F20" i="29"/>
  <c r="K55" i="44"/>
  <c r="O54" i="44"/>
  <c r="B9" i="31"/>
  <c r="A9" i="31" s="1"/>
  <c r="B26" i="31"/>
  <c r="A26" i="31" s="1"/>
  <c r="B10" i="31"/>
  <c r="A10" i="31" s="1"/>
  <c r="B12" i="31"/>
  <c r="A12" i="31" s="1"/>
  <c r="B11" i="31"/>
  <c r="A11" i="31" s="1"/>
  <c r="B24" i="31"/>
  <c r="A24" i="31" s="1"/>
  <c r="B27" i="31"/>
  <c r="A27" i="31" s="1"/>
  <c r="P41" i="44"/>
  <c r="Q8" i="41" l="1"/>
  <c r="O9" i="41"/>
  <c r="M10" i="41"/>
  <c r="BK58" i="44"/>
  <c r="F48" i="29" a="1"/>
  <c r="F48" i="29" s="1"/>
  <c r="F28" i="29" a="1"/>
  <c r="F28" i="29" s="1"/>
  <c r="G20" i="29"/>
  <c r="K56" i="44"/>
  <c r="O55" i="44"/>
  <c r="B7" i="31"/>
  <c r="A7" i="31" s="1"/>
  <c r="P42" i="44"/>
  <c r="Q9" i="41" l="1"/>
  <c r="M11" i="41"/>
  <c r="O10" i="41"/>
  <c r="BK59" i="44"/>
  <c r="G48" i="29" a="1"/>
  <c r="G48" i="29" s="1"/>
  <c r="G28" i="29" a="1"/>
  <c r="G28" i="29" s="1"/>
  <c r="H20" i="29"/>
  <c r="O56" i="44"/>
  <c r="K57" i="44"/>
  <c r="P43" i="44"/>
  <c r="Q10" i="41" l="1"/>
  <c r="M12" i="41"/>
  <c r="O11" i="41"/>
  <c r="H48" i="29" a="1"/>
  <c r="H48" i="29" s="1"/>
  <c r="H28" i="29" a="1"/>
  <c r="H28" i="29" s="1"/>
  <c r="I20" i="29"/>
  <c r="O57" i="44"/>
  <c r="K58" i="44"/>
  <c r="P44" i="44"/>
  <c r="P63" i="44" s="1"/>
  <c r="Q11" i="41" l="1"/>
  <c r="M13" i="41"/>
  <c r="O12" i="41"/>
  <c r="I48" i="29" a="1"/>
  <c r="I48" i="29" s="1"/>
  <c r="I28" i="29" a="1"/>
  <c r="I28" i="29" s="1"/>
  <c r="J20" i="29"/>
  <c r="O58" i="44"/>
  <c r="K59" i="44"/>
  <c r="P45" i="44"/>
  <c r="A133" i="15"/>
  <c r="B6" i="45" s="1"/>
  <c r="B133" i="15"/>
  <c r="C6" i="45" s="1"/>
  <c r="C7" i="45" s="1"/>
  <c r="C8" i="45" s="1"/>
  <c r="C9" i="45" s="1"/>
  <c r="C10" i="45" s="1"/>
  <c r="C11" i="45" s="1"/>
  <c r="C133" i="15"/>
  <c r="D6" i="45" s="1"/>
  <c r="D7" i="45" s="1"/>
  <c r="D8" i="45" s="1"/>
  <c r="D9" i="45" s="1"/>
  <c r="D10" i="45" s="1"/>
  <c r="D11" i="45" s="1"/>
  <c r="D133" i="15"/>
  <c r="E6" i="45" s="1"/>
  <c r="E7" i="45" s="1"/>
  <c r="E8" i="45" s="1"/>
  <c r="E9" i="45" s="1"/>
  <c r="E10" i="45" s="1"/>
  <c r="E11" i="45" s="1"/>
  <c r="E133" i="15"/>
  <c r="F6" i="45" s="1"/>
  <c r="F7" i="45" s="1"/>
  <c r="F8" i="45" s="1"/>
  <c r="F9" i="45" s="1"/>
  <c r="F10" i="45" s="1"/>
  <c r="F11" i="45" s="1"/>
  <c r="F133" i="15"/>
  <c r="G6" i="45" s="1"/>
  <c r="G7" i="45" s="1"/>
  <c r="G8" i="45" s="1"/>
  <c r="G9" i="45" s="1"/>
  <c r="G10" i="45" s="1"/>
  <c r="G11" i="45" s="1"/>
  <c r="G133" i="15"/>
  <c r="H6" i="45" s="1"/>
  <c r="H7" i="45" s="1"/>
  <c r="H8" i="45" s="1"/>
  <c r="H9" i="45" s="1"/>
  <c r="H10" i="45" s="1"/>
  <c r="H11" i="45" s="1"/>
  <c r="H133" i="15"/>
  <c r="I6" i="45" s="1"/>
  <c r="I7" i="45" s="1"/>
  <c r="I8" i="45" s="1"/>
  <c r="I9" i="45" s="1"/>
  <c r="I10" i="45" s="1"/>
  <c r="I11" i="45" s="1"/>
  <c r="I133" i="15"/>
  <c r="J6" i="45" s="1"/>
  <c r="J7" i="45" s="1"/>
  <c r="J8" i="45" s="1"/>
  <c r="J9" i="45" s="1"/>
  <c r="J10" i="45" s="1"/>
  <c r="J11" i="45" s="1"/>
  <c r="J133" i="15"/>
  <c r="K6" i="45" s="1"/>
  <c r="K7" i="45" s="1"/>
  <c r="K8" i="45" s="1"/>
  <c r="K9" i="45" s="1"/>
  <c r="K10" i="45" s="1"/>
  <c r="K11" i="45" s="1"/>
  <c r="K133" i="15"/>
  <c r="L6" i="45" s="1"/>
  <c r="L7" i="45" s="1"/>
  <c r="L8" i="45" s="1"/>
  <c r="L9" i="45" s="1"/>
  <c r="L10" i="45" s="1"/>
  <c r="L11" i="45" s="1"/>
  <c r="L133" i="15"/>
  <c r="M6" i="45" s="1"/>
  <c r="M7" i="45" s="1"/>
  <c r="M8" i="45" s="1"/>
  <c r="M9" i="45" s="1"/>
  <c r="M10" i="45" s="1"/>
  <c r="M11" i="45" s="1"/>
  <c r="M133" i="15"/>
  <c r="N6" i="45" s="1"/>
  <c r="N7" i="45" s="1"/>
  <c r="N8" i="45" s="1"/>
  <c r="N9" i="45" s="1"/>
  <c r="N10" i="45" s="1"/>
  <c r="N11" i="45" s="1"/>
  <c r="A134" i="15"/>
  <c r="B19" i="45" s="1"/>
  <c r="B134" i="15"/>
  <c r="C19" i="45" s="1"/>
  <c r="C20" i="45" s="1"/>
  <c r="C21" i="45" s="1"/>
  <c r="C22" i="45" s="1"/>
  <c r="C23" i="45" s="1"/>
  <c r="C24" i="45" s="1"/>
  <c r="C25" i="45" s="1"/>
  <c r="C26" i="45" s="1"/>
  <c r="C27" i="45" s="1"/>
  <c r="C28" i="45" s="1"/>
  <c r="C29" i="45" s="1"/>
  <c r="C30" i="45" s="1"/>
  <c r="C31" i="45" s="1"/>
  <c r="C32" i="45" s="1"/>
  <c r="C33" i="45" s="1"/>
  <c r="C134" i="15"/>
  <c r="D19" i="45" s="1"/>
  <c r="D20" i="45" s="1"/>
  <c r="D21" i="45" s="1"/>
  <c r="D22" i="45" s="1"/>
  <c r="D23" i="45" s="1"/>
  <c r="D24" i="45" s="1"/>
  <c r="D25" i="45" s="1"/>
  <c r="D26" i="45" s="1"/>
  <c r="D27" i="45" s="1"/>
  <c r="D28" i="45" s="1"/>
  <c r="D29" i="45" s="1"/>
  <c r="D30" i="45" s="1"/>
  <c r="D31" i="45" s="1"/>
  <c r="D32" i="45" s="1"/>
  <c r="D33" i="45" s="1"/>
  <c r="D134" i="15"/>
  <c r="E19" i="45" s="1"/>
  <c r="E20" i="45" s="1"/>
  <c r="E21" i="45" s="1"/>
  <c r="E22" i="45" s="1"/>
  <c r="E23" i="45" s="1"/>
  <c r="E24" i="45" s="1"/>
  <c r="E25" i="45" s="1"/>
  <c r="E26" i="45" s="1"/>
  <c r="E27" i="45" s="1"/>
  <c r="E28" i="45" s="1"/>
  <c r="E29" i="45" s="1"/>
  <c r="E30" i="45" s="1"/>
  <c r="E31" i="45" s="1"/>
  <c r="E32" i="45" s="1"/>
  <c r="E33" i="45" s="1"/>
  <c r="E134" i="15"/>
  <c r="F19" i="45" s="1"/>
  <c r="F20" i="45" s="1"/>
  <c r="F21" i="45" s="1"/>
  <c r="F22" i="45" s="1"/>
  <c r="F23" i="45" s="1"/>
  <c r="F24" i="45" s="1"/>
  <c r="F25" i="45" s="1"/>
  <c r="F26" i="45" s="1"/>
  <c r="F27" i="45" s="1"/>
  <c r="F28" i="45" s="1"/>
  <c r="F29" i="45" s="1"/>
  <c r="F30" i="45" s="1"/>
  <c r="F31" i="45" s="1"/>
  <c r="F32" i="45" s="1"/>
  <c r="F33" i="45" s="1"/>
  <c r="F134" i="15"/>
  <c r="G19" i="45" s="1"/>
  <c r="G20" i="45" s="1"/>
  <c r="G21" i="45" s="1"/>
  <c r="G22" i="45" s="1"/>
  <c r="G23" i="45" s="1"/>
  <c r="G24" i="45" s="1"/>
  <c r="G25" i="45" s="1"/>
  <c r="G26" i="45" s="1"/>
  <c r="G27" i="45" s="1"/>
  <c r="G28" i="45" s="1"/>
  <c r="G29" i="45" s="1"/>
  <c r="G30" i="45" s="1"/>
  <c r="G31" i="45" s="1"/>
  <c r="G32" i="45" s="1"/>
  <c r="G33" i="45" s="1"/>
  <c r="G134" i="15"/>
  <c r="H19" i="45" s="1"/>
  <c r="H20" i="45" s="1"/>
  <c r="H21" i="45" s="1"/>
  <c r="H22" i="45" s="1"/>
  <c r="H23" i="45" s="1"/>
  <c r="H24" i="45" s="1"/>
  <c r="H25" i="45" s="1"/>
  <c r="H26" i="45" s="1"/>
  <c r="H27" i="45" s="1"/>
  <c r="H28" i="45" s="1"/>
  <c r="H29" i="45" s="1"/>
  <c r="H30" i="45" s="1"/>
  <c r="H31" i="45" s="1"/>
  <c r="H32" i="45" s="1"/>
  <c r="H33" i="45" s="1"/>
  <c r="H134" i="15"/>
  <c r="I19" i="45" s="1"/>
  <c r="I20" i="45" s="1"/>
  <c r="I21" i="45" s="1"/>
  <c r="I22" i="45" s="1"/>
  <c r="I23" i="45" s="1"/>
  <c r="I24" i="45" s="1"/>
  <c r="I25" i="45" s="1"/>
  <c r="I26" i="45" s="1"/>
  <c r="I27" i="45" s="1"/>
  <c r="I28" i="45" s="1"/>
  <c r="I29" i="45" s="1"/>
  <c r="I30" i="45" s="1"/>
  <c r="I31" i="45" s="1"/>
  <c r="I32" i="45" s="1"/>
  <c r="I33" i="45" s="1"/>
  <c r="I134" i="15"/>
  <c r="J19" i="45" s="1"/>
  <c r="J20" i="45" s="1"/>
  <c r="J21" i="45" s="1"/>
  <c r="J22" i="45" s="1"/>
  <c r="J23" i="45" s="1"/>
  <c r="J24" i="45" s="1"/>
  <c r="J25" i="45" s="1"/>
  <c r="J26" i="45" s="1"/>
  <c r="J27" i="45" s="1"/>
  <c r="J28" i="45" s="1"/>
  <c r="J29" i="45" s="1"/>
  <c r="J30" i="45" s="1"/>
  <c r="J31" i="45" s="1"/>
  <c r="J32" i="45" s="1"/>
  <c r="J33" i="45" s="1"/>
  <c r="J134" i="15"/>
  <c r="K19" i="45" s="1"/>
  <c r="K20" i="45" s="1"/>
  <c r="K21" i="45" s="1"/>
  <c r="K22" i="45" s="1"/>
  <c r="K23" i="45" s="1"/>
  <c r="K24" i="45" s="1"/>
  <c r="K25" i="45" s="1"/>
  <c r="K26" i="45" s="1"/>
  <c r="K27" i="45" s="1"/>
  <c r="K28" i="45" s="1"/>
  <c r="K29" i="45" s="1"/>
  <c r="K30" i="45" s="1"/>
  <c r="K31" i="45" s="1"/>
  <c r="K32" i="45" s="1"/>
  <c r="K33" i="45" s="1"/>
  <c r="K134" i="15"/>
  <c r="L19" i="45" s="1"/>
  <c r="L20" i="45" s="1"/>
  <c r="L21" i="45" s="1"/>
  <c r="L22" i="45" s="1"/>
  <c r="L23" i="45" s="1"/>
  <c r="L24" i="45" s="1"/>
  <c r="L25" i="45" s="1"/>
  <c r="L26" i="45" s="1"/>
  <c r="L27" i="45" s="1"/>
  <c r="L28" i="45" s="1"/>
  <c r="L29" i="45" s="1"/>
  <c r="L30" i="45" s="1"/>
  <c r="L31" i="45" s="1"/>
  <c r="L32" i="45" s="1"/>
  <c r="L33" i="45" s="1"/>
  <c r="L134" i="15"/>
  <c r="M19" i="45" s="1"/>
  <c r="M20" i="45" s="1"/>
  <c r="M21" i="45" s="1"/>
  <c r="M22" i="45" s="1"/>
  <c r="M23" i="45" s="1"/>
  <c r="M24" i="45" s="1"/>
  <c r="M25" i="45" s="1"/>
  <c r="M26" i="45" s="1"/>
  <c r="M27" i="45" s="1"/>
  <c r="M28" i="45" s="1"/>
  <c r="M29" i="45" s="1"/>
  <c r="M30" i="45" s="1"/>
  <c r="M31" i="45" s="1"/>
  <c r="M32" i="45" s="1"/>
  <c r="M33" i="45" s="1"/>
  <c r="M134" i="15"/>
  <c r="N19" i="45" s="1"/>
  <c r="N20" i="45" s="1"/>
  <c r="N21" i="45" s="1"/>
  <c r="N22" i="45" s="1"/>
  <c r="N23" i="45" s="1"/>
  <c r="N24" i="45" s="1"/>
  <c r="N25" i="45" s="1"/>
  <c r="N26" i="45" s="1"/>
  <c r="N27" i="45" s="1"/>
  <c r="N28" i="45" s="1"/>
  <c r="N29" i="45" s="1"/>
  <c r="N30" i="45" s="1"/>
  <c r="N31" i="45" s="1"/>
  <c r="N32" i="45" s="1"/>
  <c r="N33" i="45" s="1"/>
  <c r="G119" i="15"/>
  <c r="G118" i="15"/>
  <c r="G111" i="15"/>
  <c r="Q12" i="41" l="1"/>
  <c r="M14" i="41"/>
  <c r="O13" i="41"/>
  <c r="H12" i="45"/>
  <c r="H13" i="45" s="1"/>
  <c r="H14" i="45" s="1"/>
  <c r="H15" i="45" s="1"/>
  <c r="H16" i="45" s="1"/>
  <c r="H17" i="45" s="1"/>
  <c r="H37" i="45"/>
  <c r="O19" i="45"/>
  <c r="P19" i="45"/>
  <c r="B20" i="45"/>
  <c r="K12" i="45"/>
  <c r="K13" i="45" s="1"/>
  <c r="K14" i="45" s="1"/>
  <c r="K15" i="45" s="1"/>
  <c r="K16" i="45" s="1"/>
  <c r="K17" i="45" s="1"/>
  <c r="K37" i="45"/>
  <c r="C12" i="45"/>
  <c r="C13" i="45" s="1"/>
  <c r="C14" i="45" s="1"/>
  <c r="C15" i="45" s="1"/>
  <c r="C16" i="45" s="1"/>
  <c r="C17" i="45" s="1"/>
  <c r="C37" i="45"/>
  <c r="N12" i="45"/>
  <c r="N13" i="45" s="1"/>
  <c r="N14" i="45" s="1"/>
  <c r="N15" i="45" s="1"/>
  <c r="N16" i="45" s="1"/>
  <c r="N17" i="45" s="1"/>
  <c r="N37" i="45"/>
  <c r="J12" i="45"/>
  <c r="J13" i="45" s="1"/>
  <c r="J14" i="45" s="1"/>
  <c r="J15" i="45" s="1"/>
  <c r="J16" i="45" s="1"/>
  <c r="J17" i="45" s="1"/>
  <c r="J37" i="45"/>
  <c r="F12" i="45"/>
  <c r="F13" i="45" s="1"/>
  <c r="F14" i="45" s="1"/>
  <c r="F15" i="45" s="1"/>
  <c r="F16" i="45" s="1"/>
  <c r="F17" i="45" s="1"/>
  <c r="F37" i="45"/>
  <c r="P6" i="45"/>
  <c r="B7" i="45"/>
  <c r="O6" i="45"/>
  <c r="L12" i="45"/>
  <c r="L13" i="45" s="1"/>
  <c r="L14" i="45" s="1"/>
  <c r="L15" i="45" s="1"/>
  <c r="L16" i="45" s="1"/>
  <c r="L17" i="45" s="1"/>
  <c r="L37" i="45"/>
  <c r="D12" i="45"/>
  <c r="D13" i="45" s="1"/>
  <c r="D14" i="45" s="1"/>
  <c r="D15" i="45" s="1"/>
  <c r="D16" i="45" s="1"/>
  <c r="D17" i="45" s="1"/>
  <c r="D37" i="45"/>
  <c r="G12" i="45"/>
  <c r="G13" i="45" s="1"/>
  <c r="G14" i="45" s="1"/>
  <c r="G15" i="45" s="1"/>
  <c r="G16" i="45" s="1"/>
  <c r="G17" i="45" s="1"/>
  <c r="G37" i="45"/>
  <c r="M12" i="45"/>
  <c r="M13" i="45" s="1"/>
  <c r="M14" i="45" s="1"/>
  <c r="M15" i="45" s="1"/>
  <c r="M16" i="45" s="1"/>
  <c r="M17" i="45" s="1"/>
  <c r="M37" i="45"/>
  <c r="I12" i="45"/>
  <c r="I13" i="45" s="1"/>
  <c r="I14" i="45" s="1"/>
  <c r="I15" i="45" s="1"/>
  <c r="I16" i="45" s="1"/>
  <c r="I17" i="45" s="1"/>
  <c r="I37" i="45"/>
  <c r="E12" i="45"/>
  <c r="E13" i="45" s="1"/>
  <c r="E14" i="45" s="1"/>
  <c r="E15" i="45" s="1"/>
  <c r="E16" i="45" s="1"/>
  <c r="E17" i="45" s="1"/>
  <c r="E37" i="45"/>
  <c r="J48" i="29" a="1"/>
  <c r="J48" i="29" s="1"/>
  <c r="J28" i="29" a="1"/>
  <c r="J28" i="29" s="1"/>
  <c r="K20" i="29"/>
  <c r="O59" i="44"/>
  <c r="O61" i="44" s="1"/>
  <c r="K61" i="44"/>
  <c r="K34" i="49"/>
  <c r="P46" i="44"/>
  <c r="D10" i="32"/>
  <c r="G121" i="15"/>
  <c r="G122" i="15" s="1"/>
  <c r="C3" i="35"/>
  <c r="C12" i="35" s="1"/>
  <c r="Q19" i="45" l="1"/>
  <c r="Q6" i="45"/>
  <c r="D12" i="29"/>
  <c r="A48" i="29" s="1"/>
  <c r="I81" i="32" s="1"/>
  <c r="Q13" i="41"/>
  <c r="M15" i="41"/>
  <c r="M16" i="41" s="1"/>
  <c r="O14" i="41"/>
  <c r="B8" i="45"/>
  <c r="O7" i="45"/>
  <c r="P7" i="45"/>
  <c r="O20" i="45"/>
  <c r="B21" i="45"/>
  <c r="P20" i="45"/>
  <c r="K48" i="29" a="1"/>
  <c r="K48" i="29" s="1"/>
  <c r="K28" i="29" a="1"/>
  <c r="K28" i="29" s="1"/>
  <c r="L20" i="29"/>
  <c r="P47" i="44"/>
  <c r="E51" i="39"/>
  <c r="G51" i="39"/>
  <c r="D11" i="32"/>
  <c r="D9" i="32"/>
  <c r="D11" i="29" l="1"/>
  <c r="A47" i="29" s="1"/>
  <c r="J81" i="32" s="1"/>
  <c r="D13" i="29"/>
  <c r="F49" i="29" s="1"/>
  <c r="Q7" i="45"/>
  <c r="Q14" i="41"/>
  <c r="K16" i="41"/>
  <c r="M17" i="41"/>
  <c r="O15" i="41"/>
  <c r="C5" i="32" s="1"/>
  <c r="O49" i="29"/>
  <c r="P49" i="29"/>
  <c r="B22" i="45"/>
  <c r="O21" i="45"/>
  <c r="P21" i="45"/>
  <c r="Q20" i="45"/>
  <c r="O8" i="45"/>
  <c r="B9" i="45"/>
  <c r="P8" i="45"/>
  <c r="L48" i="29" a="1"/>
  <c r="L48" i="29" s="1"/>
  <c r="L28" i="29" a="1"/>
  <c r="L28" i="29" s="1"/>
  <c r="M20" i="29"/>
  <c r="I32" i="29"/>
  <c r="O32" i="29"/>
  <c r="D32" i="29"/>
  <c r="D33" i="29" s="1"/>
  <c r="E32" i="29"/>
  <c r="B22" i="31"/>
  <c r="A22" i="31" s="1"/>
  <c r="C4" i="29"/>
  <c r="C33" i="49" s="1"/>
  <c r="I47" i="29"/>
  <c r="J47" i="29"/>
  <c r="K47" i="29"/>
  <c r="P48" i="44"/>
  <c r="H51" i="39"/>
  <c r="E53" i="39"/>
  <c r="F51" i="39"/>
  <c r="A29" i="29"/>
  <c r="H50" i="32" s="1"/>
  <c r="Q8" i="45" l="1"/>
  <c r="Q21" i="45"/>
  <c r="N49" i="29"/>
  <c r="M49" i="29"/>
  <c r="G47" i="29"/>
  <c r="F47" i="29"/>
  <c r="L47" i="29"/>
  <c r="L49" i="29"/>
  <c r="I49" i="29"/>
  <c r="K49" i="29"/>
  <c r="J49" i="29"/>
  <c r="H47" i="29"/>
  <c r="C22" i="29"/>
  <c r="A22" i="29" s="1"/>
  <c r="C50" i="32" s="1"/>
  <c r="C51" i="32" s="1"/>
  <c r="A49" i="29"/>
  <c r="H81" i="32" s="1"/>
  <c r="D49" i="29"/>
  <c r="E47" i="29"/>
  <c r="C47" i="29"/>
  <c r="D47" i="29"/>
  <c r="G49" i="29"/>
  <c r="C49" i="29"/>
  <c r="H49" i="29"/>
  <c r="E49" i="29"/>
  <c r="O16" i="41"/>
  <c r="Q16" i="41" s="1"/>
  <c r="Q15" i="41"/>
  <c r="M18" i="41"/>
  <c r="K18" i="41" s="1"/>
  <c r="K17" i="41"/>
  <c r="O9" i="45"/>
  <c r="Q9" i="45" s="1"/>
  <c r="B10" i="45"/>
  <c r="P9" i="45"/>
  <c r="P22" i="45"/>
  <c r="B23" i="45"/>
  <c r="O22" i="45"/>
  <c r="M48" i="29" a="1"/>
  <c r="M48" i="29" s="1"/>
  <c r="M28" i="29" a="1"/>
  <c r="M28" i="29" s="1"/>
  <c r="N20" i="29"/>
  <c r="B25" i="31"/>
  <c r="A25" i="31" s="1"/>
  <c r="B5" i="31"/>
  <c r="A5" i="31" s="1"/>
  <c r="C36" i="49"/>
  <c r="C35" i="49"/>
  <c r="C3" i="50"/>
  <c r="I33" i="29"/>
  <c r="P49" i="44"/>
  <c r="F53" i="39"/>
  <c r="R79" i="50" s="1"/>
  <c r="L21" i="15"/>
  <c r="L27" i="15"/>
  <c r="L32" i="15"/>
  <c r="L49" i="15"/>
  <c r="L50" i="15"/>
  <c r="B19" i="31" l="1"/>
  <c r="A19" i="31" s="1"/>
  <c r="C53" i="32"/>
  <c r="C61" i="32"/>
  <c r="D61" i="32" s="1"/>
  <c r="D52" i="32"/>
  <c r="D55" i="32" s="1"/>
  <c r="Q22" i="45"/>
  <c r="O17" i="41"/>
  <c r="Q17" i="41" s="1"/>
  <c r="B11" i="45"/>
  <c r="P10" i="45"/>
  <c r="O10" i="45"/>
  <c r="P23" i="45"/>
  <c r="O23" i="45"/>
  <c r="Q23" i="45" s="1"/>
  <c r="B24" i="45"/>
  <c r="N28" i="29" a="1"/>
  <c r="N28" i="29" s="1"/>
  <c r="N48" i="29" a="1"/>
  <c r="N48" i="29" s="1"/>
  <c r="O20" i="29"/>
  <c r="C37" i="49"/>
  <c r="P50" i="44"/>
  <c r="C58" i="32" l="1"/>
  <c r="C56" i="32" s="1"/>
  <c r="C57" i="32"/>
  <c r="Q10" i="45"/>
  <c r="O18" i="41"/>
  <c r="Q18" i="41" s="1"/>
  <c r="P24" i="45"/>
  <c r="O24" i="45"/>
  <c r="Q24" i="45" s="1"/>
  <c r="B25" i="45"/>
  <c r="B37" i="45"/>
  <c r="B12" i="45"/>
  <c r="P11" i="45"/>
  <c r="P37" i="45" s="1"/>
  <c r="O11" i="45"/>
  <c r="O48" i="29" a="1"/>
  <c r="O48" i="29" s="1"/>
  <c r="O28" i="29" a="1"/>
  <c r="O28" i="29" s="1"/>
  <c r="P20" i="29"/>
  <c r="C34" i="49"/>
  <c r="P51" i="44"/>
  <c r="G52" i="39"/>
  <c r="O37" i="45" l="1"/>
  <c r="Q11" i="45"/>
  <c r="Q37" i="45" s="1"/>
  <c r="O20" i="49" s="1"/>
  <c r="O25" i="45"/>
  <c r="B26" i="45"/>
  <c r="P25" i="45"/>
  <c r="P12" i="45"/>
  <c r="O12" i="45"/>
  <c r="B13" i="45"/>
  <c r="P48" i="29" a="1"/>
  <c r="P48" i="29" s="1"/>
  <c r="P28" i="29" a="1"/>
  <c r="P28" i="29" s="1"/>
  <c r="P52" i="44"/>
  <c r="H52" i="39"/>
  <c r="G53" i="39"/>
  <c r="B14" i="45" l="1"/>
  <c r="P13" i="45"/>
  <c r="O13" i="45"/>
  <c r="Q13" i="45" s="1"/>
  <c r="O26" i="45"/>
  <c r="Q26" i="45" s="1"/>
  <c r="P26" i="45"/>
  <c r="B27" i="45"/>
  <c r="Q12" i="45"/>
  <c r="Q25" i="45"/>
  <c r="H53" i="39"/>
  <c r="P53" i="44"/>
  <c r="P27" i="45" l="1"/>
  <c r="B28" i="45"/>
  <c r="O27" i="45"/>
  <c r="Q27" i="45" s="1"/>
  <c r="O14" i="45"/>
  <c r="Q14" i="45" s="1"/>
  <c r="P14" i="45"/>
  <c r="B15" i="45"/>
  <c r="T79" i="50"/>
  <c r="S79" i="50"/>
  <c r="P54" i="44"/>
  <c r="G26" i="39"/>
  <c r="O15" i="45" l="1"/>
  <c r="B16" i="45"/>
  <c r="P15" i="45"/>
  <c r="O28" i="45"/>
  <c r="B29" i="45"/>
  <c r="P28" i="45"/>
  <c r="P55" i="44"/>
  <c r="H26" i="39"/>
  <c r="G28" i="39"/>
  <c r="G14" i="39"/>
  <c r="Q15" i="45" l="1"/>
  <c r="Q28" i="45"/>
  <c r="B17" i="45"/>
  <c r="P16" i="45"/>
  <c r="O16" i="45"/>
  <c r="O29" i="45"/>
  <c r="P29" i="45"/>
  <c r="B30" i="45"/>
  <c r="P56" i="44"/>
  <c r="G29" i="39"/>
  <c r="H28" i="39"/>
  <c r="O14" i="39" s="1"/>
  <c r="G32" i="39"/>
  <c r="H32" i="39" s="1"/>
  <c r="H14" i="39"/>
  <c r="G20" i="39"/>
  <c r="G38" i="39" s="1"/>
  <c r="G45" i="39"/>
  <c r="Q29" i="45" l="1"/>
  <c r="Q16" i="45"/>
  <c r="O30" i="45"/>
  <c r="P30" i="45"/>
  <c r="B31" i="45"/>
  <c r="P17" i="45"/>
  <c r="O17" i="45"/>
  <c r="Q17" i="45" s="1"/>
  <c r="P57" i="44"/>
  <c r="H20" i="39"/>
  <c r="H38" i="39"/>
  <c r="G31" i="39"/>
  <c r="H31" i="39" s="1"/>
  <c r="G30" i="39"/>
  <c r="H30" i="39" s="1"/>
  <c r="H29" i="39"/>
  <c r="O24" i="39" s="1"/>
  <c r="H45" i="39"/>
  <c r="C6" i="32"/>
  <c r="Q30" i="45" l="1"/>
  <c r="C8" i="29"/>
  <c r="G24" i="29" s="1"/>
  <c r="O24" i="29"/>
  <c r="P24" i="29"/>
  <c r="O31" i="45"/>
  <c r="P31" i="45"/>
  <c r="B32" i="45"/>
  <c r="D13" i="50"/>
  <c r="P58" i="44"/>
  <c r="P59" i="44"/>
  <c r="P61" i="44" s="1"/>
  <c r="G46" i="39"/>
  <c r="H46" i="39" s="1"/>
  <c r="M24" i="29" l="1"/>
  <c r="N24" i="29"/>
  <c r="K24" i="29"/>
  <c r="L24" i="29"/>
  <c r="I24" i="29"/>
  <c r="J24" i="29"/>
  <c r="E24" i="29"/>
  <c r="A24" i="29"/>
  <c r="F50" i="32" s="1"/>
  <c r="H24" i="29"/>
  <c r="F24" i="29"/>
  <c r="D24" i="29"/>
  <c r="C24" i="29"/>
  <c r="Q31" i="45"/>
  <c r="O32" i="45"/>
  <c r="P32" i="45"/>
  <c r="B33" i="45"/>
  <c r="Q32" i="45" l="1"/>
  <c r="B6" i="31"/>
  <c r="A6" i="31" s="1"/>
  <c r="P33" i="45"/>
  <c r="O33" i="45"/>
  <c r="Q33" i="45" s="1"/>
  <c r="E15" i="39"/>
  <c r="F15" i="39" s="1"/>
  <c r="E33" i="39" l="1"/>
  <c r="F33" i="39" s="1"/>
  <c r="E39" i="39" l="1"/>
  <c r="F39" i="39" s="1"/>
  <c r="E47" i="39" l="1"/>
  <c r="F47" i="39" l="1"/>
  <c r="G47" i="39" l="1"/>
  <c r="H47" i="39" s="1"/>
  <c r="I52" i="29" l="1"/>
  <c r="E52" i="29"/>
  <c r="D52" i="29"/>
  <c r="D53" i="29" s="1"/>
  <c r="A43" i="29"/>
  <c r="I43" i="29"/>
  <c r="H43" i="29"/>
  <c r="J43" i="29"/>
  <c r="F43" i="29"/>
  <c r="D43" i="29"/>
  <c r="C43" i="29"/>
  <c r="E43" i="29"/>
  <c r="G43" i="29"/>
  <c r="B23" i="31" l="1"/>
  <c r="A23" i="31" s="1"/>
  <c r="E33" i="29" l="1"/>
  <c r="J53" i="29"/>
  <c r="K33" i="29" l="1"/>
  <c r="K53" i="29" l="1"/>
  <c r="I53" i="29"/>
  <c r="E53" i="29"/>
  <c r="O52" i="29" l="1"/>
  <c r="C42" i="50" l="1"/>
  <c r="B42" i="50" l="1"/>
  <c r="B34" i="50" l="1"/>
  <c r="B35" i="50" s="1"/>
  <c r="C34" i="50"/>
  <c r="R58" i="44" l="1"/>
  <c r="R59" i="44"/>
  <c r="R57" i="44"/>
  <c r="R54" i="44"/>
  <c r="R56" i="44"/>
  <c r="R52" i="44"/>
  <c r="R55" i="44"/>
  <c r="R51" i="44"/>
  <c r="R53" i="44"/>
  <c r="R50" i="44"/>
  <c r="R37" i="44"/>
  <c r="C35" i="50"/>
  <c r="J27" i="49"/>
  <c r="C17" i="49" s="1" a="1"/>
  <c r="C17" i="49" s="1"/>
  <c r="C9" i="32" s="1"/>
  <c r="C11" i="29" l="1"/>
  <c r="F27" i="29" s="1"/>
  <c r="P25" i="29" a="1"/>
  <c r="P25" i="29" s="1"/>
  <c r="S57" i="44"/>
  <c r="S59" i="44"/>
  <c r="S58" i="44"/>
  <c r="S53" i="44"/>
  <c r="S54" i="44"/>
  <c r="S56" i="44"/>
  <c r="S50" i="44"/>
  <c r="S51" i="44"/>
  <c r="S55" i="44"/>
  <c r="S52" i="44"/>
  <c r="P27" i="29"/>
  <c r="O27" i="29"/>
  <c r="N27" i="29"/>
  <c r="I27" i="29"/>
  <c r="M27" i="29"/>
  <c r="J27" i="29"/>
  <c r="K27" i="29"/>
  <c r="S37" i="44"/>
  <c r="S38" i="44"/>
  <c r="S39" i="44"/>
  <c r="K8" i="49"/>
  <c r="K7" i="49" s="1"/>
  <c r="D2" i="49" s="1" a="1"/>
  <c r="D2" i="49" s="1"/>
  <c r="V23" i="49"/>
  <c r="D21" i="50" s="1"/>
  <c r="C4" i="35"/>
  <c r="C13" i="35" s="1"/>
  <c r="C14" i="35" s="1"/>
  <c r="L27" i="29" l="1"/>
  <c r="P34" i="29"/>
  <c r="P35" i="29" s="1"/>
  <c r="P46" i="29" a="1"/>
  <c r="P46" i="29" s="1"/>
  <c r="D11" i="49" a="1"/>
  <c r="D11" i="49" s="1"/>
  <c r="AC36" i="44" s="1" a="1"/>
  <c r="AC36" i="44" s="1"/>
  <c r="AC37" i="44" s="1"/>
  <c r="D16" i="49" a="1"/>
  <c r="D16" i="49" s="1"/>
  <c r="G10" i="39" s="1"/>
  <c r="D27" i="29"/>
  <c r="G27" i="29"/>
  <c r="E27" i="29"/>
  <c r="H27" i="29"/>
  <c r="A27" i="29"/>
  <c r="J50" i="32" s="1"/>
  <c r="C27" i="29"/>
  <c r="B8" i="31" l="1"/>
  <c r="A8" i="31" s="1"/>
  <c r="AC38" i="44"/>
  <c r="AC39" i="44" s="1"/>
  <c r="AC40" i="44" s="1"/>
  <c r="AC41" i="44" s="1"/>
  <c r="AC42" i="44" s="1"/>
  <c r="AC43" i="44" s="1"/>
  <c r="AC44" i="44" s="1"/>
  <c r="AC45" i="44" s="1"/>
  <c r="AC46" i="44" s="1"/>
  <c r="AC47" i="44" s="1"/>
  <c r="AC48" i="44" s="1"/>
  <c r="AC49" i="44" s="1"/>
  <c r="AC50" i="44" s="1"/>
  <c r="AC51" i="44" s="1"/>
  <c r="AC52" i="44" s="1"/>
  <c r="AC53" i="44" s="1"/>
  <c r="AC54" i="44" s="1"/>
  <c r="AC55" i="44" s="1"/>
  <c r="AC56" i="44" s="1"/>
  <c r="AC57" i="44" s="1"/>
  <c r="AC58" i="44" s="1"/>
  <c r="AC59" i="44" s="1"/>
  <c r="AC61" i="44" s="1"/>
  <c r="G7" i="39"/>
  <c r="H7" i="39" s="1"/>
  <c r="C2" i="49" a="1"/>
  <c r="C2" i="49" s="1"/>
  <c r="H10" i="39"/>
  <c r="G21" i="39" l="1"/>
  <c r="G39" i="39" s="1"/>
  <c r="H39" i="39" s="1"/>
  <c r="D8" i="50"/>
  <c r="AC63" i="44"/>
  <c r="G8" i="39"/>
  <c r="H8" i="39" s="1"/>
  <c r="H21" i="39"/>
  <c r="G22" i="39" l="1"/>
  <c r="G23" i="39" s="1"/>
  <c r="H22" i="39" l="1"/>
  <c r="O15" i="39" s="1"/>
  <c r="G40" i="39"/>
  <c r="H40" i="39" s="1"/>
  <c r="O17" i="39" s="1"/>
  <c r="G25" i="39"/>
  <c r="H25" i="39" s="1"/>
  <c r="H23" i="39"/>
  <c r="O25" i="39" s="1"/>
  <c r="G24" i="39"/>
  <c r="H24" i="39" s="1"/>
  <c r="G41" i="39"/>
  <c r="H41" i="39" l="1"/>
  <c r="O27" i="39" s="1"/>
  <c r="G42" i="39"/>
  <c r="G43" i="39"/>
  <c r="H43" i="39" s="1"/>
  <c r="E19" i="50" l="1"/>
  <c r="N79" i="50" s="1"/>
  <c r="D18" i="50"/>
  <c r="G57" i="39"/>
  <c r="H42" i="39"/>
  <c r="D17" i="50" s="1"/>
  <c r="H57" i="39" l="1"/>
  <c r="G61" i="39"/>
  <c r="G63" i="39" l="1"/>
  <c r="H63" i="39" s="1"/>
  <c r="O29" i="39" s="1"/>
  <c r="G62" i="39"/>
  <c r="H62" i="39" s="1"/>
  <c r="O19" i="39" s="1"/>
  <c r="H61" i="39"/>
  <c r="E37" i="44" l="1"/>
  <c r="F37" i="44" l="1"/>
  <c r="E38" i="44"/>
  <c r="E39" i="44"/>
  <c r="F39" i="44" s="1"/>
  <c r="I39" i="44" s="1"/>
  <c r="E40" i="44"/>
  <c r="F40" i="44" s="1"/>
  <c r="I40" i="44" s="1"/>
  <c r="E41" i="44"/>
  <c r="F41" i="44" s="1"/>
  <c r="I41" i="44" s="1"/>
  <c r="E42" i="44"/>
  <c r="F42" i="44" s="1"/>
  <c r="I42" i="44" s="1"/>
  <c r="E43" i="44"/>
  <c r="E44" i="44"/>
  <c r="F44" i="44" s="1"/>
  <c r="I44" i="44" s="1"/>
  <c r="E45" i="44"/>
  <c r="F45" i="44" s="1"/>
  <c r="I45" i="44" s="1"/>
  <c r="E46" i="44"/>
  <c r="F46" i="44" s="1"/>
  <c r="I46" i="44" s="1"/>
  <c r="E47" i="44"/>
  <c r="F47" i="44" s="1"/>
  <c r="I47" i="44" s="1"/>
  <c r="E48" i="44"/>
  <c r="F48" i="44" s="1"/>
  <c r="I48" i="44" s="1"/>
  <c r="E49" i="44"/>
  <c r="F49" i="44" s="1"/>
  <c r="I49" i="44" s="1"/>
  <c r="E50" i="44"/>
  <c r="F50" i="44" s="1"/>
  <c r="I50" i="44" s="1"/>
  <c r="E51" i="44"/>
  <c r="F51" i="44" s="1"/>
  <c r="I51" i="44" s="1"/>
  <c r="E52" i="44"/>
  <c r="F52" i="44" s="1"/>
  <c r="I52" i="44" s="1"/>
  <c r="E53" i="44"/>
  <c r="F53" i="44" s="1"/>
  <c r="I53" i="44" s="1"/>
  <c r="E54" i="44"/>
  <c r="F54" i="44" s="1"/>
  <c r="I54" i="44" s="1"/>
  <c r="E55" i="44"/>
  <c r="F55" i="44" s="1"/>
  <c r="I55" i="44" s="1"/>
  <c r="E56" i="44"/>
  <c r="F56" i="44" s="1"/>
  <c r="I56" i="44" s="1"/>
  <c r="E57" i="44"/>
  <c r="F57" i="44" s="1"/>
  <c r="I57" i="44" s="1"/>
  <c r="E58" i="44"/>
  <c r="F58" i="44" s="1"/>
  <c r="I58" i="44" s="1"/>
  <c r="E59" i="44"/>
  <c r="F59" i="44" s="1"/>
  <c r="I59" i="44" s="1"/>
  <c r="E63" i="44" l="1"/>
  <c r="I37" i="44"/>
  <c r="F43" i="44"/>
  <c r="J43" i="44" s="1"/>
  <c r="J40" i="44"/>
  <c r="J49" i="44"/>
  <c r="J45" i="44"/>
  <c r="J59" i="44"/>
  <c r="J57" i="44"/>
  <c r="J55" i="44"/>
  <c r="J53" i="44"/>
  <c r="J42" i="44"/>
  <c r="J58" i="44"/>
  <c r="J54" i="44"/>
  <c r="J50" i="44"/>
  <c r="J46" i="44"/>
  <c r="J51" i="44"/>
  <c r="J47" i="44"/>
  <c r="J41" i="44"/>
  <c r="J39" i="44"/>
  <c r="J56" i="44"/>
  <c r="J52" i="44"/>
  <c r="J48" i="44"/>
  <c r="J44" i="44"/>
  <c r="F38" i="44"/>
  <c r="R39" i="44" l="1"/>
  <c r="R46" i="44"/>
  <c r="L25" i="29" s="1" a="1"/>
  <c r="L25" i="29" s="1"/>
  <c r="R42" i="44"/>
  <c r="J61" i="44"/>
  <c r="R48" i="44"/>
  <c r="N25" i="29" s="1" a="1"/>
  <c r="N25" i="29" s="1"/>
  <c r="R41" i="44"/>
  <c r="R40" i="44"/>
  <c r="R45" i="44"/>
  <c r="K25" i="29" s="1" a="1"/>
  <c r="K25" i="29" s="1"/>
  <c r="K34" i="29" s="1"/>
  <c r="K35" i="29" s="1"/>
  <c r="R47" i="44"/>
  <c r="M25" i="29" s="1" a="1"/>
  <c r="M25" i="29" s="1"/>
  <c r="M34" i="29" s="1"/>
  <c r="M35" i="29" s="1"/>
  <c r="R49" i="44"/>
  <c r="O25" i="29" s="1" a="1"/>
  <c r="O25" i="29" s="1"/>
  <c r="O34" i="29" s="1"/>
  <c r="O35" i="29" s="1"/>
  <c r="R44" i="44"/>
  <c r="J25" i="29" s="1" a="1"/>
  <c r="J25" i="29" s="1"/>
  <c r="J63" i="44"/>
  <c r="R63" i="44"/>
  <c r="F63" i="44"/>
  <c r="R43" i="44"/>
  <c r="I25" i="29" s="1" a="1"/>
  <c r="I25" i="29" s="1"/>
  <c r="I43" i="44"/>
  <c r="I63" i="44" s="1"/>
  <c r="I38" i="44"/>
  <c r="J38" i="44"/>
  <c r="G25" i="29" l="1" a="1"/>
  <c r="G25" i="29" s="1"/>
  <c r="H25" i="29" a="1"/>
  <c r="H25" i="29" s="1"/>
  <c r="F25" i="29" a="1"/>
  <c r="F25" i="29" s="1"/>
  <c r="E25" i="29" a="1"/>
  <c r="E25" i="29" s="1"/>
  <c r="C25" i="29" a="1"/>
  <c r="C25" i="29" s="1"/>
  <c r="R38" i="44"/>
  <c r="D25" i="29" s="1" a="1"/>
  <c r="D25" i="29" s="1"/>
  <c r="O13" i="49" l="1"/>
  <c r="B36" i="50"/>
  <c r="O27" i="49" l="1"/>
  <c r="O30" i="49" s="1"/>
  <c r="K20" i="49"/>
  <c r="K19" i="49" l="1"/>
  <c r="D9" i="49" s="1" a="1"/>
  <c r="D9" i="49" s="1"/>
  <c r="K37" i="49" l="1"/>
  <c r="K38" i="49" s="1"/>
  <c r="K14" i="49"/>
  <c r="AR37" i="44" s="1"/>
  <c r="AR38" i="44" s="1"/>
  <c r="AR39" i="44" s="1"/>
  <c r="AR40" i="44" s="1"/>
  <c r="AR41" i="44" s="1"/>
  <c r="AR42" i="44" s="1"/>
  <c r="AR43" i="44" s="1"/>
  <c r="AR44" i="44" s="1"/>
  <c r="AR45" i="44" s="1"/>
  <c r="AR46" i="44" s="1"/>
  <c r="AR47" i="44" s="1"/>
  <c r="AR48" i="44" s="1"/>
  <c r="AR49" i="44" s="1"/>
  <c r="AR50" i="44" s="1"/>
  <c r="AR51" i="44" s="1"/>
  <c r="AR52" i="44" s="1"/>
  <c r="AR53" i="44" s="1"/>
  <c r="AR54" i="44" s="1"/>
  <c r="AR55" i="44" s="1"/>
  <c r="AR56" i="44" s="1"/>
  <c r="AR57" i="44" s="1"/>
  <c r="AR58" i="44" s="1"/>
  <c r="AR59" i="44" s="1"/>
  <c r="AR63" i="44" l="1"/>
  <c r="D40" i="49" a="1"/>
  <c r="D40" i="49" s="1"/>
  <c r="D12" i="32" s="1"/>
  <c r="O17" i="49"/>
  <c r="V25" i="49"/>
  <c r="K13" i="49" l="1"/>
  <c r="P3" i="41" s="1"/>
  <c r="P4" i="41" s="1"/>
  <c r="K16" i="49" l="1"/>
  <c r="V27" i="49" s="1"/>
  <c r="R4" i="41"/>
  <c r="D10" i="49" l="1" a="1"/>
  <c r="D10" i="49" s="1"/>
  <c r="D3" i="32" s="1"/>
  <c r="D4" i="29" s="1"/>
  <c r="C42" i="29" l="1"/>
  <c r="A42" i="29" s="1"/>
  <c r="C81" i="32" s="1"/>
  <c r="C82" i="32" s="1"/>
  <c r="C84" i="32" s="1"/>
  <c r="D33" i="49"/>
  <c r="D35" i="49"/>
  <c r="D3" i="50"/>
  <c r="D36" i="49"/>
  <c r="E3" i="50" l="1"/>
  <c r="F3" i="50" s="1"/>
  <c r="D1" i="50"/>
  <c r="D83" i="32"/>
  <c r="D86" i="32" s="1"/>
  <c r="C92" i="32"/>
  <c r="D92" i="32" s="1"/>
  <c r="D37" i="49"/>
  <c r="D6" i="32" s="1"/>
  <c r="D8" i="29" s="1"/>
  <c r="C44" i="29" s="1"/>
  <c r="C89" i="32"/>
  <c r="C87" i="32" s="1"/>
  <c r="C88" i="32"/>
  <c r="P44" i="29"/>
  <c r="P54" i="29" s="1"/>
  <c r="P55" i="29" s="1"/>
  <c r="O44" i="29"/>
  <c r="M44" i="29" l="1"/>
  <c r="N44" i="29"/>
  <c r="K44" i="29"/>
  <c r="I44" i="29"/>
  <c r="L44" i="29"/>
  <c r="J44" i="29"/>
  <c r="E44" i="29"/>
  <c r="G44" i="29"/>
  <c r="A44" i="29"/>
  <c r="F81" i="32" s="1"/>
  <c r="F44" i="29"/>
  <c r="D34" i="49"/>
  <c r="D44" i="29"/>
  <c r="H44" i="29"/>
  <c r="B20" i="31" l="1"/>
  <c r="A20" i="31" s="1"/>
  <c r="M89" i="53" l="1"/>
  <c r="M90" i="53" s="1"/>
  <c r="M91" i="53" s="1"/>
  <c r="M92" i="53" s="1"/>
  <c r="M93" i="53" s="1"/>
  <c r="M94" i="53" s="1"/>
  <c r="M95" i="53" s="1"/>
  <c r="M96" i="53" s="1"/>
  <c r="M97" i="53" s="1"/>
  <c r="M98" i="53" s="1"/>
  <c r="M99" i="53" s="1"/>
  <c r="T119" i="53"/>
  <c r="J53" i="53" l="1"/>
  <c r="J54" i="53" s="1"/>
  <c r="J55" i="53" s="1"/>
  <c r="J56" i="53" s="1"/>
  <c r="J57" i="53" s="1"/>
  <c r="J58" i="53" s="1"/>
  <c r="J59" i="53" s="1"/>
  <c r="J60" i="53" s="1"/>
  <c r="J61" i="53" s="1"/>
  <c r="J62" i="53" s="1"/>
  <c r="J63" i="53" s="1"/>
  <c r="J64" i="53" s="1"/>
  <c r="J65" i="53" s="1"/>
  <c r="J66" i="53" s="1"/>
  <c r="J67" i="53" s="1"/>
  <c r="J68" i="53" s="1"/>
  <c r="J69" i="53" s="1"/>
  <c r="J70" i="53" s="1"/>
  <c r="J71" i="53" s="1"/>
  <c r="J72" i="53" s="1"/>
  <c r="J73" i="53" s="1"/>
  <c r="J74" i="53" s="1"/>
  <c r="J75" i="53" s="1"/>
  <c r="J76" i="53" s="1"/>
  <c r="J77" i="53" s="1"/>
  <c r="J78" i="53" s="1"/>
  <c r="J79" i="53" s="1"/>
  <c r="J80" i="53" s="1"/>
  <c r="J81" i="53" s="1"/>
  <c r="J82" i="53" s="1"/>
  <c r="J83" i="53" s="1"/>
  <c r="J84" i="53" s="1"/>
  <c r="J85" i="53" s="1"/>
  <c r="J86" i="53" s="1"/>
  <c r="J87" i="53" s="1"/>
  <c r="J88" i="53" s="1"/>
  <c r="J89" i="53" s="1"/>
  <c r="J90" i="53" s="1"/>
  <c r="J91" i="53" s="1"/>
  <c r="J92" i="53" s="1"/>
  <c r="J93" i="53" s="1"/>
  <c r="J94" i="53" s="1"/>
  <c r="J95" i="53" s="1"/>
  <c r="J96" i="53" s="1"/>
  <c r="J97" i="53" s="1"/>
  <c r="J98" i="53" s="1"/>
  <c r="J99" i="53" s="1"/>
  <c r="U119" i="53"/>
  <c r="K65" i="53" l="1"/>
  <c r="K66" i="53" s="1"/>
  <c r="K67" i="53" s="1"/>
  <c r="K68" i="53" s="1"/>
  <c r="K69" i="53" s="1"/>
  <c r="K70" i="53" s="1"/>
  <c r="K71" i="53" s="1"/>
  <c r="K72" i="53" s="1"/>
  <c r="K73" i="53" s="1"/>
  <c r="K74" i="53" s="1"/>
  <c r="K75" i="53" s="1"/>
  <c r="K76" i="53" s="1"/>
  <c r="K77" i="53" s="1"/>
  <c r="K78" i="53" s="1"/>
  <c r="K79" i="53" s="1"/>
  <c r="K80" i="53" s="1"/>
  <c r="K81" i="53" s="1"/>
  <c r="K82" i="53" s="1"/>
  <c r="K83" i="53" s="1"/>
  <c r="K84" i="53" s="1"/>
  <c r="K85" i="53" s="1"/>
  <c r="K86" i="53" s="1"/>
  <c r="K87" i="53" s="1"/>
  <c r="K88" i="53" s="1"/>
  <c r="K89" i="53" s="1"/>
  <c r="K90" i="53" s="1"/>
  <c r="K91" i="53" s="1"/>
  <c r="K92" i="53" s="1"/>
  <c r="K93" i="53" s="1"/>
  <c r="K94" i="53" s="1"/>
  <c r="K95" i="53" s="1"/>
  <c r="K96" i="53" s="1"/>
  <c r="K97" i="53" s="1"/>
  <c r="K98" i="53" s="1"/>
  <c r="K99" i="53" s="1"/>
  <c r="V119" i="53"/>
  <c r="L77" i="53" l="1"/>
  <c r="L78" i="53" s="1"/>
  <c r="L79" i="53" s="1"/>
  <c r="L80" i="53" s="1"/>
  <c r="L81" i="53" s="1"/>
  <c r="L82" i="53" s="1"/>
  <c r="L83" i="53" s="1"/>
  <c r="L84" i="53" s="1"/>
  <c r="L85" i="53" s="1"/>
  <c r="L86" i="53" s="1"/>
  <c r="L87" i="53" s="1"/>
  <c r="L88" i="53" s="1"/>
  <c r="L89" i="53" s="1"/>
  <c r="L90" i="53" s="1"/>
  <c r="L91" i="53" s="1"/>
  <c r="L92" i="53" s="1"/>
  <c r="L93" i="53" s="1"/>
  <c r="L94" i="53" s="1"/>
  <c r="L95" i="53" s="1"/>
  <c r="L96" i="53" s="1"/>
  <c r="L97" i="53" s="1"/>
  <c r="L98" i="53" s="1"/>
  <c r="L99" i="53" s="1"/>
  <c r="C69" i="44" l="1"/>
  <c r="Q61" i="44"/>
  <c r="J8" i="49" l="1"/>
  <c r="J7" i="49" s="1"/>
  <c r="J5" i="49" s="1"/>
  <c r="C4" i="49" s="1" a="1"/>
  <c r="C4" i="49" s="1"/>
  <c r="J34" i="29"/>
  <c r="J35" i="29" s="1"/>
  <c r="I34" i="29"/>
  <c r="I35" i="29" s="1"/>
  <c r="C16" i="49" l="1" a="1"/>
  <c r="C16" i="49" s="1"/>
  <c r="E9" i="39" s="1"/>
  <c r="C11" i="49" a="1"/>
  <c r="C11" i="49" s="1"/>
  <c r="U24" i="49"/>
  <c r="C21" i="50" s="1"/>
  <c r="C22" i="50" s="1"/>
  <c r="AB36" i="44" l="1"/>
  <c r="AB37" i="44" s="1"/>
  <c r="F9" i="39"/>
  <c r="C8" i="50" s="1"/>
  <c r="E6" i="39"/>
  <c r="E8" i="39" s="1"/>
  <c r="F8" i="39" s="1"/>
  <c r="J8" i="39" s="1"/>
  <c r="E34" i="29"/>
  <c r="E35" i="29" s="1"/>
  <c r="D34" i="29"/>
  <c r="D35" i="29" s="1"/>
  <c r="F6" i="39" l="1"/>
  <c r="E26" i="39" s="1"/>
  <c r="E20" i="39" s="1"/>
  <c r="E22" i="39" s="1"/>
  <c r="AB38" i="44"/>
  <c r="AB39" i="44" s="1"/>
  <c r="AB40" i="44" s="1"/>
  <c r="AB41" i="44" s="1"/>
  <c r="AB42" i="44" s="1"/>
  <c r="AB43" i="44" s="1"/>
  <c r="AB44" i="44" s="1"/>
  <c r="AB45" i="44" s="1"/>
  <c r="AB46" i="44" s="1"/>
  <c r="AB47" i="44" s="1"/>
  <c r="AB48" i="44" s="1"/>
  <c r="AB49" i="44" s="1"/>
  <c r="AB50" i="44" s="1"/>
  <c r="AB51" i="44" s="1"/>
  <c r="AB52" i="44" s="1"/>
  <c r="AB53" i="44" s="1"/>
  <c r="AB54" i="44" s="1"/>
  <c r="AB55" i="44" s="1"/>
  <c r="AB56" i="44" s="1"/>
  <c r="AB57" i="44" s="1"/>
  <c r="AB58" i="44" s="1"/>
  <c r="AB59" i="44" s="1"/>
  <c r="AB61" i="44" s="1"/>
  <c r="I8" i="39"/>
  <c r="AB63" i="44" l="1"/>
  <c r="F20" i="39"/>
  <c r="E28" i="39"/>
  <c r="F28" i="39" s="1"/>
  <c r="N14" i="39" s="1"/>
  <c r="F26" i="39"/>
  <c r="E14" i="39"/>
  <c r="E38" i="39" s="1"/>
  <c r="F38" i="39" s="1"/>
  <c r="F22" i="39"/>
  <c r="N15" i="39" s="1"/>
  <c r="E23" i="39"/>
  <c r="E29" i="39" l="1"/>
  <c r="E31" i="39" s="1"/>
  <c r="E68" i="39" s="1"/>
  <c r="F68" i="39" s="1"/>
  <c r="L68" i="39" s="1"/>
  <c r="E16" i="39"/>
  <c r="E40" i="39" s="1"/>
  <c r="F40" i="39" s="1"/>
  <c r="N17" i="39" s="1"/>
  <c r="E32" i="39"/>
  <c r="F32" i="39" s="1"/>
  <c r="F14" i="39"/>
  <c r="F23" i="39"/>
  <c r="N25" i="39" s="1"/>
  <c r="E25" i="39"/>
  <c r="F25" i="39" s="1"/>
  <c r="E24" i="39"/>
  <c r="F24" i="39" s="1"/>
  <c r="F29" i="39" l="1"/>
  <c r="N24" i="39" s="1"/>
  <c r="F31" i="39"/>
  <c r="J31" i="39" s="1"/>
  <c r="E30" i="39"/>
  <c r="F30" i="39" s="1"/>
  <c r="E34" i="39"/>
  <c r="F34" i="39" s="1"/>
  <c r="C12" i="50" s="1"/>
  <c r="F16" i="39"/>
  <c r="N16" i="39" s="1"/>
  <c r="E17" i="39"/>
  <c r="F17" i="39" s="1"/>
  <c r="N26" i="39" s="1"/>
  <c r="I25" i="39"/>
  <c r="J25" i="39"/>
  <c r="I31" i="39" l="1"/>
  <c r="C13" i="50"/>
  <c r="E13" i="50" s="1"/>
  <c r="F13" i="50" s="1"/>
  <c r="N18" i="39"/>
  <c r="E18" i="39"/>
  <c r="F18" i="39" s="1"/>
  <c r="E19" i="39"/>
  <c r="F19" i="39" s="1"/>
  <c r="C14" i="50" s="1"/>
  <c r="E35" i="39"/>
  <c r="F35" i="39" s="1"/>
  <c r="E41" i="39"/>
  <c r="E42" i="39" s="1"/>
  <c r="F42" i="39" s="1"/>
  <c r="C17" i="50" s="1"/>
  <c r="E17" i="50" s="1"/>
  <c r="F17" i="50" s="1"/>
  <c r="N28" i="39" l="1"/>
  <c r="C9" i="50"/>
  <c r="E36" i="39"/>
  <c r="E50" i="39" s="1"/>
  <c r="E54" i="39" s="1"/>
  <c r="F41" i="39"/>
  <c r="N27" i="39" s="1"/>
  <c r="E57" i="39"/>
  <c r="F57" i="39" s="1"/>
  <c r="E37" i="39"/>
  <c r="E44" i="39" s="1"/>
  <c r="E48" i="39" s="1"/>
  <c r="E43" i="39"/>
  <c r="F43" i="39" s="1"/>
  <c r="C18" i="50" l="1"/>
  <c r="E18" i="50" s="1"/>
  <c r="F18" i="50" s="1"/>
  <c r="E70" i="39"/>
  <c r="E61" i="39"/>
  <c r="E63" i="39" s="1"/>
  <c r="F63" i="39" s="1"/>
  <c r="N29" i="39" s="1"/>
  <c r="F50" i="39"/>
  <c r="F36" i="39"/>
  <c r="C15" i="50" s="1"/>
  <c r="I43" i="39"/>
  <c r="J43" i="39"/>
  <c r="C19" i="50"/>
  <c r="L79" i="50" s="1"/>
  <c r="F44" i="39"/>
  <c r="F37" i="39"/>
  <c r="C16" i="50" s="1"/>
  <c r="E56" i="39"/>
  <c r="F56" i="39" s="1"/>
  <c r="N30" i="39" s="1"/>
  <c r="E64" i="39"/>
  <c r="F64" i="39" s="1"/>
  <c r="E55" i="39"/>
  <c r="F55" i="39" s="1"/>
  <c r="N20" i="39" s="1"/>
  <c r="F54" i="39"/>
  <c r="E49" i="39"/>
  <c r="F49" i="39" s="1"/>
  <c r="F48" i="39"/>
  <c r="F61" i="39" l="1"/>
  <c r="E76" i="39" s="1"/>
  <c r="E62" i="39"/>
  <c r="F62" i="39" s="1"/>
  <c r="N19" i="39" s="1"/>
  <c r="C10" i="50"/>
  <c r="C20" i="50"/>
  <c r="I61" i="39" l="1"/>
  <c r="L71" i="39"/>
  <c r="J61" i="39"/>
  <c r="O100" i="50"/>
  <c r="K100" i="50"/>
  <c r="AE45" i="44" l="1"/>
  <c r="AE46" i="44" s="1"/>
  <c r="AE47" i="44" s="1"/>
  <c r="AE48" i="44" s="1"/>
  <c r="AE49" i="44" s="1"/>
  <c r="AE50" i="44" s="1"/>
  <c r="AE51" i="44" s="1"/>
  <c r="AE52" i="44" s="1"/>
  <c r="AE53" i="44" s="1"/>
  <c r="AE54" i="44" s="1"/>
  <c r="AE55" i="44" s="1"/>
  <c r="AE56" i="44" s="1"/>
  <c r="AE57" i="44" s="1"/>
  <c r="AE58" i="44" s="1"/>
  <c r="AE59" i="44" s="1"/>
  <c r="AE39" i="44" l="1"/>
  <c r="AE40" i="44" s="1"/>
  <c r="AE41" i="44" s="1"/>
  <c r="AE42" i="44" s="1"/>
  <c r="AE43" i="44" s="1"/>
  <c r="BL40" i="44" l="1"/>
  <c r="BL41" i="44"/>
  <c r="BL42" i="44"/>
  <c r="BL43" i="44"/>
  <c r="BL44" i="44"/>
  <c r="BL45" i="44"/>
  <c r="BL46" i="44"/>
  <c r="BL47" i="44"/>
  <c r="BL48" i="44"/>
  <c r="BL49" i="44"/>
  <c r="BL50" i="44"/>
  <c r="BL51" i="44"/>
  <c r="BL52" i="44"/>
  <c r="BL53" i="44"/>
  <c r="BL54" i="44"/>
  <c r="BL55" i="44"/>
  <c r="BL56" i="44"/>
  <c r="BL57" i="44"/>
  <c r="BL58" i="44"/>
  <c r="BL59" i="44"/>
  <c r="BL61" i="44" l="1"/>
  <c r="S42" i="44"/>
  <c r="H46" i="29" s="1" a="1"/>
  <c r="H46" i="29" s="1"/>
  <c r="S49" i="44"/>
  <c r="O46" i="29" s="1" a="1"/>
  <c r="O46" i="29" s="1"/>
  <c r="O54" i="29" s="1"/>
  <c r="O55" i="29" s="1"/>
  <c r="S45" i="44"/>
  <c r="K46" i="29" s="1" a="1"/>
  <c r="K46" i="29" s="1"/>
  <c r="K54" i="29" s="1"/>
  <c r="K55" i="29" s="1"/>
  <c r="S41" i="44"/>
  <c r="S47" i="44"/>
  <c r="M46" i="29" s="1" a="1"/>
  <c r="M46" i="29" s="1"/>
  <c r="M54" i="29" s="1"/>
  <c r="M55" i="29" s="1"/>
  <c r="S43" i="44"/>
  <c r="I46" i="29" s="1" a="1"/>
  <c r="I46" i="29" s="1"/>
  <c r="I54" i="29" s="1"/>
  <c r="I55" i="29" s="1"/>
  <c r="S46" i="44"/>
  <c r="L46" i="29" s="1" a="1"/>
  <c r="L46" i="29" s="1"/>
  <c r="S48" i="44"/>
  <c r="N46" i="29" s="1" a="1"/>
  <c r="N46" i="29" s="1"/>
  <c r="S40" i="44"/>
  <c r="F46" i="29" s="1" a="1"/>
  <c r="F46" i="29" s="1"/>
  <c r="S44" i="44"/>
  <c r="C46" i="29" s="1" a="1"/>
  <c r="C46" i="29" s="1"/>
  <c r="BL63" i="44"/>
  <c r="O14" i="49" s="1"/>
  <c r="E62" i="44"/>
  <c r="F62" i="44"/>
  <c r="G62" i="44"/>
  <c r="H62" i="44"/>
  <c r="I62" i="44"/>
  <c r="J62" i="44"/>
  <c r="O15" i="49" s="1"/>
  <c r="K62" i="44"/>
  <c r="L62" i="44"/>
  <c r="M62" i="44"/>
  <c r="N62" i="44"/>
  <c r="O62" i="44"/>
  <c r="P62" i="44"/>
  <c r="Q62" i="44"/>
  <c r="T62" i="44"/>
  <c r="AB62" i="44"/>
  <c r="AC62" i="44"/>
  <c r="AD62" i="44"/>
  <c r="AE62" i="44"/>
  <c r="AH62" i="44"/>
  <c r="AI62" i="44"/>
  <c r="AJ62" i="44"/>
  <c r="AK62" i="44"/>
  <c r="AL62" i="44"/>
  <c r="AS62" i="44"/>
  <c r="AZ62" i="44"/>
  <c r="BA62" i="44"/>
  <c r="BB62" i="44"/>
  <c r="BC62" i="44"/>
  <c r="BD62" i="44"/>
  <c r="BE62" i="44"/>
  <c r="BF62" i="44"/>
  <c r="BG62" i="44"/>
  <c r="BH62" i="44"/>
  <c r="BI62" i="44"/>
  <c r="BJ62" i="44"/>
  <c r="BK62" i="44"/>
  <c r="BL62" i="44"/>
  <c r="O16" i="49" s="1"/>
  <c r="B36" i="45"/>
  <c r="C36" i="45"/>
  <c r="D36" i="45"/>
  <c r="E36" i="45"/>
  <c r="F36" i="45"/>
  <c r="G36" i="45"/>
  <c r="H36" i="45"/>
  <c r="I36" i="45"/>
  <c r="J36" i="45"/>
  <c r="K36" i="45"/>
  <c r="L36" i="45"/>
  <c r="M36" i="45"/>
  <c r="N36" i="45"/>
  <c r="O36" i="45"/>
  <c r="P36" i="45"/>
  <c r="Q36" i="45"/>
  <c r="O21" i="49" s="1"/>
  <c r="G15" i="39" s="1"/>
  <c r="D46" i="29" l="1" a="1"/>
  <c r="D46" i="29" s="1"/>
  <c r="D54" i="29" s="1"/>
  <c r="D55" i="29" s="1"/>
  <c r="E46" i="29" a="1"/>
  <c r="E46" i="29" s="1"/>
  <c r="E54" i="29" s="1"/>
  <c r="E55" i="29" s="1"/>
  <c r="G46" i="29" a="1"/>
  <c r="G46" i="29" s="1"/>
  <c r="S63" i="44"/>
  <c r="J46" i="29" a="1"/>
  <c r="J46" i="29" s="1"/>
  <c r="J54" i="29" s="1"/>
  <c r="J55" i="29" s="1"/>
  <c r="K31" i="49"/>
  <c r="D24" i="49" s="1" a="1"/>
  <c r="D24" i="49" s="1"/>
  <c r="G33" i="39"/>
  <c r="H33" i="39" s="1"/>
  <c r="H15" i="39"/>
  <c r="G16" i="39"/>
  <c r="D8" i="32"/>
  <c r="D15" i="32" s="1"/>
  <c r="K32" i="49"/>
  <c r="D23" i="49" s="1" a="1"/>
  <c r="D23" i="49" s="1"/>
  <c r="J32" i="49"/>
  <c r="C23" i="49" s="1" a="1"/>
  <c r="C23" i="49" s="1"/>
  <c r="C7" i="32"/>
  <c r="C15" i="32" s="1"/>
  <c r="J31" i="49"/>
  <c r="C24" i="49" s="1" a="1"/>
  <c r="C24" i="49" s="1"/>
  <c r="E15" i="32" l="1"/>
  <c r="F15" i="32" s="1"/>
  <c r="D10" i="29"/>
  <c r="D7" i="50" s="1"/>
  <c r="C9" i="29"/>
  <c r="E14" i="29" s="1"/>
  <c r="E9" i="29" s="1"/>
  <c r="H16" i="39"/>
  <c r="O16" i="39" s="1"/>
  <c r="G34" i="39"/>
  <c r="H34" i="39" s="1"/>
  <c r="I34" i="39" s="1"/>
  <c r="G17" i="39"/>
  <c r="A46" i="29" l="1"/>
  <c r="G81" i="32" s="1"/>
  <c r="F14" i="29"/>
  <c r="F13" i="29" s="1"/>
  <c r="C7" i="50"/>
  <c r="E7" i="50" s="1"/>
  <c r="F7" i="50" s="1"/>
  <c r="A25" i="29"/>
  <c r="G50" i="32" s="1"/>
  <c r="J34" i="39"/>
  <c r="D12" i="50"/>
  <c r="E12" i="50" s="1"/>
  <c r="F12" i="50" s="1"/>
  <c r="O18" i="39"/>
  <c r="G18" i="39"/>
  <c r="H18" i="39" s="1"/>
  <c r="H17" i="39"/>
  <c r="O26" i="39" s="1"/>
  <c r="G35" i="39"/>
  <c r="G19" i="39"/>
  <c r="H19" i="39" s="1"/>
  <c r="E10" i="29"/>
  <c r="E12" i="29"/>
  <c r="E8" i="29"/>
  <c r="E11" i="29"/>
  <c r="E13" i="29"/>
  <c r="B21" i="31" l="1"/>
  <c r="A21" i="31" s="1"/>
  <c r="Y24" i="29"/>
  <c r="Z24" i="29"/>
  <c r="H14" i="29"/>
  <c r="F12" i="29"/>
  <c r="F11" i="29"/>
  <c r="F9" i="29"/>
  <c r="F8" i="29"/>
  <c r="F10" i="29"/>
  <c r="B4" i="31"/>
  <c r="A4" i="31" s="1"/>
  <c r="D14" i="50"/>
  <c r="E14" i="50" s="1"/>
  <c r="F14" i="50" s="1"/>
  <c r="I19" i="39"/>
  <c r="J19" i="39"/>
  <c r="G36" i="39"/>
  <c r="H35" i="39"/>
  <c r="D9" i="50" s="1"/>
  <c r="G37" i="39"/>
  <c r="J35" i="39" l="1"/>
  <c r="O28" i="39"/>
  <c r="I35" i="39"/>
  <c r="G50" i="39"/>
  <c r="H36" i="39"/>
  <c r="D15" i="50" s="1"/>
  <c r="E15" i="50" s="1"/>
  <c r="F15" i="50" s="1"/>
  <c r="H37" i="39"/>
  <c r="G44" i="39"/>
  <c r="F70" i="39" l="1"/>
  <c r="L69" i="39" s="1"/>
  <c r="H44" i="39"/>
  <c r="G48" i="39"/>
  <c r="H48" i="39" s="1"/>
  <c r="E74" i="39" s="1"/>
  <c r="D16" i="50"/>
  <c r="E16" i="50" s="1"/>
  <c r="F16" i="50" s="1"/>
  <c r="I37" i="39"/>
  <c r="E72" i="39"/>
  <c r="D19" i="50"/>
  <c r="M79" i="50" s="1"/>
  <c r="J37" i="39"/>
  <c r="H50" i="39"/>
  <c r="G54" i="39"/>
  <c r="F76" i="39" l="1"/>
  <c r="J48" i="39"/>
  <c r="D10" i="50"/>
  <c r="E10" i="50" s="1"/>
  <c r="G49" i="39"/>
  <c r="H49" i="39" s="1"/>
  <c r="I48" i="39"/>
  <c r="G56" i="39"/>
  <c r="H56" i="39" s="1"/>
  <c r="O30" i="39" s="1"/>
  <c r="G55" i="39"/>
  <c r="H55" i="39" s="1"/>
  <c r="O20" i="39" s="1"/>
  <c r="G64" i="39"/>
  <c r="H64" i="39" s="1"/>
  <c r="H54" i="39"/>
  <c r="F72" i="39"/>
  <c r="L70" i="39" s="1"/>
  <c r="F10" i="50" l="1"/>
  <c r="J54" i="39"/>
  <c r="D20" i="50"/>
  <c r="I54" i="39"/>
  <c r="F74" i="39"/>
  <c r="L72" i="39" s="1"/>
  <c r="L101" i="50" l="1"/>
  <c r="M114" i="50" s="1" a="1"/>
  <c r="M114" i="50" s="1"/>
  <c r="L103" i="50"/>
  <c r="L105" i="50"/>
  <c r="L107" i="50"/>
  <c r="L109" i="50"/>
  <c r="L111" i="50"/>
  <c r="P109" i="50"/>
  <c r="L104" i="50"/>
  <c r="L108" i="50"/>
  <c r="P104" i="50"/>
  <c r="P108" i="50"/>
  <c r="E20" i="50"/>
  <c r="F20" i="50" s="1"/>
  <c r="P101" i="50"/>
  <c r="P103" i="50"/>
  <c r="P105" i="50"/>
  <c r="P107" i="50"/>
  <c r="P111" i="50"/>
  <c r="L102" i="50"/>
  <c r="L110" i="50"/>
  <c r="P106" i="50"/>
  <c r="L106" i="50"/>
  <c r="P102" i="50"/>
  <c r="P110" i="50"/>
  <c r="N5" i="41"/>
  <c r="N6" i="41" l="1"/>
  <c r="P5" i="41"/>
  <c r="C6" i="29"/>
  <c r="C32" i="29" l="1"/>
  <c r="C33" i="29" s="1"/>
  <c r="L32" i="29"/>
  <c r="N32" i="29"/>
  <c r="N34" i="29" s="1"/>
  <c r="N35" i="29" s="1"/>
  <c r="G32" i="29"/>
  <c r="H32" i="29"/>
  <c r="H33" i="29" s="1"/>
  <c r="F32" i="29"/>
  <c r="R5" i="41"/>
  <c r="N7" i="41"/>
  <c r="P6" i="41"/>
  <c r="C34" i="29" l="1"/>
  <c r="C35" i="29" s="1"/>
  <c r="L33" i="29"/>
  <c r="L34" i="29"/>
  <c r="L35" i="29" s="1"/>
  <c r="H34" i="29"/>
  <c r="H35" i="29" s="1"/>
  <c r="G33" i="29"/>
  <c r="G34" i="29"/>
  <c r="G35" i="29" s="1"/>
  <c r="F33" i="29"/>
  <c r="F34" i="29"/>
  <c r="F35" i="29" s="1"/>
  <c r="R6" i="41"/>
  <c r="N8" i="41"/>
  <c r="P7" i="41"/>
  <c r="A32" i="29" l="1"/>
  <c r="D50" i="32" s="1"/>
  <c r="D51" i="32" s="1"/>
  <c r="D63" i="32" s="1"/>
  <c r="E63" i="32" s="1"/>
  <c r="A34" i="29"/>
  <c r="A35" i="29"/>
  <c r="E3" i="39" s="1"/>
  <c r="R7" i="41"/>
  <c r="N9" i="41"/>
  <c r="P8" i="41"/>
  <c r="B3" i="31" l="1"/>
  <c r="A3" i="31" s="1"/>
  <c r="E51" i="32"/>
  <c r="E53" i="32" s="1"/>
  <c r="D53" i="32"/>
  <c r="D57" i="32" s="1"/>
  <c r="Y23" i="29"/>
  <c r="Y25" i="29" s="1"/>
  <c r="AA24" i="29" s="1"/>
  <c r="A14" i="31"/>
  <c r="A36" i="29"/>
  <c r="E5" i="39" s="1"/>
  <c r="F3" i="39"/>
  <c r="C4" i="50" s="1"/>
  <c r="R8" i="41"/>
  <c r="N10" i="41"/>
  <c r="P9" i="41"/>
  <c r="E4" i="39"/>
  <c r="F4" i="39"/>
  <c r="N4" i="39" s="1"/>
  <c r="E65" i="32" l="1"/>
  <c r="F65" i="32" s="1"/>
  <c r="D58" i="32"/>
  <c r="D56" i="32" s="1"/>
  <c r="F51" i="32"/>
  <c r="F67" i="32" s="1"/>
  <c r="G67" i="32" s="1"/>
  <c r="F52" i="32"/>
  <c r="F55" i="32" s="1"/>
  <c r="E58" i="32"/>
  <c r="E56" i="32" s="1"/>
  <c r="E57" i="32"/>
  <c r="AA23" i="29"/>
  <c r="N3" i="39"/>
  <c r="F5" i="39"/>
  <c r="R9" i="41"/>
  <c r="N11" i="41"/>
  <c r="P10" i="41"/>
  <c r="C6" i="50"/>
  <c r="C5" i="50"/>
  <c r="G52" i="32" l="1"/>
  <c r="G55" i="32" s="1"/>
  <c r="F53" i="32"/>
  <c r="G51" i="32"/>
  <c r="G69" i="32" s="1"/>
  <c r="F52" i="29"/>
  <c r="R10" i="41"/>
  <c r="N12" i="41"/>
  <c r="P11" i="41"/>
  <c r="K4" i="50"/>
  <c r="J58" i="50"/>
  <c r="K41" i="50"/>
  <c r="K25" i="50"/>
  <c r="G53" i="32" l="1"/>
  <c r="H52" i="32"/>
  <c r="H55" i="32" s="1"/>
  <c r="H69" i="32"/>
  <c r="H51" i="32"/>
  <c r="F57" i="32"/>
  <c r="F58" i="32"/>
  <c r="F56" i="32" s="1"/>
  <c r="F53" i="29"/>
  <c r="F54" i="29"/>
  <c r="F55" i="29" s="1"/>
  <c r="R11" i="41"/>
  <c r="N13" i="41"/>
  <c r="P12" i="41"/>
  <c r="H53" i="32" l="1"/>
  <c r="I51" i="32"/>
  <c r="I52" i="32"/>
  <c r="I55" i="32" s="1"/>
  <c r="H71" i="32"/>
  <c r="I71" i="32" s="1"/>
  <c r="G58" i="32"/>
  <c r="G56" i="32" s="1"/>
  <c r="G57" i="32"/>
  <c r="R12" i="41"/>
  <c r="N14" i="41"/>
  <c r="P13" i="41"/>
  <c r="J51" i="32" l="1"/>
  <c r="I53" i="32"/>
  <c r="J52" i="32"/>
  <c r="J55" i="32" s="1"/>
  <c r="I73" i="32"/>
  <c r="J73" i="32" s="1"/>
  <c r="H57" i="32"/>
  <c r="H58" i="32"/>
  <c r="H56" i="32" s="1"/>
  <c r="R13" i="41"/>
  <c r="N15" i="41"/>
  <c r="N16" i="41" s="1"/>
  <c r="P14" i="41"/>
  <c r="I57" i="32" l="1"/>
  <c r="I58" i="32"/>
  <c r="I56" i="32" s="1"/>
  <c r="J75" i="32"/>
  <c r="K75" i="32" s="1"/>
  <c r="K51" i="32"/>
  <c r="J53" i="32"/>
  <c r="R14" i="41"/>
  <c r="L16" i="41"/>
  <c r="N17" i="41"/>
  <c r="P15" i="41"/>
  <c r="D5" i="32" s="1"/>
  <c r="K53" i="32" l="1"/>
  <c r="K77" i="32"/>
  <c r="J57" i="32"/>
  <c r="J58" i="32"/>
  <c r="J56" i="32" s="1"/>
  <c r="D6" i="29"/>
  <c r="L52" i="29" s="1"/>
  <c r="G52" i="29"/>
  <c r="G53" i="29" s="1"/>
  <c r="C52" i="29"/>
  <c r="N52" i="29"/>
  <c r="N54" i="29" s="1"/>
  <c r="N55" i="29" s="1"/>
  <c r="P16" i="41"/>
  <c r="R16" i="41" s="1"/>
  <c r="R15" i="41"/>
  <c r="N18" i="41"/>
  <c r="L18" i="41" s="1"/>
  <c r="L17" i="41"/>
  <c r="H52" i="29" l="1"/>
  <c r="H54" i="29" s="1"/>
  <c r="L53" i="29"/>
  <c r="L54" i="29"/>
  <c r="L55" i="29" s="1"/>
  <c r="K57" i="32"/>
  <c r="K58" i="32"/>
  <c r="K56" i="32" s="1"/>
  <c r="G54" i="29"/>
  <c r="G55" i="29" s="1"/>
  <c r="C53" i="29"/>
  <c r="C54" i="29"/>
  <c r="C55" i="29" s="1"/>
  <c r="H53" i="29"/>
  <c r="P17" i="41"/>
  <c r="R17" i="41" s="1"/>
  <c r="A52" i="29" l="1"/>
  <c r="D81" i="32" s="1"/>
  <c r="D82" i="32" s="1"/>
  <c r="H55" i="29"/>
  <c r="A55" i="29" s="1"/>
  <c r="A54" i="29"/>
  <c r="P18" i="41"/>
  <c r="R18" i="41" s="1"/>
  <c r="D94" i="32" l="1"/>
  <c r="E94" i="32" s="1"/>
  <c r="D84" i="32"/>
  <c r="E82" i="32"/>
  <c r="B18" i="31"/>
  <c r="A18" i="31" s="1"/>
  <c r="Z23" i="29"/>
  <c r="Z25" i="29" s="1"/>
  <c r="AB24" i="29" s="1"/>
  <c r="A56" i="29"/>
  <c r="H3" i="39"/>
  <c r="I3" i="39" s="1"/>
  <c r="G3" i="39"/>
  <c r="A29" i="31" l="1"/>
  <c r="F83" i="32"/>
  <c r="F86" i="32" s="1"/>
  <c r="F82" i="32"/>
  <c r="D89" i="32"/>
  <c r="D87" i="32" s="1"/>
  <c r="D88" i="32"/>
  <c r="E96" i="32"/>
  <c r="E84" i="32"/>
  <c r="AB23" i="29"/>
  <c r="F67" i="39"/>
  <c r="O3" i="39"/>
  <c r="J3" i="39"/>
  <c r="E67" i="39"/>
  <c r="D4" i="50"/>
  <c r="H4" i="39"/>
  <c r="G4" i="39"/>
  <c r="H5" i="39"/>
  <c r="G5" i="39"/>
  <c r="E71" i="39" l="1"/>
  <c r="F71" i="39" s="1"/>
  <c r="M69" i="39" s="1"/>
  <c r="E77" i="39"/>
  <c r="F77" i="39" s="1"/>
  <c r="M71" i="39" s="1"/>
  <c r="K3" i="39"/>
  <c r="G83" i="32"/>
  <c r="G86" i="32" s="1"/>
  <c r="F98" i="32"/>
  <c r="G98" i="32" s="1"/>
  <c r="F84" i="32"/>
  <c r="G82" i="32"/>
  <c r="F96" i="32"/>
  <c r="E89" i="32"/>
  <c r="E87" i="32" s="1"/>
  <c r="E88" i="32"/>
  <c r="D5" i="50"/>
  <c r="D6" i="50"/>
  <c r="E6" i="50" s="1"/>
  <c r="F6" i="50" s="1"/>
  <c r="E4" i="50"/>
  <c r="O4" i="39"/>
  <c r="I4" i="39"/>
  <c r="J4" i="39"/>
  <c r="E69" i="39"/>
  <c r="F69" i="39" s="1"/>
  <c r="M68" i="39" s="1"/>
  <c r="E73" i="39"/>
  <c r="F73" i="39" s="1"/>
  <c r="M70" i="39" s="1"/>
  <c r="E75" i="39"/>
  <c r="F75" i="39" s="1"/>
  <c r="M72" i="39" s="1"/>
  <c r="G84" i="32" l="1"/>
  <c r="G88" i="32" s="1"/>
  <c r="G100" i="32"/>
  <c r="H100" i="32" s="1"/>
  <c r="H82" i="32"/>
  <c r="H102" i="32" s="1"/>
  <c r="I102" i="32" s="1"/>
  <c r="F89" i="32"/>
  <c r="F87" i="32" s="1"/>
  <c r="F88" i="32"/>
  <c r="H83" i="32"/>
  <c r="H86" i="32" s="1"/>
  <c r="E11" i="50"/>
  <c r="F4" i="50"/>
  <c r="L4" i="50"/>
  <c r="L25" i="50"/>
  <c r="L41" i="50"/>
  <c r="M58" i="50"/>
  <c r="E5" i="50"/>
  <c r="F5" i="50" s="1"/>
  <c r="G89" i="32" l="1"/>
  <c r="G87" i="32" s="1"/>
  <c r="I83" i="32"/>
  <c r="I86" i="32" s="1"/>
  <c r="H84" i="32"/>
  <c r="H89" i="32" s="1"/>
  <c r="H87" i="32" s="1"/>
  <c r="I82" i="32"/>
  <c r="I104" i="32" s="1"/>
  <c r="J104" i="32" s="1"/>
  <c r="I84" i="32" l="1"/>
  <c r="I89" i="32" s="1"/>
  <c r="I87" i="32" s="1"/>
  <c r="J82" i="32"/>
  <c r="J106" i="32" s="1"/>
  <c r="K106" i="32" s="1"/>
  <c r="H88" i="32"/>
  <c r="J83" i="32"/>
  <c r="J86" i="32" s="1"/>
  <c r="I88" i="32" l="1"/>
  <c r="K82" i="32"/>
  <c r="M82" i="32" s="1"/>
  <c r="J84" i="32"/>
  <c r="J88" i="32" s="1"/>
  <c r="K108" i="32" l="1"/>
  <c r="K84" i="32"/>
  <c r="K88" i="32" s="1"/>
  <c r="J89" i="32"/>
  <c r="J87" i="32" s="1"/>
  <c r="K89" i="32" l="1"/>
  <c r="K87" i="3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</author>
  </authors>
  <commentList>
    <comment ref="L30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LCA stets auf Fahrzeugleben bezogen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</author>
  </authors>
  <commentList>
    <comment ref="O19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Parameter: Jahre</t>
        </r>
      </text>
    </comment>
    <comment ref="O2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0.12-0.15</t>
        </r>
      </text>
    </comment>
    <comment ref="O2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500-1000</t>
        </r>
      </text>
    </comment>
    <comment ref="O28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0.05-0.25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Max</author>
  </authors>
  <commentList>
    <comment ref="CA5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0,12-0,15</t>
        </r>
      </text>
    </comment>
    <comment ref="CD5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Max:</t>
        </r>
        <r>
          <rPr>
            <sz val="9"/>
            <color indexed="81"/>
            <rFont val="Tahoma"/>
            <family val="2"/>
          </rPr>
          <t xml:space="preserve">
0,15-0,2</t>
        </r>
      </text>
    </comment>
  </commentList>
</comments>
</file>

<file path=xl/sharedStrings.xml><?xml version="1.0" encoding="utf-8"?>
<sst xmlns="http://schemas.openxmlformats.org/spreadsheetml/2006/main" count="2177" uniqueCount="1175">
  <si>
    <t>BEV</t>
  </si>
  <si>
    <t>ICE</t>
  </si>
  <si>
    <t>Einheit</t>
  </si>
  <si>
    <t>g co2/kwh</t>
  </si>
  <si>
    <t>l</t>
  </si>
  <si>
    <t>l/100km</t>
  </si>
  <si>
    <t>g co2/l</t>
  </si>
  <si>
    <t>km/l</t>
  </si>
  <si>
    <t>%</t>
  </si>
  <si>
    <t>€/l</t>
  </si>
  <si>
    <t>Local pollution costs in year 2011</t>
  </si>
  <si>
    <t>€/km</t>
  </si>
  <si>
    <t>Noise costs</t>
  </si>
  <si>
    <t>€</t>
  </si>
  <si>
    <t>km/kwh</t>
  </si>
  <si>
    <t>€/kWh</t>
  </si>
  <si>
    <t>years</t>
  </si>
  <si>
    <t>km/y</t>
  </si>
  <si>
    <t>Social rate of discount</t>
  </si>
  <si>
    <t>Yearly change in local pollution costs</t>
  </si>
  <si>
    <t>€/y</t>
  </si>
  <si>
    <t>kg</t>
  </si>
  <si>
    <t>%/y</t>
  </si>
  <si>
    <t>km</t>
  </si>
  <si>
    <t>kWh</t>
  </si>
  <si>
    <t>kg/kWh</t>
  </si>
  <si>
    <t>Price per capacity</t>
  </si>
  <si>
    <t>Price battery package</t>
  </si>
  <si>
    <t>Cost of Fuel</t>
  </si>
  <si>
    <t>Cost of Electricity</t>
  </si>
  <si>
    <t>km/d</t>
  </si>
  <si>
    <t>Residual value</t>
  </si>
  <si>
    <t>Years from now on</t>
  </si>
  <si>
    <t>km/kWh</t>
  </si>
  <si>
    <t>Fuel efficiency cy</t>
  </si>
  <si>
    <t>Electricity efficiency cy</t>
  </si>
  <si>
    <t>Battery cost</t>
  </si>
  <si>
    <t>Output</t>
  </si>
  <si>
    <t>Initial fuel price base year</t>
  </si>
  <si>
    <t>Initial electricity price base year</t>
  </si>
  <si>
    <t>Average fuel price during period</t>
  </si>
  <si>
    <t>Average electricity price during period</t>
  </si>
  <si>
    <t>Preise Batterieleasing</t>
  </si>
  <si>
    <t>Laufzeit</t>
  </si>
  <si>
    <t>Kosten Leasing:</t>
  </si>
  <si>
    <t>NR: Batterieleasing</t>
  </si>
  <si>
    <t>Grundpreis</t>
  </si>
  <si>
    <t>Bonus Laufzeit</t>
  </si>
  <si>
    <t>€/mon</t>
  </si>
  <si>
    <t>Infos Fluence ZE</t>
  </si>
  <si>
    <t>http://www.adac.de/_ext/itr/tests/Autotest/AT4724_Renault_Fluence_Z_E_Expression/Renault_Fluence_Z_E_Expression.pdf</t>
  </si>
  <si>
    <t>Fluence 1.6 16V 110 Dynamique</t>
  </si>
  <si>
    <t>http://www.adac.de/_ext/itr/tests/Autotest/AT4492_Renault_Fluence_1_6_16V_110_Dynamique/Renault_Fluence_1_6_16V_110_Dynamique.pdf</t>
  </si>
  <si>
    <t>Fuel reduction value</t>
  </si>
  <si>
    <t>http://www.springerlink.com/content/y62234g1n5677320/</t>
  </si>
  <si>
    <t>Restwert</t>
  </si>
  <si>
    <t>Strommix Deutschland</t>
  </si>
  <si>
    <t>http://www.umweltbundesamt.de/energie/archiv/co2-strommix.pdf</t>
  </si>
  <si>
    <t>Deutschland</t>
  </si>
  <si>
    <t>Frankreich</t>
  </si>
  <si>
    <t>Japan</t>
  </si>
  <si>
    <t>China</t>
  </si>
  <si>
    <t>Norwegen</t>
  </si>
  <si>
    <t>UK</t>
  </si>
  <si>
    <t>http://www.electricdrive.org/index.php?ht=a/GetDocumentAction/id/27907</t>
  </si>
  <si>
    <t>Modeling the CO2 emissions from battery electric vehicles given the power generation mixes of different countries</t>
  </si>
  <si>
    <t>Thema</t>
  </si>
  <si>
    <t>http://www.epa.gov/otaq/climate/documents/420f11041.pdf</t>
  </si>
  <si>
    <t>GHG eines konventionellen PKW</t>
  </si>
  <si>
    <t>MPG in km/l</t>
  </si>
  <si>
    <t>Gallon in l</t>
  </si>
  <si>
    <t>g co2/gallon</t>
  </si>
  <si>
    <t>CO2 Emissionen je gallon Benzin</t>
  </si>
  <si>
    <t>g CO2 je l Benzin</t>
  </si>
  <si>
    <t>g co2/km</t>
  </si>
  <si>
    <t>Country</t>
  </si>
  <si>
    <t>Germany</t>
  </si>
  <si>
    <t>France</t>
  </si>
  <si>
    <t>US</t>
  </si>
  <si>
    <t>Norway</t>
  </si>
  <si>
    <t>t co2</t>
  </si>
  <si>
    <t>Cost of each t CO2 reduction</t>
  </si>
  <si>
    <t>Consumption</t>
  </si>
  <si>
    <t>km/l in l/100km</t>
  </si>
  <si>
    <t>l/100km in km/l</t>
  </si>
  <si>
    <t>kWh/100km</t>
  </si>
  <si>
    <t>Fuel consumption cy</t>
  </si>
  <si>
    <t>Electricity consumption cy</t>
  </si>
  <si>
    <t>1 USD in EUR</t>
  </si>
  <si>
    <t>Strompreise</t>
  </si>
  <si>
    <t>http://www.e-control.at/de/konsumenten/strom/strompreis/internationale-vergleiche</t>
  </si>
  <si>
    <t>http://databank.worldbank.org</t>
  </si>
  <si>
    <t>Benzinpreise 2010</t>
  </si>
  <si>
    <t>1 EUR in USD 2010 avg</t>
  </si>
  <si>
    <t>Exchange Rates USD EUR</t>
  </si>
  <si>
    <t>http://www.exchangerates.org.uk/EUR-USD-exchange-rate-history.html</t>
  </si>
  <si>
    <t>USD/l</t>
  </si>
  <si>
    <t>Elektrizitätspreise EU 2011</t>
  </si>
  <si>
    <t>http://epp.eurostat.ec.europa.eu/statistics_explained/index.php?title=File:Half-yearly_electricity_and_gas_prices,_first_half_of_year,_2009-2011_(EUR_per_kWh).png&amp;filetimestamp=20120514103022</t>
  </si>
  <si>
    <t>Tax on Electricity</t>
  </si>
  <si>
    <t>CO2 nach Energiequelle</t>
  </si>
  <si>
    <t>http://www.vdi.de/fileadmin/vdi_de/redakteur_dateien/geu_dateien/FB4-Internetseiten/CO2-Emissionen%20der%20Stromerzeugung_01.pdf</t>
  </si>
  <si>
    <t>http://epp.eurostat.ec.europa.eu/portal/page/portal/statistics/search_database</t>
  </si>
  <si>
    <t>Elektrizitätspreise before tax EU 2012</t>
  </si>
  <si>
    <t>GEO/TIME</t>
  </si>
  <si>
    <t>2007S2</t>
  </si>
  <si>
    <t>2008S1</t>
  </si>
  <si>
    <t>2008S2</t>
  </si>
  <si>
    <t>2009S1</t>
  </si>
  <si>
    <t>2009S2</t>
  </si>
  <si>
    <t>2010S1</t>
  </si>
  <si>
    <t>2010S2</t>
  </si>
  <si>
    <t>2011S1</t>
  </si>
  <si>
    <t>2011S2</t>
  </si>
  <si>
    <t>2012S1</t>
  </si>
  <si>
    <t>Europäische Union (27 Länder)</t>
  </si>
  <si>
    <t>Euroraum (EA11-2000, EA12-2006, EA13-2007, EA15-2008, EA16-2010, EA17)</t>
  </si>
  <si>
    <t>Belgien</t>
  </si>
  <si>
    <t>Bulgarien</t>
  </si>
  <si>
    <t>Tschechische Republik</t>
  </si>
  <si>
    <t>Dänemark</t>
  </si>
  <si>
    <t>Estland</t>
  </si>
  <si>
    <t>Irland</t>
  </si>
  <si>
    <t>Griechenland</t>
  </si>
  <si>
    <t>Spanien</t>
  </si>
  <si>
    <t>Italien</t>
  </si>
  <si>
    <t>Zypern</t>
  </si>
  <si>
    <t>Lettland</t>
  </si>
  <si>
    <t>Litauen</t>
  </si>
  <si>
    <t>Luxemburg</t>
  </si>
  <si>
    <t>Ungarn</t>
  </si>
  <si>
    <t>Malta</t>
  </si>
  <si>
    <t>Niederlande</t>
  </si>
  <si>
    <t>Österreich</t>
  </si>
  <si>
    <t>Polen</t>
  </si>
  <si>
    <t>Portugal</t>
  </si>
  <si>
    <t>Rumänien</t>
  </si>
  <si>
    <t>Slowenien</t>
  </si>
  <si>
    <t>Slowakei</t>
  </si>
  <si>
    <t>Finnland</t>
  </si>
  <si>
    <t>Schweden</t>
  </si>
  <si>
    <t>Vereinigtes Königreich</t>
  </si>
  <si>
    <t>Montenegro</t>
  </si>
  <si>
    <t>Kroatien</t>
  </si>
  <si>
    <t>Türkei</t>
  </si>
  <si>
    <t>Albanien</t>
  </si>
  <si>
    <t>Bosnien und Herzegowina</t>
  </si>
  <si>
    <t>BEFORE TAX</t>
  </si>
  <si>
    <t>Electricity Norway</t>
  </si>
  <si>
    <t>http://www05.abb.com/global/scot/scot316.nsf/veritydisplay/78faeae263624d0fc12578dc002df041/$file/Norway.pdf</t>
  </si>
  <si>
    <t>NR Fuel Prices</t>
  </si>
  <si>
    <t>http://www.energy.eu/</t>
  </si>
  <si>
    <t>Fuel Prices</t>
  </si>
  <si>
    <t>Fuel exkl. VAT</t>
  </si>
  <si>
    <t>WtT Petrol</t>
  </si>
  <si>
    <t>http://ec.europa.eu/transport/themes/strategies/consultations/doc/2009_03_27_future_of_transport/20090408_eabev_(scientific_study).pdf</t>
  </si>
  <si>
    <t>Petrol upstream losses</t>
  </si>
  <si>
    <t>Electricity Mix used</t>
  </si>
  <si>
    <t>normal</t>
  </si>
  <si>
    <t>Maintenance</t>
  </si>
  <si>
    <t>http://www.theglobeandmail.com/globe-drive/new-cars/auto-news/the-real-cost-of-car-ownership/article1378882/</t>
  </si>
  <si>
    <t>LCA</t>
  </si>
  <si>
    <t>http://www.environment.ucla.edu/media_IOE/files/BatteryElectricVehicleLCA2012-rh-ptd.pdf</t>
  </si>
  <si>
    <t>€/t co2</t>
  </si>
  <si>
    <t>Land</t>
  </si>
  <si>
    <t>Kaufprämie</t>
  </si>
  <si>
    <t>Höhe Kaufprämie</t>
  </si>
  <si>
    <t>Voraussetzungen Kaufprämie</t>
  </si>
  <si>
    <t>Steuervergünstigung</t>
  </si>
  <si>
    <t>Art der Steuervergünstigung</t>
  </si>
  <si>
    <t>max. Höhe Steuervergünstigung</t>
  </si>
  <si>
    <t>CO2-abhängig (Grenzwert)</t>
  </si>
  <si>
    <t>Quellen</t>
  </si>
  <si>
    <t>-</t>
  </si>
  <si>
    <t>Befreiung zehn Jahre Kfz-Steuer</t>
  </si>
  <si>
    <t>Nationale Plattform Elektromobilität</t>
  </si>
  <si>
    <t>max. 20% des Kaufpreises (CO2-abhängig)</t>
  </si>
  <si>
    <t>&lt; 60 g / km</t>
  </si>
  <si>
    <t>http://abccarbon.com/50000-electric-vehicles-france-commits-to-infrastructure-production/</t>
  </si>
  <si>
    <t>60 - 125 g / km</t>
  </si>
  <si>
    <t>http://www.acea.be/images/uploads/files/20100420_EV_tax_overview.pdf</t>
  </si>
  <si>
    <t>Befreiung Kfz-Steuer bis fünf Jahre nach dem Kauf</t>
  </si>
  <si>
    <t>Großbritannien</t>
  </si>
  <si>
    <r>
      <t>Kaufprämie, siehe CO2-Ausstoß, Reichweite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110 km, V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97 km/h</t>
    </r>
  </si>
  <si>
    <t>Befreiung Kfz-Steuer bei Fahrzeugen mit einem CO2-Ausstoß &lt; 100 g / km</t>
  </si>
  <si>
    <t>&lt; 75 g / km</t>
  </si>
  <si>
    <t>Befreiung Luxussteuer / Kfz-Steuer (Hybridfahrzeuge: 50%)</t>
  </si>
  <si>
    <t>http://green.autoblog.com/2010/05/17/nissan-announces-european-prices-for-leaf-under-30-000-after-i/, http://www.just-auto.com/news/nissan-leaf-costlier-in-europe-even-with-incentives_id104404.aspx?lk=dm</t>
  </si>
  <si>
    <t>Absetzbarkeit v.d. Einkommenssteuer (keine Plug-In &amp; Hybridfahrzeuge)</t>
  </si>
  <si>
    <t>http://www.going-electric.org/vehicules-electriques/nouvelles/cp100203-avantages-financiers-belgique.htm, http://minfin.fgov.be/portail2/fr/downloads/composition/ssp-environment-taxation-09-11-20.pdf</t>
  </si>
  <si>
    <t>Steuernachlass 15% des Kaufpreises</t>
  </si>
  <si>
    <t>&lt; 105g / km</t>
  </si>
  <si>
    <t>Steuernachlass 3% des Kaufpreises</t>
  </si>
  <si>
    <t>105 - 115 g / km</t>
  </si>
  <si>
    <t>Höhe unklar</t>
  </si>
  <si>
    <t>nur in einigen Bundesländern</t>
  </si>
  <si>
    <t>Befreiung von der Normverbrauchsabgabe, motorbezogenen Versicherungssteuer und der Kraftfahrzeugsteuer, CO2 &lt; 120 g /km: 300 Euro, generell: 500€</t>
  </si>
  <si>
    <t>&lt; 120 g /km</t>
  </si>
  <si>
    <t>https://www.bmf.gv.at/steuern/brgerinformation/autoundsteuern/normverbrauchsabgabenova/_start.htm?q=nova; http://www.acea.be/images/uploads/files/20110330_EV_tax_overview.pdf</t>
  </si>
  <si>
    <t>max. 25% des Neuwagenpreises</t>
  </si>
  <si>
    <t>Befreiung von unterschiedlichen Steuern je nach Region (Aragón, Asturias, Baleares, Madrid, Navarra, Valencia, Castilla-La Mancha, Murcia, Castilla y León)</t>
  </si>
  <si>
    <t>http://www.greencarcongress.com/2011/05/spain-20110510.html, http://www.acea.be/images/uploads/files/20100420_EV_tax_overview.pdf</t>
  </si>
  <si>
    <t>maximal 5.000 Fahrzeuge werden gefördert, (bei Verschrottung eines Altfahrzeuges +1.500 €)</t>
  </si>
  <si>
    <t>Befreiung Zulassungssteuer</t>
  </si>
  <si>
    <t>http://www.jn.pt/blogs/velocidade/archive/2010/05/17/nissan-j-225-divulgou-pre-231-o-do-carro-el-233-ctrico-leaf.aspx</t>
  </si>
  <si>
    <t>Befreiung Mehrwertsteuer / Neuwagensteuer für Fahrzeuge unter 2 Tonnen</t>
  </si>
  <si>
    <t>http://www.acea.be/images/uploads/files/20100420_EV_tax_overview.pdf, http://dealbook.nytimes.com/2009/12/02/in-denmark-ambitious-plan-for-electric-cars/</t>
  </si>
  <si>
    <t>Höhe noch unklar</t>
  </si>
  <si>
    <t>siehe CO2</t>
  </si>
  <si>
    <t>Kaufprämie: &lt;50 g / km; Steuer: &lt; 120 g / km und &lt; 37 kWh / 100km</t>
  </si>
  <si>
    <t>Befreiung Mehrwertsteuer / Neuwagensteuer / Mautgebühren</t>
  </si>
  <si>
    <t>http://www.emc-mec.ca/files/Electric_Mobility_Canada_2008_open.pdf</t>
  </si>
  <si>
    <t>Schweiz</t>
  </si>
  <si>
    <t>Steuer abhängig nach Kanton</t>
  </si>
  <si>
    <t>siehe CO2-Ausstoß, Strom muss regenerativ erzeugt worden sein</t>
  </si>
  <si>
    <t>Tschechien</t>
  </si>
  <si>
    <t>Rabatt Zulassungssteuer in Höhe von 2.500 € (am 31.1.2.2010 ausgelaufen)</t>
  </si>
  <si>
    <t>http://gas2.org/2010/04/13/ireland-moves-to-ease-switch-to-electric-cars-with-grants-infrastructure/</t>
  </si>
  <si>
    <t>max. 25% des Neuwagenpreises, Abwrackprämie für Altfahrzeuge i.H.v. 4.630 €</t>
  </si>
  <si>
    <t>http://www.mediafax.ro/english/romanian-clunkers-program-available-for-electric-car-buyers-starting-next-week-8157168</t>
  </si>
  <si>
    <t>max. 7 Fahrzeuge je Unternehmen / Person</t>
  </si>
  <si>
    <t>Stand: 27.11.2011</t>
  </si>
  <si>
    <t>keine Gewähr auf Vollständigkeit und Aktualität</t>
  </si>
  <si>
    <t>Quelle:</t>
  </si>
  <si>
    <t>Zukunft Mobilität</t>
  </si>
  <si>
    <t>Martin Randelhoff</t>
  </si>
  <si>
    <t>www.zukunft-mobilitaet.net</t>
  </si>
  <si>
    <t>G Co2 Strommix D EE</t>
  </si>
  <si>
    <t>http://www.green-responsibility.de/wp-content/uploads/CO2-Umrechnungsfaktoren.pdf</t>
  </si>
  <si>
    <t>THG Emissionen nach Stromform</t>
  </si>
  <si>
    <t>http://www.umweltschutznews.de/media/1705070154191498.pdf?besucht=6380fd1db1b7cbb6e69e999406d31f1d</t>
  </si>
  <si>
    <t>Social costs</t>
  </si>
  <si>
    <t>Vehicle use</t>
  </si>
  <si>
    <t>urban</t>
  </si>
  <si>
    <t>average</t>
  </si>
  <si>
    <t>extra urban</t>
  </si>
  <si>
    <t>motorway</t>
  </si>
  <si>
    <t>Drive mix</t>
  </si>
  <si>
    <t>http://www.ifeu.org/verkehrundumwelt/pdf/Helms%20et%20al.%20(2010)%20Electric%20vehicles%20(TAP%20conference%20paper).pdf</t>
  </si>
  <si>
    <t>Total WtW CO2 emissions per km</t>
  </si>
  <si>
    <t>http://www.guardian.co.uk/environment/green-living-blog/2010/sep/23/carbon-footprint-new-car</t>
  </si>
  <si>
    <t>Production Footprint</t>
  </si>
  <si>
    <t>Battery production</t>
  </si>
  <si>
    <t>http://www.scinexx.de/wissen-aktuell-12179-2010-08-30.html</t>
  </si>
  <si>
    <t>LCA BEV</t>
  </si>
  <si>
    <t>WtW</t>
  </si>
  <si>
    <t>TtW</t>
  </si>
  <si>
    <t>WtT</t>
  </si>
  <si>
    <t>Efficiency</t>
  </si>
  <si>
    <t>Unit</t>
  </si>
  <si>
    <t>PHEV Share fuel energy urban</t>
  </si>
  <si>
    <t>PHEV Share fuel energy extra urban</t>
  </si>
  <si>
    <t>PHEV Share fuel energy motorway</t>
  </si>
  <si>
    <t>Battery leasing</t>
  </si>
  <si>
    <t>Conversion</t>
  </si>
  <si>
    <t>CO2-Kompensation 1</t>
  </si>
  <si>
    <t>http://de.myclimate.org/de/my/home.html</t>
  </si>
  <si>
    <t>http://sedl.at/Elektroauto/Lithium-Akkus/Graue_Energie</t>
  </si>
  <si>
    <t>CO2-Ausstross Batterie</t>
  </si>
  <si>
    <t>Tank volume</t>
  </si>
  <si>
    <t>Battery capacity</t>
  </si>
  <si>
    <t>Battery density</t>
  </si>
  <si>
    <t>Effective Battery footprint</t>
  </si>
  <si>
    <t>http://www.triplepundit.com/2011/06/full-life-cycle-assesment-electric-cars-compares-co2-impact-conventional-cars/</t>
  </si>
  <si>
    <t>Hubraum</t>
  </si>
  <si>
    <t>cm³</t>
  </si>
  <si>
    <t>Modell</t>
  </si>
  <si>
    <t>g/km</t>
  </si>
  <si>
    <t>Sockelbetrag</t>
  </si>
  <si>
    <t>Technische Daten Smart</t>
  </si>
  <si>
    <t>http://media.daimler.com/Projects/c2c/channel/documents/1138815_947229technische_daten_fortwo_deutsch.pdf</t>
  </si>
  <si>
    <t>Auto-Umweltliste 2012</t>
  </si>
  <si>
    <t>http://www.verkehrsclub.ch/fileadmin/user_upload/autoumweltlisten/Elektroautos_AUL12.pdf</t>
  </si>
  <si>
    <t>Main Outputs</t>
  </si>
  <si>
    <t>€/t</t>
  </si>
  <si>
    <t>t co2/kWh</t>
  </si>
  <si>
    <t>Input</t>
  </si>
  <si>
    <t>Car Model</t>
  </si>
  <si>
    <t>1g co2/km in l Benzin/100km</t>
  </si>
  <si>
    <t>NR Usage pattern</t>
  </si>
  <si>
    <t>CO-2 NEFZ</t>
  </si>
  <si>
    <t>Datenblatt Renault Kangoo</t>
  </si>
  <si>
    <t>http://213.179.156.50/pdf/kangoo.pdf</t>
  </si>
  <si>
    <t>Datenblatt Renault Kangoo ZE</t>
  </si>
  <si>
    <t>http://www.handwerk-magazin.de/files/smfiledata/2/1/1/3/8/4/Kangoo.pdf</t>
  </si>
  <si>
    <t xml:space="preserve">Costs </t>
  </si>
  <si>
    <t>EUR/kWh</t>
  </si>
  <si>
    <t>kWh/kg</t>
  </si>
  <si>
    <t>Est. cost of battery</t>
  </si>
  <si>
    <t>Est. weight of battery</t>
  </si>
  <si>
    <t>0.05-0.25</t>
  </si>
  <si>
    <t>ECOINVENT</t>
  </si>
  <si>
    <t>GREET</t>
  </si>
  <si>
    <t>Switzerland</t>
  </si>
  <si>
    <t>Ecoindicator 99</t>
  </si>
  <si>
    <t>NR Conversion</t>
  </si>
  <si>
    <t>CO2 equivalent per kWh</t>
  </si>
  <si>
    <t>EUR</t>
  </si>
  <si>
    <t>Fuel in USD</t>
  </si>
  <si>
    <t>t co2/kg</t>
  </si>
  <si>
    <t>Smart fortwo</t>
  </si>
  <si>
    <t>VW Golf VI 3 1.4 Comfort Line</t>
  </si>
  <si>
    <t>Renault Laguna 1.6 dCi</t>
  </si>
  <si>
    <t>http://www1.adac.de/Tests/Autotest/TETDaten/Autotest/AT4118_Renault_Laguna_15_dCi_Expression.pdf</t>
  </si>
  <si>
    <t>http://www1.adac.de/Tests/Autotest/TETDaten/Autotest/AT4180_VW_Golf_14_TSI_Comfortline.pdf</t>
  </si>
  <si>
    <t>Benzinpreise</t>
  </si>
  <si>
    <t>Battery production: CO2 equivalent per kWh</t>
  </si>
  <si>
    <t>Km driven each day</t>
  </si>
  <si>
    <t>Total mileage during ownership</t>
  </si>
  <si>
    <t>Klaus Ruhland</t>
  </si>
  <si>
    <t>Europäischer Strommix vs Ökostrom</t>
  </si>
  <si>
    <t>eLAB</t>
  </si>
  <si>
    <t>gCO2/kWh</t>
  </si>
  <si>
    <t>Wind</t>
  </si>
  <si>
    <t>TWh</t>
  </si>
  <si>
    <t>GW</t>
  </si>
  <si>
    <t>Hydro</t>
  </si>
  <si>
    <t>Biomass</t>
  </si>
  <si>
    <t>Solar PV</t>
  </si>
  <si>
    <t>Concentrated Solar Power</t>
  </si>
  <si>
    <t>Geothermal Energy</t>
  </si>
  <si>
    <t>Tidal</t>
  </si>
  <si>
    <t>Share</t>
  </si>
  <si>
    <t>GW --&gt; installed capacity</t>
  </si>
  <si>
    <t>Onshore: 92 in 2011 to 170 in 2020; Offshore: from 3.7GW in 2011 to 43.3 in 2020</t>
  </si>
  <si>
    <t>http://www.ewea.org/fileadmin/ewea_documents/documents/publications/reports/EWEA_EU_Energy_Policy_to_2050.pdf</t>
  </si>
  <si>
    <t>Wind Onshore</t>
  </si>
  <si>
    <t>Wind Offshore</t>
  </si>
  <si>
    <t>Non-renewable</t>
  </si>
  <si>
    <t>EU electricity mix in 2005 (share of total consumption)</t>
  </si>
  <si>
    <t>EU electricity mix in 2020 NREAP (share of total consumption)</t>
  </si>
  <si>
    <t>Total 3,270.3 TWh</t>
  </si>
  <si>
    <t>Total 3,537.3 TWh</t>
  </si>
  <si>
    <t>Nuklear</t>
  </si>
  <si>
    <t>Braunkohle</t>
  </si>
  <si>
    <t>Steinkohle</t>
  </si>
  <si>
    <t>Gas</t>
  </si>
  <si>
    <t>Gasdezentral</t>
  </si>
  <si>
    <t>Öl</t>
  </si>
  <si>
    <t>Wasser</t>
  </si>
  <si>
    <t>Solar</t>
  </si>
  <si>
    <t>Flüssige Biokraftstoffe</t>
  </si>
  <si>
    <t>Biogas dezentral</t>
  </si>
  <si>
    <t>Andere Erneuerbare</t>
  </si>
  <si>
    <t>Anteil</t>
  </si>
  <si>
    <t>Diesel dezentral</t>
  </si>
  <si>
    <t>CAGR 2007-2020</t>
  </si>
  <si>
    <t>CAGR 2020-2030</t>
  </si>
  <si>
    <t>Quellen: PSI Paul-Scherrer-Institut, Schweiz</t>
  </si>
  <si>
    <t>VGB PowerTech</t>
  </si>
  <si>
    <t>Electricity footprint base year</t>
  </si>
  <si>
    <t>Avg. Electricity footprint during ownership</t>
  </si>
  <si>
    <t>Monthly battery rent payment</t>
  </si>
  <si>
    <t>Upfront Cost</t>
  </si>
  <si>
    <t>Total WtW+Battery CO2 emissions</t>
  </si>
  <si>
    <t>Battery weight</t>
  </si>
  <si>
    <t>Car production: CO2 per netweight</t>
  </si>
  <si>
    <t>http://www.daimler.de/Projects/c2c/channel/documents/2003776_Umwelt_Zertifikat_Mercedes_Benz_S_400_HYBRID.pdf</t>
  </si>
  <si>
    <t>Anteile</t>
  </si>
  <si>
    <t>CO2 Strommix normiert</t>
  </si>
  <si>
    <t>Delta BEV-ICE</t>
  </si>
  <si>
    <t>http://www.etz.de/files/vdma+ps_strommix_ausblick_final.pdf</t>
  </si>
  <si>
    <t>Without VAT</t>
  </si>
  <si>
    <t>VAT</t>
  </si>
  <si>
    <t>Without Taxes</t>
  </si>
  <si>
    <t>Oil tax</t>
  </si>
  <si>
    <t>Total taxes</t>
  </si>
  <si>
    <t>http://www.avd.de/startseite/service-news/rund-um-den-kraftstoff/staatlicher-anteil-an-den-kraftstoffkosten/</t>
  </si>
  <si>
    <t>http://www.focus.de/finanzen/news/tid-28085/usa-werden-groesster-oelproduzent-prognose-oelpreis-verdoppelt-sich-auf-ueber-200-dollar_aid_858707.html</t>
  </si>
  <si>
    <t>http://www.bdew.de/internet.nsf/id/de_energiedaten</t>
  </si>
  <si>
    <t>Battery leasing Renault Fluence</t>
  </si>
  <si>
    <t>Jährliche Fahrleistung</t>
  </si>
  <si>
    <t>Haltedauer</t>
  </si>
  <si>
    <t>CO2</t>
  </si>
  <si>
    <t>Electricity consumption mix EU27</t>
  </si>
  <si>
    <t>Fuel price calculation Germany</t>
  </si>
  <si>
    <t>Year</t>
  </si>
  <si>
    <t>Retail Fuel Price</t>
  </si>
  <si>
    <t>Retail Electricity Price</t>
  </si>
  <si>
    <t>Average</t>
  </si>
  <si>
    <t>Annual increase</t>
  </si>
  <si>
    <t>Oil Price</t>
  </si>
  <si>
    <t>Current Year</t>
  </si>
  <si>
    <t>Years</t>
  </si>
  <si>
    <t>http://www.autobild.de/artikel/werkstattkosten-von-elektroautos-studie-3722095.html</t>
  </si>
  <si>
    <t>Haftpflicht, Vollkasko</t>
  </si>
  <si>
    <t>http://www.autokostencheck.de/Nissan/Nissan-Leaf/Leaf/leaf-ze0_36084.html</t>
  </si>
  <si>
    <t>Vehicle tax</t>
  </si>
  <si>
    <t>Insurance</t>
  </si>
  <si>
    <t>Bonus/Malus Kapazität</t>
  </si>
  <si>
    <t>Tatsächliche Monatsmiete Leasing Batterie Fluence ZE</t>
  </si>
  <si>
    <t>Kalkulierte Leasingrate /mon</t>
  </si>
  <si>
    <t>Bonus/Malus Battery Leasing capacity</t>
  </si>
  <si>
    <t>Est. Battery life expectancy (years)</t>
  </si>
  <si>
    <t>Est. Battery life expectancy (km)</t>
  </si>
  <si>
    <t>Salvage value battery</t>
  </si>
  <si>
    <t>Battery leasing calc.</t>
  </si>
  <si>
    <t>Battery leasing calc. Per Month</t>
  </si>
  <si>
    <t>Interest per year</t>
  </si>
  <si>
    <t>eco</t>
  </si>
  <si>
    <t>Wertverlust</t>
  </si>
  <si>
    <t>Quelle</t>
  </si>
  <si>
    <t>MJ</t>
  </si>
  <si>
    <t>kwh</t>
  </si>
  <si>
    <t>kwh in MJ</t>
  </si>
  <si>
    <t>l Benzin in kwh/l</t>
  </si>
  <si>
    <t>l Benzin in MJ</t>
  </si>
  <si>
    <t>MJ/100 km</t>
  </si>
  <si>
    <t>Energy consumption WTW</t>
  </si>
  <si>
    <t>kg co2/kg</t>
  </si>
  <si>
    <t>CO2 emission battery production</t>
  </si>
  <si>
    <t>Monthly Payment</t>
  </si>
  <si>
    <t>Interest</t>
  </si>
  <si>
    <t>Sum Interest</t>
  </si>
  <si>
    <t>Monthly Repayment</t>
  </si>
  <si>
    <t>Monthly Interest</t>
  </si>
  <si>
    <t>Cash</t>
  </si>
  <si>
    <t>i market</t>
  </si>
  <si>
    <t>Werkstattkosten</t>
  </si>
  <si>
    <t>RCO statt TCO</t>
  </si>
  <si>
    <t>http://elib.uni-stuttgart.de/opus/volltexte/2011/5845/pdf/Mock_Peter_101130.pdf</t>
  </si>
  <si>
    <t>TCO</t>
  </si>
  <si>
    <t>Est. car life expectancy</t>
  </si>
  <si>
    <t>% battery lifetime</t>
  </si>
  <si>
    <t>% car lifetime</t>
  </si>
  <si>
    <t>Attribution production footprint proportionate or 100% first owner?</t>
  </si>
  <si>
    <t>proportionate</t>
  </si>
  <si>
    <t>d%</t>
  </si>
  <si>
    <t>"LCA"</t>
  </si>
  <si>
    <t>Excl VAT</t>
  </si>
  <si>
    <t>Battery charging cycles</t>
  </si>
  <si>
    <t>Est. Battery life time</t>
  </si>
  <si>
    <t>Vergleichswert Kosten CO2eq Reduzierung</t>
  </si>
  <si>
    <t>EUR/t co2eq</t>
  </si>
  <si>
    <t>Grenzwert gelber Bereich RCO</t>
  </si>
  <si>
    <t>Grenzwert gelber Bereich LCA</t>
  </si>
  <si>
    <t>https://bdew.de/internet.nsf/id/3564E959A01B9E66C125796B003CFCCE/$file/BDEW%20Energie-Info_EE%20und%20das%20EEG%20(2011)_23012012.pdf</t>
  </si>
  <si>
    <t>http://www.ewi.uni-koeln.de/fileadmin/user_upload/Publikationen/Studien/Politik_und_Gesellschaft/2006/EWI_2006-08_Auswirkungen-hoeherer-Oelpreise.pdf</t>
  </si>
  <si>
    <t>Kopplung Öl- und Strompreis?</t>
  </si>
  <si>
    <t>EEG</t>
  </si>
  <si>
    <t>Konzessionsabgabge</t>
  </si>
  <si>
    <t>Erzeugung</t>
  </si>
  <si>
    <t>Stromsteuer</t>
  </si>
  <si>
    <t>http://www.pik-potsdam.de/members/edenh/publications-1/zukunftsfragen_2012_06.pdf</t>
  </si>
  <si>
    <t>Strompreisentwicklung</t>
  </si>
  <si>
    <t>Parking</t>
  </si>
  <si>
    <t>Congestion pricing</t>
  </si>
  <si>
    <t>x</t>
  </si>
  <si>
    <t>Jahr</t>
  </si>
  <si>
    <t>Annuität</t>
  </si>
  <si>
    <t>Summe Zeitwerte</t>
  </si>
  <si>
    <t>Spalte1</t>
  </si>
  <si>
    <t>Annuity</t>
  </si>
  <si>
    <t>TCO (Present Value)</t>
  </si>
  <si>
    <t>Periode</t>
  </si>
  <si>
    <t>Summe Barwerte</t>
  </si>
  <si>
    <t>Type of costs</t>
  </si>
  <si>
    <t>Selection of cost drivers</t>
  </si>
  <si>
    <t>Selected cost drivers</t>
  </si>
  <si>
    <t>Cash Flows ICE</t>
  </si>
  <si>
    <t>Cash Flows BEV</t>
  </si>
  <si>
    <t>Cost Allocation ICE</t>
  </si>
  <si>
    <t>Cost Allocation BEV</t>
  </si>
  <si>
    <t>Konto</t>
  </si>
  <si>
    <t>Barwerte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</si>
  <si>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</si>
  <si>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</si>
  <si>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</si>
  <si>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</si>
  <si>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</si>
  <si>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</si>
  <si>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</si>
  <si>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</si>
  <si>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</si>
  <si>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</si>
  <si>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</si>
  <si>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BEV Upfront Cost</t>
  </si>
  <si>
    <t>BEV Battery leasing</t>
  </si>
  <si>
    <t>BEV Interest</t>
  </si>
  <si>
    <t>BEV Cost of Fuel</t>
  </si>
  <si>
    <t>BEV Cost of Electricity</t>
  </si>
  <si>
    <t>BEV Vehicle tax</t>
  </si>
  <si>
    <t>BEV Maintenance</t>
  </si>
  <si>
    <t>BEV Insurance</t>
  </si>
  <si>
    <t>BEV Parking</t>
  </si>
  <si>
    <t>BEV Congestion pricing</t>
  </si>
  <si>
    <t>BEV Residual value</t>
  </si>
  <si>
    <t>Variablen und Annahmen</t>
  </si>
  <si>
    <t>Kapitel</t>
  </si>
  <si>
    <t>Haltungsdauer</t>
  </si>
  <si>
    <t>Motor</t>
  </si>
  <si>
    <t>Segment</t>
  </si>
  <si>
    <t>Motorisierung</t>
  </si>
  <si>
    <t>Art des Automobils</t>
  </si>
  <si>
    <t>Elektromobil</t>
  </si>
  <si>
    <t>Batteriekapazität</t>
  </si>
  <si>
    <t>Verbrauch</t>
  </si>
  <si>
    <t>NEFZ</t>
  </si>
  <si>
    <t>Preise</t>
  </si>
  <si>
    <t>Benzin</t>
  </si>
  <si>
    <t>Strom</t>
  </si>
  <si>
    <t>Parkkosten</t>
  </si>
  <si>
    <t>Wartung&amp;Reparatur</t>
  </si>
  <si>
    <t>Steuern</t>
  </si>
  <si>
    <t>Mehrverbrauch ICE</t>
  </si>
  <si>
    <t>Mehrverbrauch BEV</t>
  </si>
  <si>
    <t>Variable</t>
  </si>
  <si>
    <t>Niedriges Szenario</t>
  </si>
  <si>
    <t>Bester Wert</t>
  </si>
  <si>
    <t>Hohes Szenario</t>
  </si>
  <si>
    <t>Erklärung</t>
  </si>
  <si>
    <t>http://www.mobilitaet-in-deutschland.de/pdf/MiD2008_Tabellenband.pdf</t>
  </si>
  <si>
    <t>Reisen</t>
  </si>
  <si>
    <t>Fahrtkilometer pro Auto pro Jahr</t>
  </si>
  <si>
    <t>http://www.mobilitaet-in-deutschland.de/pdf/Projektpraesentation_MiD2008_WorkshopSeptember2009_FassungMaerz2010.pdf</t>
  </si>
  <si>
    <t>Seite 75</t>
  </si>
  <si>
    <t>Anteil Fahrten über 100km (ohne Wirtschaftsverkehr)</t>
  </si>
  <si>
    <t>1,5% aller Reisen</t>
  </si>
  <si>
    <t>Besitz</t>
  </si>
  <si>
    <t>Fahrzeuge pro Haushalt</t>
  </si>
  <si>
    <t>18% 0, 53% 1, 24% 2, 5% mehr als 2</t>
  </si>
  <si>
    <t>http://www.mobilitaet-in-deutschland.de/pdf/MiD2008_Abschlussbericht_I.pdf</t>
  </si>
  <si>
    <t>Seite</t>
  </si>
  <si>
    <t>PKW-Besetzungsgrad</t>
  </si>
  <si>
    <t>Gesamt 1,5, Arbeit 1,2, Freizeit 1,9</t>
  </si>
  <si>
    <t>Wegzwecke</t>
  </si>
  <si>
    <t>IV-Fahrer: 22% Freizeit, 22% Einkauf, 12% private Erledigungen, 9% Begleitung, 13% dienstlich, 1% Ausbildung, 21% Arbeit</t>
  </si>
  <si>
    <t>Verkehrsmittelwahl für Reisen unterschiedlicher Entfernung</t>
  </si>
  <si>
    <t>Verbrauchswert Golf</t>
  </si>
  <si>
    <t>http://www.dat.de/index.php?id=180&amp;type=0&amp;juSecure=1&amp;locationData=180%3Atx_dam%3A569&amp;juHash=10f9a6ff7237b5812a95f65ead7f40d74f6fead4</t>
  </si>
  <si>
    <t>http://de.statista.com/statistik/studie/id/7059/dokument/autofahrer---statista-dossier-2012/</t>
  </si>
  <si>
    <t>Wer</t>
  </si>
  <si>
    <t>Wie</t>
  </si>
  <si>
    <t>Was</t>
  </si>
  <si>
    <t>Als Zweitwagen</t>
  </si>
  <si>
    <t>Laufleistung/Tag</t>
  </si>
  <si>
    <t>Info</t>
  </si>
  <si>
    <t>Nur 8% über 100km</t>
  </si>
  <si>
    <t>http://de.statista.com/statistik/studie/id/6370/dokument/automobilindustrie-deutschland-statista-dossier/</t>
  </si>
  <si>
    <t>Neuzulassungen D nach OEM</t>
  </si>
  <si>
    <t>Volkswagen erster</t>
  </si>
  <si>
    <t>Top Automodelle Deutschland</t>
  </si>
  <si>
    <t>VW Golf/Jetta</t>
  </si>
  <si>
    <t>Und sonst</t>
  </si>
  <si>
    <t>Höhe staatliche Fördergelder für E-Mobilität</t>
  </si>
  <si>
    <t>Politisch gewünschte Anzahl 2020</t>
  </si>
  <si>
    <t>Anzahl Neuzulassungen Elektromobile</t>
  </si>
  <si>
    <t>Kaufbereitschaft Elektromobile</t>
  </si>
  <si>
    <t>Eingeräumte Zukunftschancen Alternativer Antrieb</t>
  </si>
  <si>
    <t>http://www.adac.de/_mmm/pdf/statistik_zahlen_fakten_wissen_0512_46600.pdf</t>
  </si>
  <si>
    <t>Durchschn. Jährl. Fahrleistung</t>
  </si>
  <si>
    <t>Ca. 14.000km für PKW</t>
  </si>
  <si>
    <t>PKW-Besitz Haushalte</t>
  </si>
  <si>
    <t>82% min 1 Auto, 29% 2 oder mehr</t>
  </si>
  <si>
    <t>Durchschn. Personen in einem Auto</t>
  </si>
  <si>
    <t>1,43</t>
  </si>
  <si>
    <t>http://www.medialine.de/media/uploads/projekt/medialine/docs/bestellung_download/marktanalysen/2008/foc_ma_mobilitaet_200810.pdf</t>
  </si>
  <si>
    <t>28% 10.000-13.000/j</t>
  </si>
  <si>
    <t>Anzahl PKW im Haushalt</t>
  </si>
  <si>
    <t>61% 1 PKW, 29% 2</t>
  </si>
  <si>
    <t>Benzinpreisentwicklung</t>
  </si>
  <si>
    <t>Autokostenindex</t>
  </si>
  <si>
    <t>Globale CO2-Emissionen</t>
  </si>
  <si>
    <t>3,5% Anthropogener Anteil, davon 5% PKW</t>
  </si>
  <si>
    <t>Anteil privater Neuzulassungen</t>
  </si>
  <si>
    <t>Neuzulassung nach Antriebsart 2007</t>
  </si>
  <si>
    <t>54% Benziner</t>
  </si>
  <si>
    <t>WtW THG</t>
  </si>
  <si>
    <t>Verkaufsprognose Elektromobile Deutschland</t>
  </si>
  <si>
    <t>Erwartete Rabatthöhe Neuwagen</t>
  </si>
  <si>
    <t>66% zwischen 11-20%</t>
  </si>
  <si>
    <t>Finanzierung privater PKW</t>
  </si>
  <si>
    <t>48% aus eigenen Ersparnissen, 31% mit Kredit</t>
  </si>
  <si>
    <t>Häufigkeit von Wartungen/Instandsetzungen/Jahr</t>
  </si>
  <si>
    <t>ca 1x/Jahr</t>
  </si>
  <si>
    <t>Einstellung zum Autofahren</t>
  </si>
  <si>
    <t>"82% "Ein eigenes Auto zu besitzen, ist mir sehr wichtig"</t>
  </si>
  <si>
    <t>http://www.conti-online.com/generator/www/com/de/continental/presseportal/allgemein/elektromobilitaet/workshop_2011_12_15/download/studie_de.pdf</t>
  </si>
  <si>
    <t>Einschätzung Bedeutung Reichweite</t>
  </si>
  <si>
    <t>"Reichweite von nur 150km würde mich sehr stören" in D 72% Zustimmung</t>
  </si>
  <si>
    <t>Verteilung der Auto-Tagesstrecken</t>
  </si>
  <si>
    <t>Überwältigender Großteil unter 150km</t>
  </si>
  <si>
    <t>Wo und wie lange steht das Auto zwischen zwei Wegen?</t>
  </si>
  <si>
    <t>Zuhause und beim Arbeitsplatz</t>
  </si>
  <si>
    <t>Bedeutung staatlicher Fördermöglichkeiten</t>
  </si>
  <si>
    <t>Aufbau Ladeinfrastruktur und Steuerermäßigungen werden als am wichtigsten erachtet</t>
  </si>
  <si>
    <t>MAFO: Voraussetzung zum Kauf eines HEV oder BEV</t>
  </si>
  <si>
    <t>43% günstiger als herkömmlicher Antrieb, 15% umweltschonender</t>
  </si>
  <si>
    <t>MAFO: Bereitschaft zum Verzicht auf Features bei Alternativem Antrieb</t>
  </si>
  <si>
    <t>71% Höchstgeschwindigkeit</t>
  </si>
  <si>
    <t>MAFO: Erwartete Kosten Elektromobil</t>
  </si>
  <si>
    <t>55: höher</t>
  </si>
  <si>
    <t>MAFO: Bekanntheit und Bereitschaft Kauf Elektromobil</t>
  </si>
  <si>
    <t>Deutschland: 99% bekannt, 52% passendes Nutzungsmuster, 8% Kaufabsicht</t>
  </si>
  <si>
    <t>MAFO: Bekanntheit und Bereitschaft Kauf Elektromobil 300km</t>
  </si>
  <si>
    <t>Wartungsarbeiten pro PKW und Wartungsaufwand</t>
  </si>
  <si>
    <t>http://www.kfzgewerbe.de/fileadmin/user_upload/Presse/Zahlen_Fakten/Zahlen%20und%20Fakten%202011.pdf</t>
  </si>
  <si>
    <t>Wartung 1x, 200EUR, Verschleiss 0,67x, 200EUR</t>
  </si>
  <si>
    <t>Durchschnittliche Haltedauer</t>
  </si>
  <si>
    <t>Neuwagen 73 Monate</t>
  </si>
  <si>
    <t>8,3 Jahre</t>
  </si>
  <si>
    <t>PKW Durchschnittsalter, Altersstruktur</t>
  </si>
  <si>
    <t>24% zwischen 10.000-13.000</t>
  </si>
  <si>
    <t>41,6% eigene Ersparnisse, 37,2% Kredit</t>
  </si>
  <si>
    <t>Jährliche Fahrleistung Benzinfahrzeuge</t>
  </si>
  <si>
    <t>Durchschnittliches Fahrzeugalter</t>
  </si>
  <si>
    <t>7,8</t>
  </si>
  <si>
    <t>Jährliche Fahrleistung abhängig von Alter und Segment</t>
  </si>
  <si>
    <t>Ca. 13000km/j</t>
  </si>
  <si>
    <t>Effizienzgrad Elektromobil und Diesel</t>
  </si>
  <si>
    <t>http://www.bmvbs.de/cae/servlet/contentblob/69228/publicationFile/46172/elektromobilitaet-deutschland-als-leitmarkt-und-leitanbieter.pdf</t>
  </si>
  <si>
    <t>TCOs</t>
  </si>
  <si>
    <t>http://www.consumerreports.org/cro/2012/12/what-that-car-really-costs-to-own/index.htm</t>
  </si>
  <si>
    <t>http://beta.cars21.com/web/assets/link/4569_FLEET-12-Executive-Summary.pdf</t>
  </si>
  <si>
    <t>http://www.internationaltransportforum.org/jtrc/DiscussionPapers/DP201203.pdf</t>
  </si>
  <si>
    <t>BEV Verbrauch</t>
  </si>
  <si>
    <t>CO2-Basiswert für KFZ-Steuer in D:</t>
  </si>
  <si>
    <t>CO2-Gebühr</t>
  </si>
  <si>
    <t>Diesel</t>
  </si>
  <si>
    <t>Kfz-Steuer Deutschland</t>
  </si>
  <si>
    <t>CO2-Freigrenze</t>
  </si>
  <si>
    <t>Erstzulassung</t>
  </si>
  <si>
    <t>Hersteller</t>
  </si>
  <si>
    <t>Volkswagen AG</t>
  </si>
  <si>
    <t>1.4 TSI</t>
  </si>
  <si>
    <t>kW</t>
  </si>
  <si>
    <t>Otto-Motor</t>
  </si>
  <si>
    <t>Antriebssystem</t>
  </si>
  <si>
    <t>Batterieelektrisch</t>
  </si>
  <si>
    <t>mm</t>
  </si>
  <si>
    <t>Ausstattungsvariante</t>
  </si>
  <si>
    <t>Comfortline</t>
  </si>
  <si>
    <t>Restwert €</t>
  </si>
  <si>
    <t>Restwert %</t>
  </si>
  <si>
    <t>bei 10.000km/j</t>
  </si>
  <si>
    <t>bei 15.000km/j</t>
  </si>
  <si>
    <t>CO2-Vermeidungskosten</t>
  </si>
  <si>
    <t>Mehrpreis BEV</t>
  </si>
  <si>
    <t>CO2 Einsparungen TtW</t>
  </si>
  <si>
    <t>CO2-Vermeidungskosten TtW</t>
  </si>
  <si>
    <t>CO2 Einsparungen WtW</t>
  </si>
  <si>
    <t>CO2-Vermeidungskosten WtW</t>
  </si>
  <si>
    <t>CO2 Einsparungen "LCA"</t>
  </si>
  <si>
    <t>CO2-Vermeidungskosten "LCA"</t>
  </si>
  <si>
    <t>Umweltanalyse</t>
  </si>
  <si>
    <t>Benzin-TtW Emissionen/km</t>
  </si>
  <si>
    <t>Elektrizität-TtW Emissionen/km</t>
  </si>
  <si>
    <t>Gesamt-TtW Emissionen/km</t>
  </si>
  <si>
    <t>Benzin-WtT Emissionen/km</t>
  </si>
  <si>
    <t>Elektrizität-WtT Emissionen/km</t>
  </si>
  <si>
    <t>Gesamt-WtW Emissionen/km</t>
  </si>
  <si>
    <t>Gesamt-TtW Emissionen/Jahr</t>
  </si>
  <si>
    <t>Gesamt-WtT Emissionen/Jahr</t>
  </si>
  <si>
    <t>Gesamt-WtT Emissionen/km</t>
  </si>
  <si>
    <t>Benzin-WtW Emissionen/km</t>
  </si>
  <si>
    <t>Elektrizität-WtW Emissionen/km</t>
  </si>
  <si>
    <t>Gesamt-WtW Emissionen/Jahr</t>
  </si>
  <si>
    <t>TtW Emissionen Fahrzeugleben</t>
  </si>
  <si>
    <t>WtT Emissionen Fahrzeugleben</t>
  </si>
  <si>
    <t>WtW Emissionen Fahrzeugleben</t>
  </si>
  <si>
    <t>WtT Emissionen Haltedauer</t>
  </si>
  <si>
    <t>TtW Emissionen Haltedauer</t>
  </si>
  <si>
    <t>WtW Emissionen Haltedauer</t>
  </si>
  <si>
    <t>WtW Eco</t>
  </si>
  <si>
    <t>WtT eco</t>
  </si>
  <si>
    <t>t co2/j</t>
  </si>
  <si>
    <t>LCA-Emissionen Haltedauer</t>
  </si>
  <si>
    <t>LCA-Emissionen Fahrzeugleben</t>
  </si>
  <si>
    <t>WtW-Wert Haltedauer</t>
  </si>
  <si>
    <t>WtW-Wert Fahrzeugleben</t>
  </si>
  <si>
    <t>Produktion total Haltedauer</t>
  </si>
  <si>
    <t>Batterieproduktion Haltedauer</t>
  </si>
  <si>
    <t>Fahrzeugproduktion Haltedauer</t>
  </si>
  <si>
    <t>Fahrzeugproduktion Fahrzeugleben</t>
  </si>
  <si>
    <t>Batterieproduktion Fahrzeugleben</t>
  </si>
  <si>
    <t>Produktion total Fahrzeugleben</t>
  </si>
  <si>
    <t>LCA Haltedauer</t>
  </si>
  <si>
    <t>LCA Fahrzeugleben</t>
  </si>
  <si>
    <t>Restwert in %</t>
  </si>
  <si>
    <t>Lebenserwartung (Jahre)</t>
  </si>
  <si>
    <t>Lebenserwartung (km)</t>
  </si>
  <si>
    <t>10.000km/j</t>
  </si>
  <si>
    <t>15.000km/j</t>
  </si>
  <si>
    <t>Mehrverbrauch gegenüber NEFZ</t>
  </si>
  <si>
    <t>http://www.heise.de/tr/artikel/Maerchenhafter-Verbrauch-1345410.html?artikelseite=2</t>
  </si>
  <si>
    <t>Kritik an NEFZ</t>
  </si>
  <si>
    <t>http://www.handelsblatt.com/auto/test-technik/die-grosse-sprit-luege-wltp-statt-mnefz/6327340-2.html</t>
  </si>
  <si>
    <t>http://mein-auto-blog.de/der-unsinn-des-nefz-52862/</t>
  </si>
  <si>
    <t>http://www.zeit.de/auto/2012-03/benzinverbrauch-abweichung/seite-2</t>
  </si>
  <si>
    <t>Kritik an NEFT</t>
  </si>
  <si>
    <t>http://www.uni-due.de/imperia/md/content/car/ifo_schnelldienst_13-2009_-_eu-norm_f__r_verbrauchsangaben_von_autos.pdf</t>
  </si>
  <si>
    <t>http://www.uni-due.de/imperia/md/content/car/studie_kraftstoffverbrauch_-_juli_2009_2.pdf</t>
  </si>
  <si>
    <t>Nebenverbraucher Elektromobil</t>
  </si>
  <si>
    <t>http://www.dekra.de/de/pressemitteilung?p_p_lifecycle=0&amp;p_p_id=ArticleDisplay_WAR_ArticleDisplay&amp;_ArticleDisplay_WAR_ArticleDisplay_articleID=7200581</t>
  </si>
  <si>
    <t>Kaufpreis e-Golf</t>
  </si>
  <si>
    <t>http://www.goingelectric.de/2013/01/22/news/volkswagen-e-golf-preis-markteinfuehrung/</t>
  </si>
  <si>
    <t>Innerorts</t>
  </si>
  <si>
    <t>Ausserorts</t>
  </si>
  <si>
    <t>Kombiniert</t>
  </si>
  <si>
    <t>Kaufpreis</t>
  </si>
  <si>
    <t>Anreiz</t>
  </si>
  <si>
    <t>Batterieleasing</t>
  </si>
  <si>
    <t>Zinsen</t>
  </si>
  <si>
    <t>Benzinkosten</t>
  </si>
  <si>
    <t>Kfz-Steuern</t>
  </si>
  <si>
    <t>Wartung</t>
  </si>
  <si>
    <t>Versicherung</t>
  </si>
  <si>
    <t>Parkgebühren</t>
  </si>
  <si>
    <t>Gebühr für Umweltzonen</t>
  </si>
  <si>
    <t>Betrachten?</t>
  </si>
  <si>
    <t>Verkaufserlös</t>
  </si>
  <si>
    <t>Stromkosten</t>
  </si>
  <si>
    <t>City-Maut</t>
  </si>
  <si>
    <t>Verkaufserlös BW</t>
  </si>
  <si>
    <t>VW Golf</t>
  </si>
  <si>
    <t>Werkstattkosten Elektromobile</t>
  </si>
  <si>
    <t>Anteil Produktion an Gesamtfootprint</t>
  </si>
  <si>
    <t>http://www.spiegel.de/auto/aktuell/steuerbefreiung-fuer-e-mobile-bringt-nur-minimale-ersparnis-a-863436.html</t>
  </si>
  <si>
    <t>Steuerbefreiung Elektromobile</t>
  </si>
  <si>
    <t>Spalte13</t>
  </si>
  <si>
    <t>Spalte14</t>
  </si>
  <si>
    <t>Spalte15</t>
  </si>
  <si>
    <t>Spalte16</t>
  </si>
  <si>
    <t>WtW Emissionen Haltedauer (eco)</t>
  </si>
  <si>
    <t>WtW Emissionen Fahrzeugleben (eco)</t>
  </si>
  <si>
    <t>Gesamt-WtW Emissionen/Jahr (eco)</t>
  </si>
  <si>
    <t>Gesamt-WtW Emissionen/km (eco)</t>
  </si>
  <si>
    <t>Elektrizität-WtW Emissionen/km (eco)</t>
  </si>
  <si>
    <t>Benzin-WtW Emissionen/km (eco)</t>
  </si>
  <si>
    <t>dTCO/year</t>
  </si>
  <si>
    <t>TCO-Analyse</t>
  </si>
  <si>
    <t>TCO/y</t>
  </si>
  <si>
    <t>Delta</t>
  </si>
  <si>
    <t>LCA eco Fahrzeugleben</t>
  </si>
  <si>
    <t>WtW-eco-Wert Fahrzeugleben</t>
  </si>
  <si>
    <t>Gerechnet auf den Kilometer</t>
  </si>
  <si>
    <t>Gerechnet auf das Jahr</t>
  </si>
  <si>
    <t>t CO2/j</t>
  </si>
  <si>
    <t>g CO2/km</t>
  </si>
  <si>
    <t>WtW eco</t>
  </si>
  <si>
    <t>LCA-Emissionen Haltedauer/Jahr</t>
  </si>
  <si>
    <t>LCA-Emissionen Fahrzeugleben/Jahr</t>
  </si>
  <si>
    <t>LCA-eco-Emissionen Fahrzeugleben</t>
  </si>
  <si>
    <t>LCA-eco-Emissionen Fahrzeugleben/Jahr</t>
  </si>
  <si>
    <t>LCA-Emissionen Fahrzeugleben/km</t>
  </si>
  <si>
    <t>LCA-eco-Emissionen Fahrzeugleben/km</t>
  </si>
  <si>
    <t>LCA eco</t>
  </si>
  <si>
    <t>CO2 Einsparungen</t>
  </si>
  <si>
    <t>CO2 Vermeidungskosten</t>
  </si>
  <si>
    <t>€/j</t>
  </si>
  <si>
    <t>TCO/j</t>
  </si>
  <si>
    <t>Wiederkehrende Kosten</t>
  </si>
  <si>
    <t>Fahrzeugsegment</t>
  </si>
  <si>
    <t>Elektrische Reichweite (NEFZ)</t>
  </si>
  <si>
    <t>Elektr. Motorleistung</t>
  </si>
  <si>
    <t>Motorleistung Verbrennungsmotor</t>
  </si>
  <si>
    <t>Akkukapazität</t>
  </si>
  <si>
    <t>Anteil elektrische Fahrten</t>
  </si>
  <si>
    <t>Golf VII</t>
  </si>
  <si>
    <t>Anteil Fahrten innerorts</t>
  </si>
  <si>
    <t>Fahrzeugmodell</t>
  </si>
  <si>
    <t>Referenzfahrzeug</t>
  </si>
  <si>
    <t>Vergleichsfahrzeug</t>
  </si>
  <si>
    <t>Kompaktklasse</t>
  </si>
  <si>
    <t>Länge</t>
  </si>
  <si>
    <t>Gewicht</t>
  </si>
  <si>
    <t>Elektr. Verbrauch innerorts (NEFZ)</t>
  </si>
  <si>
    <t>Elektr. Verbrauch ausserorts (NEFZ)</t>
  </si>
  <si>
    <t>Kraftstoffverbrauch innerorts (NEFZ)</t>
  </si>
  <si>
    <t>Kraftstoffverbrauch ausserorts (NEFZ)</t>
  </si>
  <si>
    <t>Kalkulierter Mehrverbrauch geg. NEFZ</t>
  </si>
  <si>
    <t>Bruttolistenpreis</t>
  </si>
  <si>
    <t>Händlerrabatt auf BLP</t>
  </si>
  <si>
    <t>Grunddaten</t>
  </si>
  <si>
    <t>Antrieb</t>
  </si>
  <si>
    <t>Kalkulierter ∅-Verbrauch elektr.</t>
  </si>
  <si>
    <t>Kalkulierter ∅-Verbrauch Verbrennungsmotor</t>
  </si>
  <si>
    <t>Produktion+WtW</t>
  </si>
  <si>
    <t>BEV (eco)</t>
  </si>
  <si>
    <t>Fahrleistung</t>
  </si>
  <si>
    <t>BEV lohnt sich ab Jahr</t>
  </si>
  <si>
    <t>Kilometer</t>
  </si>
  <si>
    <t>BEV lohnt sich ab Fahrleistung/j</t>
  </si>
  <si>
    <t>BEV vorteilhaft ab Jahr</t>
  </si>
  <si>
    <t>Modelljahr</t>
  </si>
  <si>
    <t>BEV lohnt sich ab Haltedauer von:</t>
  </si>
  <si>
    <t>BEV (Ökostrom) lohnt sich ab Haltedauer von:</t>
  </si>
  <si>
    <t>THG-Vergleich</t>
  </si>
  <si>
    <t>TtW Energie Haltedauer</t>
  </si>
  <si>
    <t>WtW Energie Haltedauer</t>
  </si>
  <si>
    <t>LCA (BEV-ICE)</t>
  </si>
  <si>
    <t>LCA (ICE)</t>
  </si>
  <si>
    <t xml:space="preserve">Ein ICE darf höchstens x </t>
  </si>
  <si>
    <t>l/100km verbrauchen, um in der LCA besser dazustehen</t>
  </si>
  <si>
    <t>LCA-Vergleich (Realverbrauch detail)</t>
  </si>
  <si>
    <t>LCA-Vergleich (Realverbrauch grob)</t>
  </si>
  <si>
    <t>Wert</t>
  </si>
  <si>
    <t>Kontrolle</t>
  </si>
  <si>
    <t>Total Cost of Ownership</t>
  </si>
  <si>
    <t>TCO/year</t>
  </si>
  <si>
    <t>TCO/km</t>
  </si>
  <si>
    <t>Battery cost max</t>
  </si>
  <si>
    <t>Battery cost min</t>
  </si>
  <si>
    <t>Zuschlag Akkupackaging</t>
  </si>
  <si>
    <t>Subventionierung</t>
  </si>
  <si>
    <t>http://ec.europa.eu/research/fch/pdf/a_portfolio_of_power_trains_for_europe_a_fact_based__analysis.pdf</t>
  </si>
  <si>
    <t>Misc</t>
  </si>
  <si>
    <t>Datum</t>
  </si>
  <si>
    <t>capacity cost</t>
  </si>
  <si>
    <t>OEM-Subventionierung bY</t>
  </si>
  <si>
    <t>OEM-Subventionierung cY</t>
  </si>
  <si>
    <t>Zuschlag BEV SoE cY</t>
  </si>
  <si>
    <t>Zuschlag BEV SoE bY</t>
  </si>
  <si>
    <t>Benzinpreis cY</t>
  </si>
  <si>
    <t>bis 2020</t>
  </si>
  <si>
    <t>EZ</t>
  </si>
  <si>
    <t>Berechnung Kfz-Steuer</t>
  </si>
  <si>
    <t>Fahrzeugdaten</t>
  </si>
  <si>
    <t>Multiplikator Sockelbetrag</t>
  </si>
  <si>
    <r>
      <t>cm</t>
    </r>
    <r>
      <rPr>
        <sz val="11"/>
        <color theme="1"/>
        <rFont val="Calibri"/>
        <family val="2"/>
      </rPr>
      <t>³</t>
    </r>
  </si>
  <si>
    <r>
      <t>g co</t>
    </r>
    <r>
      <rPr>
        <sz val="11"/>
        <color theme="1"/>
        <rFont val="Calibri"/>
        <family val="2"/>
      </rPr>
      <t>₂</t>
    </r>
    <r>
      <rPr>
        <sz val="11"/>
        <color theme="1"/>
        <rFont val="Calibri"/>
        <family val="2"/>
        <scheme val="minor"/>
      </rPr>
      <t>/km</t>
    </r>
  </si>
  <si>
    <t>Gewählte Werte für TCO-Rechnung</t>
  </si>
  <si>
    <t>Low price</t>
  </si>
  <si>
    <t>Reference</t>
  </si>
  <si>
    <t>High price</t>
  </si>
  <si>
    <t>(2009 dollars per barrel)</t>
  </si>
  <si>
    <t>Figure 31. World oil prices in three cases, 1990-2035</t>
  </si>
  <si>
    <t>Liquid fuels</t>
  </si>
  <si>
    <t>Chapter 2</t>
  </si>
  <si>
    <t>September 2011</t>
  </si>
  <si>
    <t>DOE/EIA-0484(2011)</t>
  </si>
  <si>
    <t>International Energy Outlook 2011</t>
  </si>
  <si>
    <t>U.S. Energy Information Administration</t>
  </si>
  <si>
    <t>http://www.eia.gov/forecasts/ieo/liquid_fuels.cfm</t>
  </si>
  <si>
    <t>30.04.2013</t>
  </si>
  <si>
    <t>Economies of Scale Nachteil</t>
  </si>
  <si>
    <t>Händlerrabatt BEV</t>
  </si>
  <si>
    <t>Ölpreis 2035</t>
  </si>
  <si>
    <t>Anschaffungskosten</t>
  </si>
  <si>
    <t>Jährliche Folgekosten</t>
  </si>
  <si>
    <t>TCO ICE/j</t>
  </si>
  <si>
    <t>TCO BEV/j</t>
  </si>
  <si>
    <t>TCO ICE</t>
  </si>
  <si>
    <t>TCO BEV</t>
  </si>
  <si>
    <t>Nettopreis</t>
  </si>
  <si>
    <t>Jan</t>
  </si>
  <si>
    <t>Feb</t>
  </si>
  <si>
    <t>Mrz</t>
  </si>
  <si>
    <t>Apr</t>
  </si>
  <si>
    <t>Mai</t>
  </si>
  <si>
    <t>Jun</t>
  </si>
  <si>
    <t>Jul</t>
  </si>
  <si>
    <t>Aug</t>
  </si>
  <si>
    <t>Sept</t>
  </si>
  <si>
    <t>Okt</t>
  </si>
  <si>
    <t>Nov</t>
  </si>
  <si>
    <t>Dez</t>
  </si>
  <si>
    <t>MwSt</t>
  </si>
  <si>
    <t>MinÖlSt</t>
  </si>
  <si>
    <t>Bruttopreis</t>
  </si>
  <si>
    <t>Produktenpreis</t>
  </si>
  <si>
    <t>Deckungsbeitrag</t>
  </si>
  <si>
    <t>Mittelwert</t>
  </si>
  <si>
    <t>Standardabweichung</t>
  </si>
  <si>
    <t>Varianz</t>
  </si>
  <si>
    <t>0.119–0.147</t>
  </si>
  <si>
    <t>(Euro/km)</t>
  </si>
  <si>
    <t>Summe Betriebskosten</t>
  </si>
  <si>
    <t>Summe Wartung und Instandhaltung</t>
  </si>
  <si>
    <t>Reifen inkl. Montage</t>
  </si>
  <si>
    <t>Wechsel Bremsbeläge</t>
  </si>
  <si>
    <t>Wechsel Bremsflüssigkeit</t>
  </si>
  <si>
    <t>Wartungskosten Elektrofahrzeug</t>
  </si>
  <si>
    <t>Zündkerzen</t>
  </si>
  <si>
    <t>Luftfilter</t>
  </si>
  <si>
    <t>Ölwechsel mit Ölfilter</t>
  </si>
  <si>
    <t>Kosten für Wartung und Instandhaltung</t>
  </si>
  <si>
    <t>(kWh/km)</t>
  </si>
  <si>
    <t>Stromverbrauch</t>
  </si>
  <si>
    <t>(Euro/kWh)</t>
  </si>
  <si>
    <t>Strompreis</t>
  </si>
  <si>
    <t>Stromverbrauch und -kosten)</t>
  </si>
  <si>
    <t>0.091–0.119</t>
  </si>
  <si>
    <t>Kraftstoffkosten</t>
  </si>
  <si>
    <t>(l/100 km)</t>
  </si>
  <si>
    <t>Kraftstoffverbrauch</t>
  </si>
  <si>
    <t>Ölpreis 2020 zw. 110-190$</t>
  </si>
  <si>
    <t>1.66–2.16</t>
  </si>
  <si>
    <t>(Euro/l)</t>
  </si>
  <si>
    <t>Benzinpreis</t>
  </si>
  <si>
    <t>Kraftstoffverbrauch und -kosten</t>
  </si>
  <si>
    <t>Elektrofahrzeug</t>
  </si>
  <si>
    <t>Benzinfahrzeug</t>
  </si>
  <si>
    <t>Fahrzeugtyp</t>
  </si>
  <si>
    <t>Einschätzung für:</t>
  </si>
  <si>
    <t>Datum:</t>
  </si>
  <si>
    <t>Entspricht:</t>
  </si>
  <si>
    <t>Baum/Dobberstein/Schuler (2011) (Zitiert in PwC)</t>
  </si>
  <si>
    <t>p 56</t>
  </si>
  <si>
    <t>p 65</t>
  </si>
  <si>
    <t>PWC Studie Normung</t>
  </si>
  <si>
    <t>NEDC</t>
  </si>
  <si>
    <t>Fahrzyklus</t>
  </si>
  <si>
    <t>4 Jahre</t>
  </si>
  <si>
    <t>McKinsey</t>
  </si>
  <si>
    <t>Author</t>
  </si>
  <si>
    <t>http://onlinelibrary.wiley.com/doi/10.1002/fuce.200600040/pdf</t>
  </si>
  <si>
    <t>URL</t>
  </si>
  <si>
    <t>http://europeanclimate.org/documents/Cars-Economic-assessment-vehicles-FINAL.pdf</t>
  </si>
  <si>
    <t>Batteriekosten</t>
  </si>
  <si>
    <t>UK Committee on Climate Change</t>
  </si>
  <si>
    <t>km/J</t>
  </si>
  <si>
    <t>Fahrleistung total</t>
  </si>
  <si>
    <t>Jährl. Fahrleistung</t>
  </si>
  <si>
    <t>Jahre</t>
  </si>
  <si>
    <t>300 (230-450)</t>
  </si>
  <si>
    <t>457 (275-750)</t>
  </si>
  <si>
    <t>871 (375 - 1500)</t>
  </si>
  <si>
    <t>Battery lifetime</t>
  </si>
  <si>
    <t>other BEV-specific parts</t>
  </si>
  <si>
    <t>battery</t>
  </si>
  <si>
    <t>EV-specific parts</t>
  </si>
  <si>
    <t>Glider parts</t>
  </si>
  <si>
    <t>Energiekosten/100km</t>
  </si>
  <si>
    <t>€/100 km</t>
  </si>
  <si>
    <t>Zielwert</t>
  </si>
  <si>
    <t>Berechnung</t>
  </si>
  <si>
    <t>CO2 NEFZ bY</t>
  </si>
  <si>
    <t>CO2 NEFZ cY</t>
  </si>
  <si>
    <t>Max. Drehmoment</t>
  </si>
  <si>
    <t>Nm bei 1/min</t>
  </si>
  <si>
    <t>km/l (km/kWh)</t>
  </si>
  <si>
    <t>l/100km (kWh/100km)</t>
  </si>
  <si>
    <t>Energy costs per driven km</t>
  </si>
  <si>
    <t>Additional Investments</t>
  </si>
  <si>
    <t>Tatsächliche Effizienz</t>
  </si>
  <si>
    <t>Verbrauch Herstellerangabe bY</t>
  </si>
  <si>
    <t>Platzhalter</t>
  </si>
  <si>
    <t>Investitionssumme</t>
  </si>
  <si>
    <t>Preis einer Vollladung</t>
  </si>
  <si>
    <t>Reichweite</t>
  </si>
  <si>
    <t>Kfz-Steuer</t>
  </si>
  <si>
    <t>Citymaut</t>
  </si>
  <si>
    <r>
      <t>CO</t>
    </r>
    <r>
      <rPr>
        <sz val="11"/>
        <color theme="1"/>
        <rFont val="Calibri"/>
        <family val="2"/>
        <scheme val="minor"/>
      </rPr>
      <t>2-Wert</t>
    </r>
  </si>
  <si>
    <r>
      <t>g CO</t>
    </r>
    <r>
      <rPr>
        <sz val="11"/>
        <color theme="1"/>
        <rFont val="Calibri"/>
        <family val="2"/>
        <scheme val="minor"/>
      </rPr>
      <t>2/100km</t>
    </r>
  </si>
  <si>
    <t>Leistung</t>
  </si>
  <si>
    <t>NEFZ kombiniert bY</t>
  </si>
  <si>
    <t>NEFZ ausserorts bY</t>
  </si>
  <si>
    <t>NEFZ innerorts bY</t>
  </si>
  <si>
    <t>Efficiency improvement</t>
  </si>
  <si>
    <t>Erwarteter Händlerrabatt</t>
  </si>
  <si>
    <t>Zusätzliche Investitionen</t>
  </si>
  <si>
    <t>Aufpreis für Ökostrom</t>
  </si>
  <si>
    <t>Kaufanreiz</t>
  </si>
  <si>
    <t>bY</t>
  </si>
  <si>
    <t>Kunde kauft Batterie zu x% (mietet Rest)</t>
  </si>
  <si>
    <t>Investitionspreis</t>
  </si>
  <si>
    <t>Tatsächlicher Verbrauch aktuelles Modell</t>
  </si>
  <si>
    <t>Kopplung der Strompreisentwicklung an Ölpreiskurve</t>
  </si>
  <si>
    <t>Verbrauch NEFZ Modell 2013</t>
  </si>
  <si>
    <t>Verbrauch NEFZ neues Modell</t>
  </si>
  <si>
    <t>Verbrauch real neues Modell</t>
  </si>
  <si>
    <t>Oil</t>
  </si>
  <si>
    <t>Wartung %</t>
  </si>
  <si>
    <t>%TCO-Aufpreis BEV</t>
  </si>
  <si>
    <t>Batterie</t>
  </si>
  <si>
    <t>by</t>
  </si>
  <si>
    <t>cy</t>
  </si>
  <si>
    <t>Battery cost %</t>
  </si>
  <si>
    <t>Battery cost min %</t>
  </si>
  <si>
    <t>Battery cost max %</t>
  </si>
  <si>
    <t>cY</t>
  </si>
  <si>
    <t>Control</t>
  </si>
  <si>
    <t>d(ty-by)</t>
  </si>
  <si>
    <t>target year</t>
  </si>
  <si>
    <t>Battery packaging weight</t>
  </si>
  <si>
    <t>Battery cost per capacity</t>
  </si>
  <si>
    <t>Nettonetzentgelt (20,6 %): Das Netznutzungsentgelt</t>
  </si>
  <si>
    <t>Messung, Messstellenbetrieb und Abrechnung (2,5 %): Entgelte für die Kosten der Abrechnung sowie der technisch notwendigen Mess- und Steuereinrichtung (Zähler, etc.), in der Regel in Euro pro Jahr, sowie das Entgelt für die Ablesung und das Inkasso für z.B. ein Jahr</t>
  </si>
  <si>
    <t>Staatliche Abgaben: Konzessionsabgabe (6,4 %), Umlage nach dem Erneuerbare-Energien-Gesetz (13,8 %) und Umlage nach dem Kraft-Wärme-Kopplungsgesetz (0,0 %)</t>
  </si>
  <si>
    <t>Steuern (24,0 %): Mehrwertsteuer (15,9%), Stromsteuer (7,9%)</t>
  </si>
  <si>
    <t>Kosten für die Strombeschaffung und für den Vertrieb (32,3 %): Energiebeschaffung (24,1%), Vertrieb (inkl. Marge) (8,2%)</t>
  </si>
  <si>
    <t>Netznutzungsentgelt</t>
  </si>
  <si>
    <t>Konzessionsabgabe</t>
  </si>
  <si>
    <t>EEG-Umlage</t>
  </si>
  <si>
    <t>Energiebeschaffung</t>
  </si>
  <si>
    <t>Vertrieb</t>
  </si>
  <si>
    <t>Stromkostenbestandteile Verbraucher</t>
  </si>
  <si>
    <t>Messung, Abrechnung</t>
  </si>
  <si>
    <t>Erzeugung, Transport, Vertrieb</t>
  </si>
  <si>
    <t>EEG-Umlage*</t>
  </si>
  <si>
    <t>Mehrwertsteuer</t>
  </si>
  <si>
    <t>KWK-Gesetz</t>
  </si>
  <si>
    <t>§19-Umlage</t>
  </si>
  <si>
    <t>Offshore-Haftungsumlage</t>
  </si>
  <si>
    <t>Strom Verbraucherpreis</t>
  </si>
  <si>
    <t>Ct/kWh</t>
  </si>
  <si>
    <t>CAGR 15y</t>
  </si>
  <si>
    <t>CAGR 10y</t>
  </si>
  <si>
    <t>CAGR 5y</t>
  </si>
  <si>
    <t>CAGR 1y</t>
  </si>
  <si>
    <t>Hybrid</t>
  </si>
  <si>
    <t>Jahr (01. Jan)</t>
  </si>
  <si>
    <t>Summe:</t>
  </si>
  <si>
    <t>Listenpreis bY</t>
  </si>
  <si>
    <t>Listenpreis cY</t>
  </si>
  <si>
    <t>Öko-Zusatzkosten</t>
  </si>
  <si>
    <t>Alter</t>
  </si>
  <si>
    <t>Restleben</t>
  </si>
  <si>
    <t>Beispielhafter Wertverlust nach DAT</t>
  </si>
  <si>
    <t>WV nach erw. Lebensdauer</t>
  </si>
  <si>
    <t>Wertverlust 1. Jahr</t>
  </si>
  <si>
    <t>Wertverlust Folgejahre</t>
  </si>
  <si>
    <t>Wertverlust nach DAT.de</t>
  </si>
  <si>
    <t>Zusätzlicher Wertverlust BEV</t>
  </si>
  <si>
    <t>Erhöhter Wertverlust BEV gegenüber ICE in 2013</t>
  </si>
  <si>
    <t xml:space="preserve"> - %/j</t>
  </si>
  <si>
    <t>Restwert in €</t>
  </si>
  <si>
    <t>Wertverlust in €</t>
  </si>
  <si>
    <t>Relativ</t>
  </si>
  <si>
    <t>Linie 1</t>
  </si>
  <si>
    <t>Senkung</t>
  </si>
  <si>
    <t>Steigerung</t>
  </si>
  <si>
    <t>Stuetze</t>
  </si>
  <si>
    <t>Startwert</t>
  </si>
  <si>
    <t>Var.</t>
  </si>
  <si>
    <t>Vormonat</t>
  </si>
  <si>
    <t>Aktuell</t>
  </si>
  <si>
    <t>90kW</t>
  </si>
  <si>
    <t>Golf VII 1.4 TSI 90kW</t>
  </si>
  <si>
    <t>15.000km/Jahr</t>
  </si>
  <si>
    <t>http://www.versicherungsvergleich.org</t>
  </si>
  <si>
    <t>Teuerung</t>
  </si>
  <si>
    <t>Teuerung BLP</t>
  </si>
  <si>
    <t>Inflation</t>
  </si>
  <si>
    <t>Kapitalbindungskosten</t>
  </si>
  <si>
    <t>Verbrauch pro Jahr</t>
  </si>
  <si>
    <t>l (kWh)/j</t>
  </si>
  <si>
    <t>Anbieter</t>
  </si>
  <si>
    <t>Verbrauchspreis</t>
  </si>
  <si>
    <t>Anteil regenerativer Energien</t>
  </si>
  <si>
    <t>Cent/kWh</t>
  </si>
  <si>
    <t>Mark-E</t>
  </si>
  <si>
    <t>Link</t>
  </si>
  <si>
    <t>https://www.verivox.de/signup/signupmethodselection.aspx?gc=true&amp;csessionsession_id=61566476&amp;csessionvalidation=10187909&amp;customer=1&amp;plocation=0&amp;cavailablemethods_id=6&amp;source_id=1&amp;plz=70197&amp;site_id=2&amp;tariff_id=377432&amp;usage=7000&amp;vx_user_id=1436436297</t>
  </si>
  <si>
    <t>meckpommSTROM 12</t>
  </si>
  <si>
    <t>Produkt</t>
  </si>
  <si>
    <t>https://www.verivox.de/signup/signupmethodselection.aspx?gc=true&amp;csessionsession_id=61566477&amp;csessionvalidation=342256&amp;customer=1&amp;plocation=0&amp;cavailablemethods_id=6&amp;source_id=1&amp;plz=70197&amp;site_id=2&amp;tariff_id=376579&amp;usage=7000&amp;vx_user_id=1436436297</t>
  </si>
  <si>
    <t>Stadtwerke Schwerin</t>
  </si>
  <si>
    <t>Top Strom</t>
  </si>
  <si>
    <t>Euro/Monat</t>
  </si>
  <si>
    <t>ENTEGA</t>
  </si>
  <si>
    <t>ENTEGA Ökostrom</t>
  </si>
  <si>
    <t>https://www.verivox.de/signup/signupmethodselection.aspx?gc=true&amp;csessionsession_id=61566482&amp;csessionvalidation=7490411&amp;customer=1&amp;plocation=0&amp;cavailablemethods_id=6&amp;source_id=1&amp;plz=70197&amp;site_id=2&amp;tariff_id=377081&amp;usage=7000&amp;vx_user_id=1436436297</t>
  </si>
  <si>
    <t>eprimo</t>
  </si>
  <si>
    <t>eprimoFamilie</t>
  </si>
  <si>
    <t>https://www.verivox.de/signup/signupmethodselection.aspx?gc=true&amp;csessionsession_id=61566483&amp;csessionvalidation=5168785&amp;customer=1&amp;plocation=0&amp;cavailablemethods_id=6&amp;source_id=1&amp;plz=70197&amp;site_id=2&amp;tariff_id=377791&amp;usage=7000&amp;vx_user_id=1436436297</t>
  </si>
  <si>
    <t>Startwerke Duisburg</t>
  </si>
  <si>
    <t>MeinStrom</t>
  </si>
  <si>
    <t>https://www.verivox.de/signup/signupmethodselection.aspx?gc=true&amp;csessionsession_id=61566485&amp;csessionvalidation=1818604&amp;customer=1&amp;plocation=0&amp;cavailablemethods_id=6&amp;source_id=1&amp;plz=70197&amp;site_id=2&amp;tariff_id=377157&amp;usage=7000&amp;vx_user_id=1436436297</t>
  </si>
  <si>
    <t>RheinEnergie Express</t>
  </si>
  <si>
    <t>FairKonstant 12</t>
  </si>
  <si>
    <t>https://www.verivox.de/signup/signupmethodselection.aspx?gc=true&amp;csessionsession_id=61566487&amp;csessionvalidation=482894&amp;customer=1&amp;plocation=0&amp;cavailablemethods_id=6&amp;source_id=1&amp;plz=70197&amp;site_id=2&amp;tariff_id=370130&amp;usage=7000&amp;vx_user_id=1436436297</t>
  </si>
  <si>
    <t>EV Filstal</t>
  </si>
  <si>
    <t>Barbarossa-Öko12</t>
  </si>
  <si>
    <t>https://www.verivox.de/signup/signupmethodselection.aspx?gc=true&amp;csessionsession_id=61566489&amp;csessionvalidation=1010002&amp;customer=1&amp;plocation=0&amp;cavailablemethods_id=6&amp;source_id=1&amp;plz=70197&amp;site_id=2&amp;tariff_id=377256&amp;usage=7000&amp;vx_user_id=1436436297</t>
  </si>
  <si>
    <t>ESWE</t>
  </si>
  <si>
    <t>Natur STROM</t>
  </si>
  <si>
    <t>https://www.verivox.de/signup/signupmethodselection.aspx?gc=true&amp;csessionsession_id=61566488&amp;csessionvalidation=2340166&amp;customer=1&amp;plocation=0&amp;cavailablemethods_id=6&amp;source_id=1&amp;plz=70197&amp;site_id=2&amp;tariff_id=354789&amp;usage=7000&amp;vx_user_id=1436436297</t>
  </si>
  <si>
    <t>123energie</t>
  </si>
  <si>
    <t>123strom</t>
  </si>
  <si>
    <t>https://www.verivox.de/signup/signupmethodselection.aspx?gc=true&amp;csessionsession_id=61566490&amp;csessionvalidation=6144603&amp;customer=1&amp;plocation=0&amp;cavailablemethods_id=6&amp;source_id=1&amp;plz=70197&amp;site_id=2&amp;tariff_id=378554&amp;usage=7000&amp;vx_user_id=1436436297</t>
  </si>
  <si>
    <t>badenova</t>
  </si>
  <si>
    <t>Ökostrom12</t>
  </si>
  <si>
    <t>https://www.verivox.de/signup/signupmethodselection.aspx?gc=true&amp;csessionsession_id=61566492&amp;csessionvalidation=4868912&amp;customer=1&amp;plocation=0&amp;cavailablemethods_id=6&amp;source_id=1&amp;plz=70197&amp;site_id=2&amp;tariff_id=377746&amp;usage=7000&amp;vx_user_id=1436436297</t>
  </si>
  <si>
    <t>Easy12</t>
  </si>
  <si>
    <t>Vattenfall</t>
  </si>
  <si>
    <t>https://www.verivox.de/signup/signupmethodselection.aspx?gc=true&amp;csessionsession_id=61566494&amp;csessionvalidation=3485336&amp;customer=1&amp;plocation=0&amp;cavailablemethods_id=6&amp;source_id=1&amp;plz=70197&amp;site_id=2&amp;tariff_id=375425&amp;usage=7000&amp;vx_user_id=1436436297</t>
  </si>
  <si>
    <t>Mainova</t>
  </si>
  <si>
    <t>Strom Direkt 12</t>
  </si>
  <si>
    <t>https://www.verivox.de/signup/signupmethodselection.aspx?gc=true&amp;csessionsession_id=61566493&amp;csessionvalidation=1719145&amp;customer=1&amp;plocation=0&amp;cavailablemethods_id=6&amp;source_id=1&amp;plz=70197&amp;site_id=2&amp;tariff_id=377220&amp;usage=7000&amp;vx_user_id=1436436297</t>
  </si>
  <si>
    <t>Sauber Energie</t>
  </si>
  <si>
    <t>https://www.verivox.de/signup/signupmethodselection.aspx?gc=true&amp;csessionsession_id=61566495&amp;csessionvalidation=1312046&amp;customer=1&amp;plocation=0&amp;cavailablemethods_id=6&amp;source_id=1&amp;plz=70197&amp;site_id=2&amp;tariff_id=378700&amp;usage=7000&amp;vx_user_id=1436436297</t>
  </si>
  <si>
    <t>E.ON</t>
  </si>
  <si>
    <t>DirektStrom</t>
  </si>
  <si>
    <t>https://www.verivox.de/signup/signupmethodselection.aspx?gc=true&amp;csessionsession_id=61566496&amp;csessionvalidation=16127388&amp;customer=1&amp;plocation=0&amp;cavailablemethods_id=5&amp;source_id=1&amp;plz=70197&amp;site_id=2&amp;tariff_id=378428&amp;usage=7000&amp;vx_user_id=1436436297</t>
  </si>
  <si>
    <t>Strommixer</t>
  </si>
  <si>
    <t>Naturmix Family</t>
  </si>
  <si>
    <t>https://www.verivox.de/signup/signupmethodselection.aspx?gc=true&amp;csessionsession_id=61566499&amp;csessionvalidation=5093056&amp;customer=1&amp;plocation=0&amp;cavailablemethods_id=6&amp;source_id=1&amp;plz=70197&amp;site_id=2&amp;tariff_id=359825&amp;usage=7000&amp;vx_user_id=1436436297</t>
  </si>
  <si>
    <t>SWK Energie</t>
  </si>
  <si>
    <t>meinDIREKT Strom 12</t>
  </si>
  <si>
    <t>https://www.verivox.de/signup/signupmethodselection.aspx?gc=true&amp;csessionsession_id=61566497&amp;csessionvalidation=3114723&amp;customer=1&amp;plocation=0&amp;cavailablemethods_id=6&amp;source_id=1&amp;plz=70197&amp;site_id=2&amp;tariff_id=377685&amp;usage=7000&amp;vx_user_id=1436436297</t>
  </si>
  <si>
    <t>goldpower</t>
  </si>
  <si>
    <t>goldstrom Trend</t>
  </si>
  <si>
    <t>https://www.verivox.de/signup/signupmethodselection.aspx?gc=true&amp;csessionsession_id=61566502&amp;csessionvalidation=4138329&amp;customer=1&amp;plocation=0&amp;cavailablemethods_id=6&amp;source_id=1&amp;plz=70197&amp;site_id=2&amp;tariff_id=370505&amp;usage=7000&amp;vx_user_id=1436436297</t>
  </si>
  <si>
    <t>Enspire Energie</t>
  </si>
  <si>
    <t>Ökostrom m. Mehrwert</t>
  </si>
  <si>
    <t>https://www.verivox.de/signup/signupmethodselection.aspx?gc=true&amp;csessionsession_id=61566498&amp;csessionvalidation=8860861&amp;customer=1&amp;plocation=0&amp;cavailablemethods_id=6&amp;source_id=1&amp;plz=70197&amp;site_id=2&amp;tariff_id=372667&amp;usage=7000&amp;vx_user_id=1436436297</t>
  </si>
  <si>
    <t>Strom.Manufaktur</t>
  </si>
  <si>
    <t>Strom Natur</t>
  </si>
  <si>
    <t>https://www.verivox.de/signup/signupmethodselection.aspx?gc=true&amp;csessionsession_id=61566500&amp;csessionvalidation=10926031&amp;customer=1&amp;plocation=0&amp;cavailablemethods_id=6&amp;source_id=1&amp;plz=70197&amp;site_id=2&amp;tariff_id=369936&amp;usage=7000&amp;vx_user_id=1436436297</t>
  </si>
  <si>
    <t>Clevergy</t>
  </si>
  <si>
    <t>Click &amp; Service 12p</t>
  </si>
  <si>
    <t>https://www.verivox.de/signup/signupmethodselection.aspx?gc=true&amp;csessionsession_id=61566503&amp;csessionvalidation=12446186&amp;customer=1&amp;plocation=0&amp;cavailablemethods_id=6&amp;source_id=1&amp;plz=70197&amp;site_id=2&amp;tariff_id=368218&amp;usage=7000&amp;vx_user_id=1436436297</t>
  </si>
  <si>
    <t>E WIE EINFACH</t>
  </si>
  <si>
    <t>EinPreisTarif</t>
  </si>
  <si>
    <t>https://www.verivox.de/signup/signupmethodselection.aspx?gc=true&amp;csessionsession_id=61566505&amp;csessionvalidation=10592651&amp;customer=1&amp;plocation=0&amp;cavailablemethods_id=6&amp;source_id=1&amp;plz=70197&amp;site_id=2&amp;tariff_id=375982&amp;usage=7000&amp;vx_user_id=1436436297</t>
  </si>
  <si>
    <t>EVD</t>
  </si>
  <si>
    <t>Strom für Ba.-Wü.</t>
  </si>
  <si>
    <t>https://www.verivox.de/signup/signupmethodselection.aspx?gc=true&amp;csessionsession_id=61566504&amp;csessionvalidation=4566541&amp;customer=1&amp;plocation=0&amp;cavailablemethods_id=6&amp;source_id=1&amp;plz=70197&amp;site_id=2&amp;tariff_id=378255&amp;usage=7000&amp;vx_user_id=1436436297</t>
  </si>
  <si>
    <t>FairEnergie</t>
  </si>
  <si>
    <t>FairStromOnline</t>
  </si>
  <si>
    <t>https://www.verivox.de/signup/signupmethodselection.aspx?gc=true&amp;csessionsession_id=61566436&amp;csessionvalidation=15347451&amp;customer=1&amp;plocation=0&amp;cavailablemethods_id=6&amp;source_id=1&amp;plz=70197&amp;site_id=2&amp;tariff_id=377779&amp;usage=7000&amp;vx_user_id=1436436297</t>
  </si>
  <si>
    <t>Städtische Werke AG</t>
  </si>
  <si>
    <t>Naturstrom 2.0</t>
  </si>
  <si>
    <t>https://www.verivox.de/signup/signupmethodselection.aspx?gc=true&amp;csessionsession_id=61566440&amp;csessionvalidation=8515836&amp;customer=1&amp;plocation=0&amp;cavailablemethods_id=6&amp;source_id=1&amp;plz=70197&amp;site_id=2&amp;tariff_id=372084&amp;usage=7000&amp;vx_user_id=1436436297</t>
  </si>
  <si>
    <t>die energieversorger</t>
  </si>
  <si>
    <t>sparstrom 12/12</t>
  </si>
  <si>
    <t>https://www.verivox.de/signup/signupmethodselection.aspx?gc=true&amp;csessionsession_id=61566443&amp;csessionvalidation=12929244&amp;customer=1&amp;plocation=0&amp;cavailablemethods_id=6&amp;source_id=1&amp;plz=70197&amp;site_id=2&amp;tariff_id=378009&amp;usage=7000&amp;vx_user_id=1436436297</t>
  </si>
  <si>
    <t>priostrom</t>
  </si>
  <si>
    <t>Priostrom Natur Pur</t>
  </si>
  <si>
    <t>https://www.verivox.de/signup/signupmethodselection.aspx?gc=true&amp;csessionsession_id=61566417&amp;csessionvalidation=469362&amp;customer=1&amp;plocation=0&amp;cavailablemethods_id=6&amp;source_id=1&amp;plz=70197&amp;site_id=2&amp;tariff_id=378772&amp;usage=7000&amp;vx_user_id=1436436297</t>
  </si>
  <si>
    <t>MAINGAU Energie</t>
  </si>
  <si>
    <t>StromClever</t>
  </si>
  <si>
    <t>https://www.verivox.de/signup/signupmethodselection.aspx?gc=true&amp;csessionsession_id=61566419&amp;csessionvalidation=559620&amp;customer=1&amp;plocation=0&amp;cavailablemethods_id=6&amp;source_id=1&amp;plz=70197&amp;site_id=2&amp;tariff_id=376025&amp;usage=7000&amp;vx_user_id=1436436297</t>
  </si>
  <si>
    <t>Grünwelt Energie</t>
  </si>
  <si>
    <t>grünstrom</t>
  </si>
  <si>
    <t>https://www.verivox.de/signup/signupmethodselection.aspx?gc=true&amp;csessionsession_id=61566423&amp;csessionvalidation=8867334&amp;customer=1&amp;plocation=0&amp;cavailablemethods_id=6&amp;source_id=1&amp;plz=70197&amp;site_id=2&amp;tariff_id=377751&amp;usage=7000&amp;vx_user_id=1436436297</t>
  </si>
  <si>
    <t>Stromio</t>
  </si>
  <si>
    <t>stromio classic</t>
  </si>
  <si>
    <t>https://www.verivox.de/signup/signupmethodselection.aspx?gc=true&amp;csessionsession_id=61566424&amp;csessionvalidation=8174273&amp;customer=1&amp;plocation=0&amp;cavailablemethods_id=6&amp;source_id=1&amp;plz=70197&amp;site_id=2&amp;tariff_id=378483&amp;usage=7000&amp;vx_user_id=1436436297</t>
  </si>
  <si>
    <t>Wemag</t>
  </si>
  <si>
    <t>wemio-Ökostrom</t>
  </si>
  <si>
    <t>https://www.verivox.de/signup/signupmethodselection.aspx?gc=true&amp;csessionsession_id=61566429&amp;csessionvalidation=12943849&amp;customer=1&amp;plocation=0&amp;cavailablemethods_id=6&amp;source_id=1&amp;plz=70197&amp;site_id=2&amp;tariff_id=378284&amp;usage=7000&amp;vx_user_id=1436436297</t>
  </si>
  <si>
    <t>Sauber Strom Fix 12</t>
  </si>
  <si>
    <t>energieGUT</t>
  </si>
  <si>
    <t>HalloNatur!</t>
  </si>
  <si>
    <t>https://www.verivox.de/signup/signupmethodselection.aspx?gc=true&amp;csessionsession_id=61566930&amp;csessionvalidation=9182268&amp;customer=1&amp;plocation=0&amp;cavailablemethods_id=6&amp;source_id=1&amp;plz=70197&amp;site_id=2&amp;tariff_id=371898&amp;usage=7000&amp;vx_user_id=1436436297</t>
  </si>
  <si>
    <t>KlimaFair Strom</t>
  </si>
  <si>
    <t>https://www.verivox.de/signup/signupmethodselection.aspx?gc=true&amp;csessionsession_id=61566950&amp;csessionvalidation=5410751&amp;customer=1&amp;plocation=0&amp;cavailablemethods_id=6&amp;source_id=1&amp;plz=70197&amp;site_id=2&amp;tariff_id=377431&amp;usage=7000&amp;vx_user_id=1436436297</t>
  </si>
  <si>
    <t>meckpommSTROM nat. 12</t>
  </si>
  <si>
    <t>https://www.verivox.de/signup/signupmethodselection.aspx?gc=true&amp;csessionsession_id=61566957&amp;csessionvalidation=9461848&amp;customer=1&amp;plocation=0&amp;cavailablemethods_id=6&amp;source_id=1&amp;plz=70197&amp;site_id=2&amp;tariff_id=376581&amp;usage=7000&amp;vx_user_id=1436436297</t>
  </si>
  <si>
    <t>Stadtwerke Duisburg</t>
  </si>
  <si>
    <t>R(H)EINPOWER Natur</t>
  </si>
  <si>
    <t>https://www.verivox.de/signup/signupmethodselection.aspx?gc=true&amp;csessionsession_id=61566962&amp;csessionvalidation=19239711&amp;customer=1&amp;plocation=0&amp;cavailablemethods_id=6&amp;source_id=1&amp;plz=70197&amp;site_id=2&amp;tariff_id=377154&amp;usage=7000&amp;vx_user_id=1436436297</t>
  </si>
  <si>
    <t>FairKlima 12</t>
  </si>
  <si>
    <t>https://www.verivox.de/signup/signupmethodselection.aspx?gc=true&amp;csessionsession_id=61566967&amp;csessionvalidation=5218604&amp;customer=1&amp;plocation=0&amp;cavailablemethods_id=6&amp;source_id=1&amp;plz=70197&amp;site_id=2&amp;tariff_id=370127&amp;usage=7000&amp;vx_user_id=1436436297</t>
  </si>
  <si>
    <t>PrimaKlimaF</t>
  </si>
  <si>
    <t>https://www.verivox.de/signup/signupmethodselection.aspx?gc=true&amp;csessionsession_id=61566969&amp;csessionvalidation=16946452&amp;customer=1&amp;plocation=0&amp;cavailablemethods_id=6&amp;source_id=1&amp;plz=70197&amp;site_id=2&amp;tariff_id=377793&amp;usage=7000&amp;vx_user_id=1436436297</t>
  </si>
  <si>
    <t>Natur12 Strom</t>
  </si>
  <si>
    <t>https://www.verivox.de/signup/signupmethodselection.aspx?gc=true&amp;csessionsession_id=61566980&amp;csessionvalidation=11528354&amp;customer=1&amp;plocation=0&amp;cavailablemethods_id=6&amp;source_id=1&amp;plz=70197&amp;site_id=2&amp;tariff_id=375427&amp;usage=7000&amp;vx_user_id=1436436297</t>
  </si>
  <si>
    <t>123ökostrom</t>
  </si>
  <si>
    <t>https://www.verivox.de/signup/signupmethodselection.aspx?gc=true&amp;csessionsession_id=61566985&amp;csessionvalidation=15759009&amp;customer=1&amp;plocation=0&amp;cavailablemethods_id=6&amp;source_id=1&amp;plz=70197&amp;site_id=2&amp;tariff_id=378556&amp;usage=7000&amp;vx_user_id=1436436297</t>
  </si>
  <si>
    <t>meinDIREKT 12 öko</t>
  </si>
  <si>
    <t>https://www.verivox.de/signup/signupmethodselection.aspx?gc=true&amp;csessionsession_id=61566992&amp;csessionvalidation=3489364&amp;customer=1&amp;plocation=0&amp;cavailablemethods_id=6&amp;source_id=1&amp;plz=70197&amp;site_id=2&amp;tariff_id=377686&amp;usage=7000&amp;vx_user_id=1436436297</t>
  </si>
  <si>
    <t>mainova</t>
  </si>
  <si>
    <t>Novanatur 12</t>
  </si>
  <si>
    <t>https://www.verivox.de/signup/signupmethodselection.aspx?gc=true&amp;csessionsession_id=61567002&amp;csessionvalidation=12376732&amp;customer=1&amp;plocation=0&amp;cavailablemethods_id=6&amp;source_id=1&amp;plz=70197&amp;site_id=2&amp;tariff_id=378473&amp;usage=7000&amp;vx_user_id=1436436297</t>
  </si>
  <si>
    <t>ExtraEnergie</t>
  </si>
  <si>
    <t>extrastrom 12</t>
  </si>
  <si>
    <t>https://www.verivox.de/signup/signupmethodselection.aspx?gc=true&amp;csessionsession_id=61567003&amp;csessionvalidation=5859415&amp;customer=1&amp;plocation=0&amp;cavailablemethods_id=6&amp;source_id=1&amp;plz=70197&amp;site_id=2&amp;tariff_id=378765&amp;usage=7000&amp;vx_user_id=1436436297</t>
  </si>
  <si>
    <t>priostrom 12</t>
  </si>
  <si>
    <t>https://www.verivox.de/signup/signupmethodselection.aspx?gc=true&amp;csessionsession_id=61567007&amp;csessionvalidation=8237333&amp;customer=1&amp;plocation=0&amp;cavailablemethods_id=6&amp;source_id=1&amp;plz=70197&amp;site_id=2&amp;tariff_id=378769&amp;usage=7000&amp;vx_user_id=1436436297</t>
  </si>
  <si>
    <t>MeinÖkoTarif Strom</t>
  </si>
  <si>
    <t>https://www.verivox.de/signup/signupmethodselection.aspx?gc=true&amp;csessionsession_id=61567010&amp;csessionvalidation=2299645&amp;customer=1&amp;plocation=0&amp;cavailablemethods_id=6&amp;source_id=1&amp;plz=70197&amp;site_id=2&amp;tariff_id=375984&amp;usage=7000&amp;vx_user_id=1436436297</t>
  </si>
  <si>
    <t>SECURA Energie</t>
  </si>
  <si>
    <t>SECURA Ökostrom</t>
  </si>
  <si>
    <t>https://www.verivox.de/signup/signupmethodselection.aspx?gc=true&amp;csessionsession_id=61567011&amp;csessionvalidation=9564985&amp;customer=1&amp;plocation=0&amp;cavailablemethods_id=6&amp;source_id=1&amp;plz=70197&amp;site_id=2&amp;tariff_id=378154&amp;usage=7000&amp;vx_user_id=1436436297</t>
  </si>
  <si>
    <t>grünstrom pur</t>
  </si>
  <si>
    <t>https://www.verivox.de/signup/signupmethodselection.aspx?gc=true&amp;csessionsession_id=61566916&amp;csessionvalidation=19438231&amp;customer=1&amp;plocation=0&amp;cavailablemethods_id=6&amp;source_id=1&amp;plz=70197&amp;site_id=2&amp;tariff_id=377751&amp;usage=7000&amp;vx_user_id=1436436297</t>
  </si>
  <si>
    <t>CO2-Emissionen pro Jahr (WtW)</t>
  </si>
  <si>
    <t>WtW-Eco</t>
  </si>
  <si>
    <t>"LCA" eco</t>
  </si>
  <si>
    <t>Diese Arbeit beschäftigt sich anhand einer Vergleichsanalyse mit der Wirtschaftlichkeit und Umweltfreundlichkeit eines reinen Elektromobils. Durch Kombination einer Gesamtkostenrechnung und Treibhausgasanalyse werden die CO2-Vermeidungskosten errechnet. Der Autor kommt zu dem Schluss, dass das reine Elektromobil aufgrund der hohen Kosten für den Energiespeicher auf absehbare Zeit teurer bleibt als ein vergleichbarer Benziner. Die CO2-Vermeidungskosten bewegen sich zwischen 800 1600€ je eingesparter Tonne CO2 - damit stellt das Elektromobil zur Zeit keine effiziente Umweltinvestition dar.</t>
  </si>
  <si>
    <t>This thesis evaluates the battery electric car (BEV) from an economical as well as an ecological view. By combining a TCO-analysis (total cost of ownership) with a WtW-analysis (well-to-wheel), the author gains an insight about the efficiency of the BEV as a green investment. The author concludes that the BEV today in Germany is about 39% more expensive to own than a comparable petrol run car and causes 62% less global CO2 emissions. This results in CO2-avoidance costs of 800-1600€ per tCO2 and makes the BEV a terrible green investment as for today. However, the expected decreasing battery costs, a longer holding period of the car, a favourable driving mix and a higher mileage could transform the BEV in a technology which safes both: money and the environment.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</si>
</sst>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€&quot;;[Red]\-#,##0\ &quot;€&quot;"/>
    <numFmt numFmtId="165" formatCode="_-* #,##0.00\ _€_-;\-* #,##0.00\ _€_-;_-* &quot;-&quot;??\ _€_-;_-@_-"/>
    <numFmt numFmtId="166" formatCode="_-* #,##0\ [$€-407]_-;\-* #,##0\ [$€-407]_-;_-* &quot;-&quot;??\ [$€-407]_-;_-@_-"/>
    <numFmt numFmtId="167" formatCode="_-* #,##0.00\ [$€-407]_-;\-* #,##0.00\ [$€-407]_-;_-* &quot;-&quot;??\ [$€-407]_-;_-@_-"/>
    <numFmt numFmtId="168" formatCode="_(* #,##0_);_(* \(#,##0\);_(* &quot;-&quot;??_);_(@_)"/>
    <numFmt numFmtId="169" formatCode="_([$€-2]\ * #,##0_);_([$€-2]\ * \(#,##0\);_([$€-2]\ * &quot;-&quot;??_);_(@_)"/>
    <numFmt numFmtId="170" formatCode="0.0%"/>
    <numFmt numFmtId="171" formatCode="_-* #,##0.000\ [$€-407]_-;\-* #,##0.000\ [$€-407]_-;_-* &quot;-&quot;??\ [$€-407]_-;_-@_-"/>
    <numFmt numFmtId="172" formatCode="#,##0.0000"/>
    <numFmt numFmtId="173" formatCode="[=1]&quot;ja&quot;;[=0]&quot;nein&quot;;&quot;weiß nicht&quot;"/>
    <numFmt numFmtId="174" formatCode="#,##0.00\ &quot;€&quot;"/>
    <numFmt numFmtId="175" formatCode="_(* #,##0.0_);_(* \(#,##0.0\);_(* &quot;-&quot;??_);_(@_)"/>
    <numFmt numFmtId="176" formatCode="_(* #,##0.000_);_(* \(#,##0.000\);_(* &quot;-&quot;??_);_(@_)"/>
    <numFmt numFmtId="177" formatCode="_-[$$-409]* #,##0_ ;_-[$$-409]* \-#,##0\ ;_-[$$-409]* &quot;-&quot;??_ ;_-@_ "/>
    <numFmt numFmtId="178" formatCode="0.000%"/>
    <numFmt numFmtId="179" formatCode="_-* #,##0.0000\ [$€-407]_-;\-* #,##0.0000\ [$€-407]_-;_-* &quot;-&quot;??\ [$€-407]_-;_-@_-"/>
    <numFmt numFmtId="180" formatCode="_-[$$-409]* #,##0.00_ ;_-[$$-409]* \-#,##0.00\ ;_-[$$-409]* &quot;-&quot;??_ ;_-@_ "/>
    <numFmt numFmtId="181" formatCode="_(* #,##0.00000_);_(* \(#,##0.00000\);_(* &quot;-&quot;??_);_(@_)"/>
    <numFmt numFmtId="182" formatCode="0.0"/>
    <numFmt numFmtId="183" formatCode="_(&quot;$&quot;* #,##0.0_);_(&quot;$&quot;* \(#,##0.0\);_(&quot;$&quot;* &quot;-&quot;??_);_(@_)"/>
    <numFmt numFmtId="184" formatCode="_(&quot;$&quot;* #,##0_);_(&quot;$&quot;* \(#,##0\);_(&quot;$&quot;* &quot;-&quot;??_);_(@_)"/>
  </numFmts>
  <fonts count="4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vertAlign val="sub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F3F76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  <font>
      <b/>
      <sz val="11"/>
      <color rgb="FF000000"/>
      <name val="Verdana"/>
      <family val="2"/>
    </font>
  </fonts>
  <fills count="2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indexed="44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CBC1DC"/>
        <bgColor indexed="64"/>
      </patternFill>
    </fill>
    <fill>
      <patternFill patternType="solid">
        <fgColor rgb="FFE5DEEE"/>
        <bgColor indexed="64"/>
      </patternFill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indexed="64"/>
      </right>
      <top style="thin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rgb="FF7F7F7F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/>
      <diagonal/>
    </border>
    <border>
      <left/>
      <right/>
      <top style="thin">
        <color theme="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/>
      <top style="thin">
        <color indexed="64"/>
      </top>
      <bottom/>
      <diagonal/>
    </border>
    <border>
      <left style="thin">
        <color rgb="FF7F7F7F"/>
      </left>
      <right/>
      <top/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indexed="64"/>
      </left>
      <right/>
      <top style="thin">
        <color theme="4"/>
      </top>
      <bottom style="thin">
        <color indexed="64"/>
      </bottom>
      <diagonal/>
    </border>
    <border>
      <left/>
      <right/>
      <top style="thin">
        <color theme="4"/>
      </top>
      <bottom style="thin">
        <color indexed="64"/>
      </bottom>
      <diagonal/>
    </border>
    <border>
      <left/>
      <right style="thin">
        <color indexed="64"/>
      </right>
      <top style="thin">
        <color theme="4"/>
      </top>
      <bottom style="thin">
        <color indexed="64"/>
      </bottom>
      <diagonal/>
    </border>
    <border>
      <left/>
      <right style="medium">
        <color rgb="FF11554B"/>
      </right>
      <top style="medium">
        <color rgb="FF11554B"/>
      </top>
      <bottom/>
      <diagonal/>
    </border>
    <border>
      <left/>
      <right style="medium">
        <color rgb="FF11554B"/>
      </right>
      <top/>
      <bottom/>
      <diagonal/>
    </border>
    <border>
      <left/>
      <right/>
      <top style="medium">
        <color rgb="FF11554B"/>
      </top>
      <bottom/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rgb="FF3F3F3F"/>
      </top>
      <bottom style="thin">
        <color rgb="FF3F3F3F"/>
      </bottom>
      <diagonal/>
    </border>
    <border>
      <left style="thin">
        <color auto="1"/>
      </left>
      <right/>
      <top style="thin">
        <color rgb="FF7F7F7F"/>
      </top>
      <bottom style="thin">
        <color auto="1"/>
      </bottom>
      <diagonal/>
    </border>
    <border>
      <left style="thin">
        <color rgb="FF7F7F7F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indexed="22"/>
      </top>
      <bottom/>
      <diagonal/>
    </border>
  </borders>
  <cellStyleXfs count="2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2" borderId="3" applyNumberFormat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4" fillId="7" borderId="3" applyNumberFormat="0" applyAlignment="0" applyProtection="0"/>
    <xf numFmtId="0" fontId="3" fillId="0" borderId="0"/>
    <xf numFmtId="165" fontId="20" fillId="0" borderId="0" applyFill="0" applyBorder="0" applyAlignment="0" applyProtection="0"/>
    <xf numFmtId="9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36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37" applyNumberFormat="0" applyFill="0" applyAlignment="0" applyProtection="0"/>
    <xf numFmtId="0" fontId="1" fillId="13" borderId="0" applyNumberFormat="0" applyBorder="0" applyAlignment="0" applyProtection="0"/>
    <xf numFmtId="0" fontId="25" fillId="7" borderId="42" applyNumberFormat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8" fillId="16" borderId="0" applyNumberFormat="0" applyBorder="0" applyAlignment="0" applyProtection="0"/>
    <xf numFmtId="0" fontId="2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37" fillId="0" borderId="0"/>
    <xf numFmtId="0" fontId="41" fillId="0" borderId="0"/>
    <xf numFmtId="0" fontId="37" fillId="0" borderId="0"/>
  </cellStyleXfs>
  <cellXfs count="662">
    <xf numFmtId="0" fontId="0" fillId="0" borderId="0" xfId="0"/>
    <xf numFmtId="168" fontId="0" fillId="0" borderId="0" xfId="1" applyNumberFormat="1" applyFont="1"/>
    <xf numFmtId="0" fontId="2" fillId="0" borderId="0" xfId="0" applyFont="1"/>
    <xf numFmtId="9" fontId="4" fillId="2" borderId="3" xfId="3" applyFont="1" applyFill="1" applyBorder="1"/>
    <xf numFmtId="166" fontId="0" fillId="0" borderId="0" xfId="0" applyNumberFormat="1"/>
    <xf numFmtId="0" fontId="5" fillId="0" borderId="0" xfId="5"/>
    <xf numFmtId="10" fontId="0" fillId="0" borderId="0" xfId="3" applyNumberFormat="1" applyFont="1"/>
    <xf numFmtId="0" fontId="3" fillId="3" borderId="4" xfId="6" applyNumberFormat="1" applyFont="1" applyFill="1" applyBorder="1" applyAlignment="1"/>
    <xf numFmtId="172" fontId="3" fillId="0" borderId="4" xfId="6" applyNumberFormat="1" applyFont="1" applyFill="1" applyBorder="1" applyAlignment="1"/>
    <xf numFmtId="0" fontId="3" fillId="0" borderId="4" xfId="6" applyNumberFormat="1" applyFont="1" applyFill="1" applyBorder="1" applyAlignment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0" fillId="5" borderId="9" xfId="0" applyFill="1" applyBorder="1"/>
    <xf numFmtId="173" fontId="0" fillId="5" borderId="10" xfId="0" applyNumberFormat="1" applyFill="1" applyBorder="1"/>
    <xf numFmtId="174" fontId="0" fillId="5" borderId="10" xfId="0" applyNumberFormat="1" applyFill="1" applyBorder="1"/>
    <xf numFmtId="0" fontId="0" fillId="5" borderId="0" xfId="0" applyFill="1"/>
    <xf numFmtId="173" fontId="0" fillId="5" borderId="11" xfId="0" applyNumberFormat="1" applyFill="1" applyBorder="1"/>
    <xf numFmtId="174" fontId="0" fillId="5" borderId="0" xfId="0" applyNumberFormat="1" applyFill="1"/>
    <xf numFmtId="174" fontId="0" fillId="5" borderId="12" xfId="0" applyNumberFormat="1" applyFill="1" applyBorder="1" applyAlignment="1">
      <alignment horizontal="right"/>
    </xf>
    <xf numFmtId="0" fontId="0" fillId="5" borderId="0" xfId="0" applyFill="1" applyAlignment="1">
      <alignment horizontal="right"/>
    </xf>
    <xf numFmtId="0" fontId="0" fillId="5" borderId="12" xfId="0" applyFill="1" applyBorder="1"/>
    <xf numFmtId="0" fontId="0" fillId="6" borderId="1" xfId="0" applyFill="1" applyBorder="1"/>
    <xf numFmtId="173" fontId="0" fillId="6" borderId="11" xfId="0" applyNumberFormat="1" applyFill="1" applyBorder="1"/>
    <xf numFmtId="174" fontId="0" fillId="6" borderId="11" xfId="0" applyNumberFormat="1" applyFill="1" applyBorder="1"/>
    <xf numFmtId="0" fontId="0" fillId="6" borderId="0" xfId="0" applyFill="1"/>
    <xf numFmtId="174" fontId="0" fillId="6" borderId="11" xfId="0" applyNumberFormat="1" applyFill="1" applyBorder="1" applyAlignment="1">
      <alignment horizontal="right"/>
    </xf>
    <xf numFmtId="0" fontId="0" fillId="6" borderId="0" xfId="0" applyFill="1" applyAlignment="1">
      <alignment horizontal="right"/>
    </xf>
    <xf numFmtId="0" fontId="8" fillId="6" borderId="11" xfId="7" applyFill="1" applyBorder="1" applyAlignment="1" applyProtection="1"/>
    <xf numFmtId="0" fontId="0" fillId="5" borderId="1" xfId="0" applyFill="1" applyBorder="1"/>
    <xf numFmtId="174" fontId="0" fillId="5" borderId="11" xfId="0" applyNumberFormat="1" applyFill="1" applyBorder="1"/>
    <xf numFmtId="174" fontId="0" fillId="5" borderId="11" xfId="0" applyNumberFormat="1" applyFill="1" applyBorder="1" applyAlignment="1">
      <alignment horizontal="right"/>
    </xf>
    <xf numFmtId="0" fontId="8" fillId="5" borderId="11" xfId="7" applyFill="1" applyBorder="1" applyAlignment="1" applyProtection="1"/>
    <xf numFmtId="0" fontId="0" fillId="6" borderId="11" xfId="0" applyFill="1" applyBorder="1"/>
    <xf numFmtId="174" fontId="0" fillId="6" borderId="11" xfId="0" applyNumberFormat="1" applyFill="1" applyBorder="1" applyAlignment="1"/>
    <xf numFmtId="0" fontId="0" fillId="5" borderId="11" xfId="0" applyFill="1" applyBorder="1"/>
    <xf numFmtId="0" fontId="0" fillId="5" borderId="11" xfId="0" applyFill="1" applyBorder="1" applyAlignment="1">
      <alignment horizontal="right"/>
    </xf>
    <xf numFmtId="0" fontId="0" fillId="5" borderId="13" xfId="0" applyFill="1" applyBorder="1"/>
    <xf numFmtId="173" fontId="0" fillId="5" borderId="14" xfId="0" applyNumberFormat="1" applyFill="1" applyBorder="1"/>
    <xf numFmtId="174" fontId="0" fillId="5" borderId="14" xfId="0" applyNumberFormat="1" applyFill="1" applyBorder="1"/>
    <xf numFmtId="0" fontId="0" fillId="5" borderId="15" xfId="0" applyFill="1" applyBorder="1"/>
    <xf numFmtId="174" fontId="0" fillId="5" borderId="14" xfId="0" applyNumberFormat="1" applyFill="1" applyBorder="1" applyAlignment="1">
      <alignment horizontal="right"/>
    </xf>
    <xf numFmtId="0" fontId="0" fillId="5" borderId="15" xfId="0" applyFill="1" applyBorder="1" applyAlignment="1">
      <alignment horizontal="right"/>
    </xf>
    <xf numFmtId="0" fontId="8" fillId="5" borderId="14" xfId="7" applyFill="1" applyBorder="1" applyAlignment="1" applyProtection="1"/>
    <xf numFmtId="0" fontId="10" fillId="0" borderId="2" xfId="0" applyFont="1" applyBorder="1"/>
    <xf numFmtId="0" fontId="10" fillId="0" borderId="0" xfId="0" applyFont="1"/>
    <xf numFmtId="174" fontId="0" fillId="0" borderId="0" xfId="0" applyNumberFormat="1"/>
    <xf numFmtId="0" fontId="11" fillId="0" borderId="0" xfId="7" applyFont="1" applyAlignment="1" applyProtection="1"/>
    <xf numFmtId="0" fontId="12" fillId="0" borderId="0" xfId="0" applyFont="1"/>
    <xf numFmtId="0" fontId="13" fillId="0" borderId="0" xfId="0" applyFont="1"/>
    <xf numFmtId="170" fontId="12" fillId="0" borderId="0" xfId="3" applyNumberFormat="1" applyFont="1"/>
    <xf numFmtId="171" fontId="12" fillId="0" borderId="0" xfId="0" applyNumberFormat="1" applyFont="1"/>
    <xf numFmtId="0" fontId="15" fillId="0" borderId="0" xfId="0" applyFont="1"/>
    <xf numFmtId="0" fontId="16" fillId="0" borderId="0" xfId="0" applyFont="1"/>
    <xf numFmtId="0" fontId="16" fillId="0" borderId="17" xfId="0" applyFont="1" applyBorder="1"/>
    <xf numFmtId="0" fontId="16" fillId="0" borderId="18" xfId="0" applyFont="1" applyBorder="1"/>
    <xf numFmtId="0" fontId="16" fillId="0" borderId="0" xfId="0" applyFont="1" applyBorder="1"/>
    <xf numFmtId="0" fontId="16" fillId="0" borderId="1" xfId="0" applyFont="1" applyBorder="1"/>
    <xf numFmtId="0" fontId="18" fillId="0" borderId="0" xfId="0" applyFont="1" applyBorder="1"/>
    <xf numFmtId="166" fontId="16" fillId="0" borderId="0" xfId="0" applyNumberFormat="1" applyFont="1" applyBorder="1"/>
    <xf numFmtId="166" fontId="16" fillId="0" borderId="1" xfId="0" applyNumberFormat="1" applyFont="1" applyBorder="1"/>
    <xf numFmtId="0" fontId="16" fillId="0" borderId="21" xfId="0" applyFont="1" applyBorder="1"/>
    <xf numFmtId="0" fontId="16" fillId="0" borderId="2" xfId="0" applyFont="1" applyBorder="1"/>
    <xf numFmtId="0" fontId="16" fillId="0" borderId="20" xfId="0" applyFont="1" applyBorder="1"/>
    <xf numFmtId="0" fontId="16" fillId="0" borderId="22" xfId="0" applyFont="1" applyBorder="1"/>
    <xf numFmtId="0" fontId="18" fillId="0" borderId="2" xfId="0" applyFont="1" applyBorder="1"/>
    <xf numFmtId="0" fontId="15" fillId="0" borderId="18" xfId="0" applyFont="1" applyBorder="1"/>
    <xf numFmtId="0" fontId="15" fillId="0" borderId="19" xfId="0" applyFont="1" applyBorder="1"/>
    <xf numFmtId="3" fontId="16" fillId="0" borderId="0" xfId="0" applyNumberFormat="1" applyFont="1" applyBorder="1"/>
    <xf numFmtId="167" fontId="16" fillId="0" borderId="2" xfId="0" applyNumberFormat="1" applyFont="1" applyBorder="1"/>
    <xf numFmtId="168" fontId="18" fillId="0" borderId="20" xfId="1" applyNumberFormat="1" applyFont="1" applyBorder="1"/>
    <xf numFmtId="169" fontId="18" fillId="0" borderId="21" xfId="2" applyNumberFormat="1" applyFont="1" applyBorder="1"/>
    <xf numFmtId="170" fontId="16" fillId="0" borderId="0" xfId="0" applyNumberFormat="1" applyFont="1"/>
    <xf numFmtId="10" fontId="16" fillId="0" borderId="0" xfId="0" applyNumberFormat="1" applyFont="1"/>
    <xf numFmtId="0" fontId="19" fillId="0" borderId="0" xfId="0" applyFont="1" applyBorder="1" applyAlignment="1">
      <alignment horizontal="left" vertical="center" wrapText="1"/>
    </xf>
    <xf numFmtId="9" fontId="19" fillId="0" borderId="0" xfId="0" applyNumberFormat="1" applyFont="1" applyBorder="1" applyAlignment="1">
      <alignment horizontal="left" vertical="center" wrapText="1"/>
    </xf>
    <xf numFmtId="10" fontId="19" fillId="0" borderId="0" xfId="0" applyNumberFormat="1" applyFont="1" applyBorder="1" applyAlignment="1">
      <alignment horizontal="left" vertical="center" wrapText="1"/>
    </xf>
    <xf numFmtId="0" fontId="19" fillId="0" borderId="18" xfId="0" applyFont="1" applyBorder="1" applyAlignment="1">
      <alignment horizontal="left" vertical="center"/>
    </xf>
    <xf numFmtId="0" fontId="19" fillId="0" borderId="19" xfId="0" applyFont="1" applyBorder="1" applyAlignment="1">
      <alignment horizontal="left" vertical="center"/>
    </xf>
    <xf numFmtId="0" fontId="19" fillId="0" borderId="1" xfId="0" applyFont="1" applyBorder="1" applyAlignment="1">
      <alignment horizontal="left" vertical="center" wrapText="1"/>
    </xf>
    <xf numFmtId="9" fontId="19" fillId="0" borderId="1" xfId="0" applyNumberFormat="1" applyFont="1" applyBorder="1" applyAlignment="1">
      <alignment horizontal="left" vertical="center" wrapText="1"/>
    </xf>
    <xf numFmtId="178" fontId="16" fillId="0" borderId="0" xfId="3" applyNumberFormat="1" applyFont="1" applyBorder="1"/>
    <xf numFmtId="178" fontId="16" fillId="0" borderId="1" xfId="3" applyNumberFormat="1" applyFont="1" applyBorder="1"/>
    <xf numFmtId="178" fontId="16" fillId="0" borderId="21" xfId="3" applyNumberFormat="1" applyFont="1" applyBorder="1"/>
    <xf numFmtId="178" fontId="16" fillId="0" borderId="22" xfId="3" applyNumberFormat="1" applyFont="1" applyBorder="1"/>
    <xf numFmtId="0" fontId="2" fillId="0" borderId="17" xfId="0" applyFont="1" applyBorder="1"/>
    <xf numFmtId="0" fontId="2" fillId="0" borderId="0" xfId="0" applyFont="1" applyBorder="1"/>
    <xf numFmtId="166" fontId="16" fillId="0" borderId="0" xfId="0" applyNumberFormat="1" applyFont="1"/>
    <xf numFmtId="166" fontId="17" fillId="2" borderId="3" xfId="4" applyNumberFormat="1" applyFont="1"/>
    <xf numFmtId="167" fontId="15" fillId="0" borderId="0" xfId="0" applyNumberFormat="1" applyFont="1"/>
    <xf numFmtId="9" fontId="17" fillId="2" borderId="3" xfId="4" applyNumberFormat="1" applyFont="1"/>
    <xf numFmtId="164" fontId="16" fillId="0" borderId="0" xfId="0" applyNumberFormat="1" applyFont="1"/>
    <xf numFmtId="0" fontId="0" fillId="0" borderId="0" xfId="0" applyAlignment="1">
      <alignment vertical="center"/>
    </xf>
    <xf numFmtId="166" fontId="1" fillId="13" borderId="0" xfId="16" applyNumberFormat="1"/>
    <xf numFmtId="0" fontId="2" fillId="13" borderId="37" xfId="15" applyFill="1"/>
    <xf numFmtId="166" fontId="2" fillId="13" borderId="37" xfId="15" applyNumberFormat="1" applyFill="1"/>
    <xf numFmtId="0" fontId="22" fillId="13" borderId="0" xfId="14" applyFill="1"/>
    <xf numFmtId="166" fontId="22" fillId="13" borderId="0" xfId="14" applyNumberFormat="1" applyFill="1"/>
    <xf numFmtId="0" fontId="22" fillId="13" borderId="36" xfId="13" applyFill="1"/>
    <xf numFmtId="166" fontId="22" fillId="13" borderId="36" xfId="13" applyNumberFormat="1" applyFill="1"/>
    <xf numFmtId="168" fontId="22" fillId="13" borderId="0" xfId="14" applyNumberFormat="1" applyFill="1"/>
    <xf numFmtId="0" fontId="22" fillId="13" borderId="36" xfId="13" applyFill="1" applyAlignment="1">
      <alignment horizontal="center"/>
    </xf>
    <xf numFmtId="0" fontId="1" fillId="13" borderId="17" xfId="16" applyBorder="1"/>
    <xf numFmtId="0" fontId="1" fillId="13" borderId="12" xfId="16" applyBorder="1"/>
    <xf numFmtId="166" fontId="1" fillId="13" borderId="12" xfId="16" applyNumberFormat="1" applyBorder="1"/>
    <xf numFmtId="0" fontId="1" fillId="13" borderId="2" xfId="16" applyBorder="1"/>
    <xf numFmtId="0" fontId="1" fillId="13" borderId="11" xfId="16" applyBorder="1"/>
    <xf numFmtId="166" fontId="1" fillId="13" borderId="11" xfId="16" applyNumberFormat="1" applyBorder="1"/>
    <xf numFmtId="0" fontId="1" fillId="13" borderId="20" xfId="16" applyBorder="1"/>
    <xf numFmtId="0" fontId="1" fillId="13" borderId="23" xfId="16" applyBorder="1"/>
    <xf numFmtId="166" fontId="1" fillId="13" borderId="23" xfId="16" applyNumberFormat="1" applyBorder="1"/>
    <xf numFmtId="0" fontId="21" fillId="0" borderId="0" xfId="12"/>
    <xf numFmtId="166" fontId="22" fillId="13" borderId="0" xfId="13" applyNumberFormat="1" applyFill="1" applyBorder="1"/>
    <xf numFmtId="167" fontId="1" fillId="13" borderId="11" xfId="16" applyNumberFormat="1" applyBorder="1"/>
    <xf numFmtId="166" fontId="23" fillId="13" borderId="0" xfId="16" applyNumberFormat="1" applyFont="1"/>
    <xf numFmtId="0" fontId="23" fillId="13" borderId="0" xfId="16" applyFont="1"/>
    <xf numFmtId="170" fontId="23" fillId="13" borderId="0" xfId="16" applyNumberFormat="1" applyFont="1"/>
    <xf numFmtId="166" fontId="1" fillId="13" borderId="19" xfId="16" applyNumberFormat="1" applyBorder="1"/>
    <xf numFmtId="166" fontId="1" fillId="13" borderId="1" xfId="16" applyNumberFormat="1" applyBorder="1"/>
    <xf numFmtId="43" fontId="22" fillId="13" borderId="0" xfId="1" applyFont="1" applyFill="1"/>
    <xf numFmtId="0" fontId="2" fillId="13" borderId="41" xfId="15" applyFill="1" applyBorder="1"/>
    <xf numFmtId="166" fontId="2" fillId="13" borderId="41" xfId="15" applyNumberFormat="1" applyFill="1" applyBorder="1"/>
    <xf numFmtId="0" fontId="24" fillId="0" borderId="0" xfId="12" applyFont="1" applyBorder="1" applyAlignment="1"/>
    <xf numFmtId="0" fontId="1" fillId="0" borderId="0" xfId="0" applyFont="1"/>
    <xf numFmtId="166" fontId="22" fillId="13" borderId="0" xfId="13" applyNumberFormat="1" applyFont="1" applyFill="1" applyBorder="1"/>
    <xf numFmtId="0" fontId="1" fillId="13" borderId="12" xfId="16" applyFont="1" applyBorder="1"/>
    <xf numFmtId="166" fontId="1" fillId="13" borderId="18" xfId="16" applyNumberFormat="1" applyFont="1" applyBorder="1"/>
    <xf numFmtId="0" fontId="4" fillId="2" borderId="38" xfId="4" applyFont="1" applyBorder="1" applyAlignment="1">
      <alignment horizontal="center" vertical="center" textRotation="255"/>
    </xf>
    <xf numFmtId="0" fontId="4" fillId="2" borderId="3" xfId="4" applyFont="1"/>
    <xf numFmtId="0" fontId="1" fillId="13" borderId="11" xfId="16" applyFont="1" applyBorder="1"/>
    <xf numFmtId="166" fontId="1" fillId="13" borderId="11" xfId="16" applyNumberFormat="1" applyFont="1" applyBorder="1"/>
    <xf numFmtId="166" fontId="1" fillId="13" borderId="0" xfId="16" applyNumberFormat="1" applyFont="1" applyBorder="1"/>
    <xf numFmtId="0" fontId="4" fillId="2" borderId="26" xfId="4" applyFont="1" applyBorder="1" applyAlignment="1">
      <alignment horizontal="center" vertical="center" textRotation="255"/>
    </xf>
    <xf numFmtId="168" fontId="4" fillId="2" borderId="3" xfId="1" applyNumberFormat="1" applyFont="1" applyFill="1" applyBorder="1"/>
    <xf numFmtId="167" fontId="1" fillId="13" borderId="11" xfId="16" applyNumberFormat="1" applyFont="1" applyBorder="1"/>
    <xf numFmtId="0" fontId="4" fillId="2" borderId="40" xfId="4" applyFont="1" applyBorder="1" applyAlignment="1">
      <alignment horizontal="center" vertical="center" textRotation="255"/>
    </xf>
    <xf numFmtId="0" fontId="1" fillId="13" borderId="23" xfId="16" applyFont="1" applyBorder="1"/>
    <xf numFmtId="166" fontId="1" fillId="13" borderId="23" xfId="16" applyNumberFormat="1" applyFont="1" applyBorder="1"/>
    <xf numFmtId="0" fontId="4" fillId="2" borderId="39" xfId="4" applyFont="1" applyBorder="1" applyAlignment="1">
      <alignment horizontal="center" vertical="center" textRotation="255"/>
    </xf>
    <xf numFmtId="0" fontId="24" fillId="0" borderId="0" xfId="12" applyFont="1"/>
    <xf numFmtId="0" fontId="0" fillId="0" borderId="0" xfId="0" applyFont="1"/>
    <xf numFmtId="0" fontId="0" fillId="0" borderId="21" xfId="0" applyFont="1" applyBorder="1"/>
    <xf numFmtId="0" fontId="0" fillId="0" borderId="0" xfId="0" applyFont="1" applyBorder="1"/>
    <xf numFmtId="0" fontId="0" fillId="0" borderId="18" xfId="0" applyFont="1" applyBorder="1"/>
    <xf numFmtId="43" fontId="0" fillId="0" borderId="19" xfId="1" applyFont="1" applyBorder="1"/>
    <xf numFmtId="0" fontId="4" fillId="2" borderId="3" xfId="4" applyAlignment="1">
      <alignment horizontal="center" vertical="center"/>
    </xf>
    <xf numFmtId="43" fontId="25" fillId="7" borderId="42" xfId="17" applyNumberFormat="1"/>
    <xf numFmtId="168" fontId="2" fillId="0" borderId="11" xfId="0" applyNumberFormat="1" applyFont="1" applyBorder="1" applyAlignment="1"/>
    <xf numFmtId="168" fontId="2" fillId="0" borderId="1" xfId="0" applyNumberFormat="1" applyFont="1" applyBorder="1" applyAlignment="1"/>
    <xf numFmtId="175" fontId="2" fillId="0" borderId="23" xfId="1" applyNumberFormat="1" applyFont="1" applyBorder="1" applyAlignment="1"/>
    <xf numFmtId="0" fontId="0" fillId="0" borderId="0" xfId="0" applyFont="1" applyAlignment="1"/>
    <xf numFmtId="0" fontId="28" fillId="16" borderId="18" xfId="20" applyBorder="1"/>
    <xf numFmtId="0" fontId="28" fillId="16" borderId="21" xfId="20" applyBorder="1"/>
    <xf numFmtId="0" fontId="1" fillId="15" borderId="18" xfId="19" applyBorder="1"/>
    <xf numFmtId="0" fontId="1" fillId="15" borderId="0" xfId="19" applyBorder="1"/>
    <xf numFmtId="0" fontId="1" fillId="14" borderId="18" xfId="18" applyBorder="1"/>
    <xf numFmtId="0" fontId="1" fillId="14" borderId="0" xfId="18" applyBorder="1"/>
    <xf numFmtId="175" fontId="0" fillId="0" borderId="1" xfId="1" applyNumberFormat="1" applyFont="1" applyBorder="1" applyAlignment="1"/>
    <xf numFmtId="175" fontId="0" fillId="0" borderId="11" xfId="1" applyNumberFormat="1" applyFont="1" applyBorder="1" applyAlignment="1"/>
    <xf numFmtId="175" fontId="1" fillId="0" borderId="11" xfId="1" applyNumberFormat="1" applyFont="1" applyBorder="1" applyAlignment="1"/>
    <xf numFmtId="175" fontId="1" fillId="0" borderId="1" xfId="1" applyNumberFormat="1" applyFont="1" applyBorder="1" applyAlignment="1"/>
    <xf numFmtId="175" fontId="0" fillId="0" borderId="12" xfId="1" applyNumberFormat="1" applyFont="1" applyBorder="1" applyAlignment="1"/>
    <xf numFmtId="175" fontId="0" fillId="0" borderId="19" xfId="1" applyNumberFormat="1" applyFont="1" applyBorder="1" applyAlignment="1"/>
    <xf numFmtId="175" fontId="29" fillId="0" borderId="11" xfId="1" applyNumberFormat="1" applyFont="1" applyBorder="1" applyAlignment="1"/>
    <xf numFmtId="175" fontId="29" fillId="0" borderId="1" xfId="1" applyNumberFormat="1" applyFont="1" applyBorder="1" applyAlignment="1"/>
    <xf numFmtId="175" fontId="30" fillId="0" borderId="23" xfId="1" applyNumberFormat="1" applyFont="1" applyBorder="1" applyAlignment="1"/>
    <xf numFmtId="175" fontId="30" fillId="0" borderId="22" xfId="1" applyNumberFormat="1" applyFont="1" applyBorder="1" applyAlignment="1"/>
    <xf numFmtId="175" fontId="2" fillId="0" borderId="11" xfId="1" applyNumberFormat="1" applyFont="1" applyBorder="1" applyAlignment="1"/>
    <xf numFmtId="175" fontId="2" fillId="0" borderId="1" xfId="1" applyNumberFormat="1" applyFont="1" applyBorder="1" applyAlignment="1"/>
    <xf numFmtId="9" fontId="0" fillId="0" borderId="0" xfId="3" applyFont="1"/>
    <xf numFmtId="0" fontId="27" fillId="12" borderId="0" xfId="21" applyFont="1" applyFill="1" applyBorder="1" applyAlignment="1"/>
    <xf numFmtId="0" fontId="4" fillId="2" borderId="0" xfId="4" applyFont="1" applyBorder="1" applyAlignment="1">
      <alignment horizontal="center" vertical="center" wrapText="1"/>
    </xf>
    <xf numFmtId="0" fontId="28" fillId="12" borderId="0" xfId="21" applyFont="1" applyFill="1" applyBorder="1" applyAlignment="1"/>
    <xf numFmtId="0" fontId="4" fillId="2" borderId="17" xfId="4" applyFont="1" applyBorder="1" applyAlignment="1">
      <alignment horizontal="center" vertical="center" wrapText="1"/>
    </xf>
    <xf numFmtId="0" fontId="28" fillId="12" borderId="18" xfId="21" applyFont="1" applyFill="1" applyBorder="1" applyAlignment="1"/>
    <xf numFmtId="175" fontId="1" fillId="0" borderId="19" xfId="1" applyNumberFormat="1" applyFont="1" applyBorder="1" applyAlignment="1"/>
    <xf numFmtId="0" fontId="4" fillId="2" borderId="2" xfId="4" applyFont="1" applyBorder="1" applyAlignment="1">
      <alignment horizontal="center" vertical="center" wrapText="1"/>
    </xf>
    <xf numFmtId="0" fontId="4" fillId="2" borderId="20" xfId="4" applyFont="1" applyBorder="1" applyAlignment="1">
      <alignment horizontal="center" vertical="center" wrapText="1"/>
    </xf>
    <xf numFmtId="0" fontId="27" fillId="12" borderId="21" xfId="21" applyFont="1" applyFill="1" applyBorder="1" applyAlignment="1"/>
    <xf numFmtId="175" fontId="1" fillId="0" borderId="12" xfId="1" applyNumberFormat="1" applyFont="1" applyBorder="1" applyAlignment="1"/>
    <xf numFmtId="170" fontId="2" fillId="0" borderId="16" xfId="3" applyNumberFormat="1" applyFont="1" applyBorder="1"/>
    <xf numFmtId="170" fontId="2" fillId="0" borderId="25" xfId="3" applyNumberFormat="1" applyFont="1" applyBorder="1"/>
    <xf numFmtId="0" fontId="28" fillId="12" borderId="23" xfId="21" applyFont="1" applyFill="1" applyBorder="1" applyAlignment="1">
      <alignment vertical="center" wrapText="1"/>
    </xf>
    <xf numFmtId="0" fontId="28" fillId="12" borderId="12" xfId="21" applyFont="1" applyFill="1" applyBorder="1" applyAlignment="1"/>
    <xf numFmtId="0" fontId="28" fillId="12" borderId="11" xfId="21" applyFont="1" applyFill="1" applyBorder="1" applyAlignment="1"/>
    <xf numFmtId="0" fontId="27" fillId="12" borderId="23" xfId="21" applyFont="1" applyFill="1" applyBorder="1" applyAlignment="1"/>
    <xf numFmtId="9" fontId="0" fillId="0" borderId="18" xfId="3" applyFont="1" applyBorder="1"/>
    <xf numFmtId="168" fontId="0" fillId="0" borderId="18" xfId="1" applyNumberFormat="1" applyFont="1" applyBorder="1"/>
    <xf numFmtId="168" fontId="0" fillId="0" borderId="19" xfId="0" applyNumberFormat="1" applyFont="1" applyBorder="1"/>
    <xf numFmtId="9" fontId="4" fillId="2" borderId="3" xfId="4" applyNumberFormat="1" applyFont="1"/>
    <xf numFmtId="168" fontId="0" fillId="0" borderId="0" xfId="1" applyNumberFormat="1" applyFont="1" applyBorder="1"/>
    <xf numFmtId="168" fontId="0" fillId="0" borderId="1" xfId="0" applyNumberFormat="1" applyFont="1" applyBorder="1"/>
    <xf numFmtId="166" fontId="0" fillId="0" borderId="0" xfId="0" applyNumberFormat="1" applyFont="1"/>
    <xf numFmtId="166" fontId="0" fillId="0" borderId="0" xfId="3" applyNumberFormat="1" applyFont="1"/>
    <xf numFmtId="9" fontId="0" fillId="0" borderId="0" xfId="0" applyNumberFormat="1" applyFont="1"/>
    <xf numFmtId="9" fontId="25" fillId="7" borderId="42" xfId="17" applyNumberFormat="1"/>
    <xf numFmtId="0" fontId="0" fillId="0" borderId="0" xfId="0" applyFont="1" applyFill="1" applyBorder="1"/>
    <xf numFmtId="0" fontId="0" fillId="0" borderId="19" xfId="0" applyFont="1" applyBorder="1"/>
    <xf numFmtId="0" fontId="0" fillId="0" borderId="2" xfId="0" applyFont="1" applyBorder="1"/>
    <xf numFmtId="0" fontId="0" fillId="0" borderId="1" xfId="0" applyFont="1" applyBorder="1"/>
    <xf numFmtId="0" fontId="0" fillId="0" borderId="22" xfId="0" applyFont="1" applyBorder="1"/>
    <xf numFmtId="0" fontId="0" fillId="0" borderId="20" xfId="0" applyFont="1" applyBorder="1"/>
    <xf numFmtId="168" fontId="0" fillId="0" borderId="22" xfId="0" applyNumberFormat="1" applyFont="1" applyBorder="1"/>
    <xf numFmtId="0" fontId="0" fillId="0" borderId="17" xfId="0" applyFont="1" applyBorder="1"/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/>
    <xf numFmtId="0" fontId="2" fillId="0" borderId="16" xfId="0" applyFont="1" applyBorder="1"/>
    <xf numFmtId="0" fontId="31" fillId="0" borderId="18" xfId="0" applyFont="1" applyBorder="1" applyAlignment="1">
      <alignment horizontal="left" vertical="center"/>
    </xf>
    <xf numFmtId="0" fontId="31" fillId="0" borderId="0" xfId="0" applyFont="1" applyBorder="1" applyAlignment="1">
      <alignment horizontal="left" vertical="center"/>
    </xf>
    <xf numFmtId="0" fontId="0" fillId="0" borderId="11" xfId="0" applyFont="1" applyBorder="1"/>
    <xf numFmtId="0" fontId="4" fillId="2" borderId="28" xfId="4" applyFont="1" applyBorder="1"/>
    <xf numFmtId="0" fontId="0" fillId="0" borderId="12" xfId="0" applyFont="1" applyBorder="1"/>
    <xf numFmtId="10" fontId="4" fillId="2" borderId="3" xfId="4" applyNumberFormat="1" applyFont="1" applyAlignment="1">
      <alignment horizontal="right" vertical="center" wrapText="1"/>
    </xf>
    <xf numFmtId="165" fontId="14" fillId="7" borderId="3" xfId="8" applyNumberFormat="1" applyFont="1"/>
    <xf numFmtId="9" fontId="14" fillId="7" borderId="3" xfId="3" applyFont="1" applyFill="1" applyBorder="1"/>
    <xf numFmtId="165" fontId="14" fillId="7" borderId="32" xfId="8" applyNumberFormat="1" applyFont="1" applyBorder="1"/>
    <xf numFmtId="179" fontId="0" fillId="0" borderId="0" xfId="0" applyNumberFormat="1" applyFont="1" applyBorder="1"/>
    <xf numFmtId="10" fontId="14" fillId="7" borderId="3" xfId="8" applyNumberFormat="1" applyFont="1" applyAlignment="1">
      <alignment horizontal="right" vertical="center" wrapText="1"/>
    </xf>
    <xf numFmtId="165" fontId="14" fillId="7" borderId="29" xfId="8" applyNumberFormat="1" applyFont="1" applyBorder="1"/>
    <xf numFmtId="180" fontId="14" fillId="7" borderId="3" xfId="8" applyNumberFormat="1" applyFont="1" applyBorder="1"/>
    <xf numFmtId="171" fontId="14" fillId="7" borderId="3" xfId="8" applyNumberFormat="1" applyFont="1" applyBorder="1"/>
    <xf numFmtId="171" fontId="26" fillId="7" borderId="3" xfId="8" applyNumberFormat="1" applyFont="1" applyBorder="1"/>
    <xf numFmtId="43" fontId="14" fillId="7" borderId="3" xfId="8" applyNumberFormat="1" applyFont="1" applyBorder="1"/>
    <xf numFmtId="43" fontId="14" fillId="7" borderId="3" xfId="1" applyFont="1" applyFill="1" applyBorder="1"/>
    <xf numFmtId="0" fontId="32" fillId="0" borderId="11" xfId="0" applyFont="1" applyBorder="1"/>
    <xf numFmtId="9" fontId="33" fillId="7" borderId="3" xfId="3" applyFont="1" applyFill="1" applyBorder="1"/>
    <xf numFmtId="43" fontId="33" fillId="7" borderId="3" xfId="1" applyFont="1" applyFill="1" applyBorder="1"/>
    <xf numFmtId="10" fontId="33" fillId="7" borderId="3" xfId="8" applyNumberFormat="1" applyFont="1" applyAlignment="1">
      <alignment horizontal="right" vertical="center" wrapText="1"/>
    </xf>
    <xf numFmtId="165" fontId="33" fillId="7" borderId="3" xfId="8" applyNumberFormat="1" applyFont="1"/>
    <xf numFmtId="165" fontId="33" fillId="7" borderId="29" xfId="8" applyNumberFormat="1" applyFont="1" applyBorder="1"/>
    <xf numFmtId="0" fontId="32" fillId="0" borderId="23" xfId="0" applyFont="1" applyBorder="1"/>
    <xf numFmtId="165" fontId="33" fillId="7" borderId="31" xfId="8" applyNumberFormat="1" applyFont="1" applyBorder="1"/>
    <xf numFmtId="10" fontId="14" fillId="7" borderId="34" xfId="3" applyNumberFormat="1" applyFont="1" applyFill="1" applyBorder="1"/>
    <xf numFmtId="165" fontId="14" fillId="7" borderId="31" xfId="8" applyNumberFormat="1" applyFont="1" applyBorder="1"/>
    <xf numFmtId="0" fontId="2" fillId="0" borderId="2" xfId="0" applyFont="1" applyBorder="1"/>
    <xf numFmtId="0" fontId="0" fillId="0" borderId="18" xfId="0" applyFont="1" applyFill="1" applyBorder="1"/>
    <xf numFmtId="180" fontId="0" fillId="0" borderId="0" xfId="0" applyNumberFormat="1" applyFont="1"/>
    <xf numFmtId="171" fontId="4" fillId="2" borderId="3" xfId="4" applyNumberFormat="1" applyFont="1" applyBorder="1"/>
    <xf numFmtId="180" fontId="4" fillId="2" borderId="3" xfId="4" applyNumberFormat="1" applyFont="1" applyBorder="1"/>
    <xf numFmtId="0" fontId="4" fillId="2" borderId="29" xfId="4" applyFont="1" applyBorder="1"/>
    <xf numFmtId="9" fontId="4" fillId="2" borderId="29" xfId="4" applyNumberFormat="1" applyFont="1" applyBorder="1"/>
    <xf numFmtId="0" fontId="4" fillId="2" borderId="30" xfId="4" applyFont="1" applyBorder="1"/>
    <xf numFmtId="180" fontId="4" fillId="2" borderId="30" xfId="4" applyNumberFormat="1" applyFont="1" applyBorder="1"/>
    <xf numFmtId="0" fontId="4" fillId="2" borderId="31" xfId="4" applyFont="1" applyBorder="1"/>
    <xf numFmtId="43" fontId="14" fillId="7" borderId="3" xfId="1" applyFont="1" applyFill="1" applyBorder="1" applyAlignment="1">
      <alignment horizontal="right" vertical="center" wrapText="1"/>
    </xf>
    <xf numFmtId="0" fontId="0" fillId="13" borderId="17" xfId="16" applyFont="1" applyBorder="1"/>
    <xf numFmtId="0" fontId="0" fillId="13" borderId="2" xfId="16" applyFont="1" applyBorder="1"/>
    <xf numFmtId="0" fontId="0" fillId="13" borderId="20" xfId="16" applyFont="1" applyBorder="1"/>
    <xf numFmtId="0" fontId="28" fillId="12" borderId="11" xfId="21" applyFont="1" applyFill="1" applyBorder="1" applyAlignment="1">
      <alignment horizontal="center" vertical="center" wrapText="1"/>
    </xf>
    <xf numFmtId="0" fontId="28" fillId="12" borderId="23" xfId="21" applyFont="1" applyFill="1" applyBorder="1" applyAlignment="1">
      <alignment horizontal="center" vertical="center" wrapText="1"/>
    </xf>
    <xf numFmtId="9" fontId="0" fillId="0" borderId="0" xfId="3" applyNumberFormat="1" applyFont="1"/>
    <xf numFmtId="0" fontId="2" fillId="0" borderId="18" xfId="0" applyFont="1" applyBorder="1"/>
    <xf numFmtId="0" fontId="0" fillId="0" borderId="11" xfId="0" applyFont="1" applyBorder="1" applyAlignment="1"/>
    <xf numFmtId="166" fontId="2" fillId="0" borderId="1" xfId="1" applyNumberFormat="1" applyFont="1" applyBorder="1" applyAlignment="1"/>
    <xf numFmtId="0" fontId="10" fillId="0" borderId="20" xfId="0" applyFont="1" applyBorder="1" applyAlignment="1"/>
    <xf numFmtId="0" fontId="0" fillId="0" borderId="23" xfId="0" applyFont="1" applyBorder="1" applyAlignment="1"/>
    <xf numFmtId="0" fontId="0" fillId="0" borderId="18" xfId="0" applyFont="1" applyBorder="1" applyAlignment="1"/>
    <xf numFmtId="43" fontId="0" fillId="0" borderId="12" xfId="1" applyNumberFormat="1" applyFont="1" applyBorder="1" applyAlignment="1"/>
    <xf numFmtId="43" fontId="0" fillId="0" borderId="19" xfId="0" applyNumberFormat="1" applyFont="1" applyBorder="1" applyAlignment="1"/>
    <xf numFmtId="0" fontId="0" fillId="0" borderId="0" xfId="0" applyFont="1" applyBorder="1" applyAlignment="1"/>
    <xf numFmtId="43" fontId="0" fillId="0" borderId="11" xfId="0" applyNumberFormat="1" applyFont="1" applyBorder="1" applyAlignment="1"/>
    <xf numFmtId="0" fontId="0" fillId="0" borderId="21" xfId="0" applyFont="1" applyBorder="1" applyAlignment="1"/>
    <xf numFmtId="43" fontId="0" fillId="0" borderId="23" xfId="0" applyNumberFormat="1" applyFont="1" applyBorder="1" applyAlignment="1"/>
    <xf numFmtId="0" fontId="2" fillId="0" borderId="18" xfId="0" applyFont="1" applyBorder="1" applyAlignment="1"/>
    <xf numFmtId="43" fontId="2" fillId="0" borderId="12" xfId="1" applyFont="1" applyBorder="1" applyAlignment="1"/>
    <xf numFmtId="0" fontId="2" fillId="0" borderId="19" xfId="0" applyFont="1" applyBorder="1" applyAlignment="1"/>
    <xf numFmtId="0" fontId="2" fillId="0" borderId="21" xfId="0" applyFont="1" applyBorder="1" applyAlignment="1"/>
    <xf numFmtId="0" fontId="2" fillId="0" borderId="23" xfId="0" applyFont="1" applyBorder="1" applyAlignment="1"/>
    <xf numFmtId="43" fontId="2" fillId="0" borderId="22" xfId="1" applyFont="1" applyBorder="1" applyAlignment="1"/>
    <xf numFmtId="167" fontId="14" fillId="7" borderId="3" xfId="8" applyNumberFormat="1" applyFont="1"/>
    <xf numFmtId="167" fontId="14" fillId="7" borderId="28" xfId="8" applyNumberFormat="1" applyFont="1" applyBorder="1"/>
    <xf numFmtId="167" fontId="27" fillId="10" borderId="35" xfId="8" applyNumberFormat="1" applyFont="1" applyFill="1" applyBorder="1"/>
    <xf numFmtId="43" fontId="14" fillId="7" borderId="3" xfId="8" applyNumberFormat="1" applyFont="1"/>
    <xf numFmtId="0" fontId="0" fillId="0" borderId="16" xfId="0" applyFont="1" applyBorder="1"/>
    <xf numFmtId="0" fontId="29" fillId="0" borderId="0" xfId="0" applyFont="1" applyBorder="1"/>
    <xf numFmtId="0" fontId="2" fillId="0" borderId="0" xfId="0" applyFont="1" applyFill="1" applyBorder="1"/>
    <xf numFmtId="0" fontId="29" fillId="0" borderId="0" xfId="0" applyFont="1" applyFill="1" applyBorder="1"/>
    <xf numFmtId="0" fontId="29" fillId="0" borderId="21" xfId="0" applyFont="1" applyBorder="1"/>
    <xf numFmtId="0" fontId="32" fillId="0" borderId="0" xfId="0" applyFont="1" applyBorder="1"/>
    <xf numFmtId="167" fontId="12" fillId="2" borderId="3" xfId="3" applyNumberFormat="1" applyFont="1" applyFill="1" applyBorder="1"/>
    <xf numFmtId="3" fontId="4" fillId="2" borderId="3" xfId="4" applyNumberFormat="1" applyFont="1"/>
    <xf numFmtId="43" fontId="0" fillId="0" borderId="0" xfId="0" applyNumberFormat="1" applyFont="1"/>
    <xf numFmtId="43" fontId="14" fillId="7" borderId="0" xfId="8" applyNumberFormat="1" applyFont="1" applyBorder="1"/>
    <xf numFmtId="0" fontId="14" fillId="7" borderId="3" xfId="8" applyFont="1"/>
    <xf numFmtId="10" fontId="4" fillId="2" borderId="3" xfId="3" applyNumberFormat="1" applyFont="1" applyFill="1" applyBorder="1"/>
    <xf numFmtId="9" fontId="0" fillId="0" borderId="0" xfId="0" applyNumberFormat="1" applyFont="1" applyBorder="1"/>
    <xf numFmtId="9" fontId="0" fillId="0" borderId="1" xfId="0" applyNumberFormat="1" applyFont="1" applyBorder="1"/>
    <xf numFmtId="0" fontId="29" fillId="0" borderId="2" xfId="0" applyFont="1" applyBorder="1"/>
    <xf numFmtId="168" fontId="0" fillId="0" borderId="1" xfId="1" applyNumberFormat="1" applyFont="1" applyBorder="1"/>
    <xf numFmtId="166" fontId="12" fillId="2" borderId="29" xfId="4" applyNumberFormat="1" applyFont="1" applyBorder="1"/>
    <xf numFmtId="9" fontId="0" fillId="0" borderId="21" xfId="0" applyNumberFormat="1" applyFont="1" applyBorder="1"/>
    <xf numFmtId="9" fontId="0" fillId="0" borderId="22" xfId="0" applyNumberFormat="1" applyFont="1" applyBorder="1"/>
    <xf numFmtId="166" fontId="14" fillId="7" borderId="0" xfId="8" applyNumberFormat="1" applyFont="1" applyBorder="1"/>
    <xf numFmtId="168" fontId="14" fillId="7" borderId="19" xfId="8" applyNumberFormat="1" applyFont="1" applyBorder="1"/>
    <xf numFmtId="168" fontId="14" fillId="7" borderId="1" xfId="8" applyNumberFormat="1" applyFont="1" applyBorder="1"/>
    <xf numFmtId="9" fontId="14" fillId="7" borderId="1" xfId="8" applyNumberFormat="1" applyFont="1" applyBorder="1"/>
    <xf numFmtId="0" fontId="14" fillId="7" borderId="1" xfId="8" applyFont="1" applyBorder="1"/>
    <xf numFmtId="171" fontId="13" fillId="7" borderId="1" xfId="8" applyNumberFormat="1" applyFont="1" applyBorder="1"/>
    <xf numFmtId="166" fontId="14" fillId="7" borderId="1" xfId="8" applyNumberFormat="1" applyFont="1" applyBorder="1"/>
    <xf numFmtId="9" fontId="14" fillId="7" borderId="1" xfId="3" applyFont="1" applyFill="1" applyBorder="1"/>
    <xf numFmtId="43" fontId="14" fillId="7" borderId="1" xfId="1" applyFont="1" applyFill="1" applyBorder="1"/>
    <xf numFmtId="43" fontId="4" fillId="2" borderId="22" xfId="4" applyNumberFormat="1" applyFont="1" applyBorder="1"/>
    <xf numFmtId="176" fontId="14" fillId="7" borderId="0" xfId="1" applyNumberFormat="1" applyFont="1" applyFill="1" applyBorder="1"/>
    <xf numFmtId="167" fontId="14" fillId="7" borderId="0" xfId="8" applyNumberFormat="1" applyFont="1" applyBorder="1"/>
    <xf numFmtId="167" fontId="14" fillId="7" borderId="33" xfId="8" applyNumberFormat="1" applyFont="1" applyBorder="1"/>
    <xf numFmtId="168" fontId="22" fillId="9" borderId="0" xfId="14" applyNumberFormat="1" applyFill="1"/>
    <xf numFmtId="0" fontId="22" fillId="9" borderId="36" xfId="13" applyFill="1" applyBorder="1" applyAlignment="1">
      <alignment horizontal="center"/>
    </xf>
    <xf numFmtId="10" fontId="14" fillId="7" borderId="3" xfId="8" applyNumberFormat="1"/>
    <xf numFmtId="0" fontId="28" fillId="0" borderId="0" xfId="0" applyFont="1"/>
    <xf numFmtId="168" fontId="28" fillId="0" borderId="0" xfId="0" applyNumberFormat="1" applyFont="1"/>
    <xf numFmtId="0" fontId="2" fillId="0" borderId="0" xfId="0" applyFont="1" applyBorder="1" applyAlignment="1"/>
    <xf numFmtId="9" fontId="10" fillId="0" borderId="22" xfId="3" applyFont="1" applyBorder="1" applyAlignment="1"/>
    <xf numFmtId="9" fontId="0" fillId="0" borderId="1" xfId="3" applyFont="1" applyBorder="1" applyAlignment="1"/>
    <xf numFmtId="9" fontId="0" fillId="0" borderId="23" xfId="3" applyFont="1" applyBorder="1" applyAlignment="1"/>
    <xf numFmtId="9" fontId="1" fillId="0" borderId="1" xfId="3" applyFont="1" applyBorder="1" applyAlignment="1"/>
    <xf numFmtId="9" fontId="1" fillId="0" borderId="19" xfId="3" applyFont="1" applyBorder="1" applyAlignment="1"/>
    <xf numFmtId="9" fontId="1" fillId="0" borderId="23" xfId="3" applyFont="1" applyBorder="1" applyAlignment="1"/>
    <xf numFmtId="9" fontId="1" fillId="0" borderId="22" xfId="3" applyFont="1" applyBorder="1" applyAlignment="1"/>
    <xf numFmtId="9" fontId="1" fillId="0" borderId="12" xfId="3" applyFont="1" applyBorder="1" applyAlignment="1"/>
    <xf numFmtId="9" fontId="1" fillId="0" borderId="11" xfId="3" applyFont="1" applyBorder="1" applyAlignment="1"/>
    <xf numFmtId="9" fontId="29" fillId="0" borderId="1" xfId="3" applyFont="1" applyBorder="1" applyAlignment="1"/>
    <xf numFmtId="9" fontId="1" fillId="0" borderId="25" xfId="3" applyFont="1" applyBorder="1"/>
    <xf numFmtId="166" fontId="1" fillId="0" borderId="1" xfId="1" applyNumberFormat="1" applyFont="1" applyBorder="1" applyAlignment="1"/>
    <xf numFmtId="166" fontId="0" fillId="0" borderId="1" xfId="1" applyNumberFormat="1" applyFont="1" applyBorder="1"/>
    <xf numFmtId="166" fontId="14" fillId="7" borderId="3" xfId="8" applyNumberFormat="1"/>
    <xf numFmtId="166" fontId="0" fillId="0" borderId="22" xfId="1" applyNumberFormat="1" applyFont="1" applyBorder="1"/>
    <xf numFmtId="43" fontId="2" fillId="0" borderId="1" xfId="1" applyFont="1" applyBorder="1" applyAlignment="1"/>
    <xf numFmtId="175" fontId="2" fillId="0" borderId="22" xfId="1" applyNumberFormat="1" applyFont="1" applyBorder="1" applyAlignment="1"/>
    <xf numFmtId="9" fontId="0" fillId="0" borderId="22" xfId="3" applyFont="1" applyBorder="1" applyAlignment="1"/>
    <xf numFmtId="0" fontId="27" fillId="12" borderId="11" xfId="21" applyFont="1" applyFill="1" applyBorder="1" applyAlignment="1"/>
    <xf numFmtId="175" fontId="30" fillId="0" borderId="11" xfId="1" applyNumberFormat="1" applyFont="1" applyBorder="1" applyAlignment="1"/>
    <xf numFmtId="175" fontId="30" fillId="0" borderId="1" xfId="1" applyNumberFormat="1" applyFont="1" applyBorder="1" applyAlignment="1"/>
    <xf numFmtId="0" fontId="0" fillId="21" borderId="18" xfId="23" applyFont="1" applyFill="1" applyBorder="1" applyAlignment="1"/>
    <xf numFmtId="0" fontId="1" fillId="21" borderId="12" xfId="23" applyFill="1" applyBorder="1" applyAlignment="1"/>
    <xf numFmtId="0" fontId="0" fillId="21" borderId="0" xfId="23" applyFont="1" applyFill="1" applyBorder="1" applyAlignment="1"/>
    <xf numFmtId="0" fontId="1" fillId="21" borderId="11" xfId="23" applyFill="1" applyBorder="1" applyAlignment="1"/>
    <xf numFmtId="0" fontId="2" fillId="21" borderId="0" xfId="23" applyFont="1" applyFill="1" applyBorder="1" applyAlignment="1"/>
    <xf numFmtId="0" fontId="2" fillId="21" borderId="11" xfId="23" applyFont="1" applyFill="1" applyBorder="1" applyAlignment="1"/>
    <xf numFmtId="0" fontId="0" fillId="21" borderId="11" xfId="23" applyFont="1" applyFill="1" applyBorder="1" applyAlignment="1"/>
    <xf numFmtId="0" fontId="2" fillId="21" borderId="21" xfId="23" applyFont="1" applyFill="1" applyBorder="1" applyAlignment="1"/>
    <xf numFmtId="0" fontId="2" fillId="21" borderId="23" xfId="23" applyFont="1" applyFill="1" applyBorder="1" applyAlignment="1"/>
    <xf numFmtId="0" fontId="1" fillId="22" borderId="12" xfId="22" applyFont="1" applyFill="1" applyBorder="1" applyAlignment="1"/>
    <xf numFmtId="0" fontId="1" fillId="22" borderId="11" xfId="22" applyFont="1" applyFill="1" applyBorder="1" applyAlignment="1"/>
    <xf numFmtId="0" fontId="2" fillId="22" borderId="11" xfId="22" applyFont="1" applyFill="1" applyBorder="1" applyAlignment="1"/>
    <xf numFmtId="0" fontId="0" fillId="22" borderId="11" xfId="22" applyFont="1" applyFill="1" applyBorder="1" applyAlignment="1"/>
    <xf numFmtId="0" fontId="2" fillId="22" borderId="23" xfId="22" applyFont="1" applyFill="1" applyBorder="1" applyAlignment="1"/>
    <xf numFmtId="0" fontId="28" fillId="24" borderId="18" xfId="21" applyFont="1" applyFill="1" applyBorder="1" applyAlignment="1"/>
    <xf numFmtId="0" fontId="28" fillId="24" borderId="12" xfId="21" applyFont="1" applyFill="1" applyBorder="1" applyAlignment="1"/>
    <xf numFmtId="0" fontId="28" fillId="24" borderId="0" xfId="21" applyFont="1" applyFill="1" applyBorder="1" applyAlignment="1"/>
    <xf numFmtId="0" fontId="28" fillId="24" borderId="11" xfId="21" applyFont="1" applyFill="1" applyBorder="1" applyAlignment="1"/>
    <xf numFmtId="0" fontId="27" fillId="24" borderId="21" xfId="21" applyFont="1" applyFill="1" applyBorder="1" applyAlignment="1"/>
    <xf numFmtId="0" fontId="27" fillId="24" borderId="23" xfId="21" applyFont="1" applyFill="1" applyBorder="1" applyAlignment="1"/>
    <xf numFmtId="0" fontId="29" fillId="23" borderId="0" xfId="21" applyFont="1" applyFill="1" applyBorder="1" applyAlignment="1"/>
    <xf numFmtId="0" fontId="29" fillId="23" borderId="11" xfId="21" applyFont="1" applyFill="1" applyBorder="1" applyAlignment="1"/>
    <xf numFmtId="0" fontId="30" fillId="23" borderId="0" xfId="21" applyFont="1" applyFill="1" applyBorder="1" applyAlignment="1"/>
    <xf numFmtId="0" fontId="30" fillId="23" borderId="11" xfId="21" applyFont="1" applyFill="1" applyBorder="1" applyAlignment="1"/>
    <xf numFmtId="0" fontId="30" fillId="23" borderId="21" xfId="21" applyFont="1" applyFill="1" applyBorder="1" applyAlignment="1"/>
    <xf numFmtId="0" fontId="30" fillId="23" borderId="23" xfId="21" applyFont="1" applyFill="1" applyBorder="1" applyAlignment="1"/>
    <xf numFmtId="175" fontId="0" fillId="0" borderId="0" xfId="0" applyNumberFormat="1" applyFont="1"/>
    <xf numFmtId="0" fontId="27" fillId="24" borderId="0" xfId="21" applyFont="1" applyFill="1" applyBorder="1" applyAlignment="1"/>
    <xf numFmtId="0" fontId="27" fillId="24" borderId="11" xfId="21" applyFont="1" applyFill="1" applyBorder="1" applyAlignment="1"/>
    <xf numFmtId="0" fontId="28" fillId="24" borderId="23" xfId="21" applyFont="1" applyFill="1" applyBorder="1" applyAlignment="1">
      <alignment horizontal="center" vertical="center" wrapText="1"/>
    </xf>
    <xf numFmtId="0" fontId="23" fillId="0" borderId="0" xfId="0" applyFont="1"/>
    <xf numFmtId="175" fontId="23" fillId="0" borderId="0" xfId="0" applyNumberFormat="1" applyFont="1"/>
    <xf numFmtId="0" fontId="0" fillId="0" borderId="0" xfId="0" applyAlignment="1"/>
    <xf numFmtId="0" fontId="0" fillId="0" borderId="0" xfId="0" applyFont="1" applyAlignment="1">
      <alignment wrapText="1"/>
    </xf>
    <xf numFmtId="0" fontId="0" fillId="0" borderId="16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6" xfId="0" applyFont="1" applyFill="1" applyBorder="1"/>
    <xf numFmtId="0" fontId="0" fillId="0" borderId="16" xfId="0" applyFont="1" applyFill="1" applyBorder="1" applyAlignment="1">
      <alignment wrapText="1"/>
    </xf>
    <xf numFmtId="0" fontId="0" fillId="0" borderId="16" xfId="0" applyFont="1" applyBorder="1" applyAlignment="1">
      <alignment vertical="center"/>
    </xf>
    <xf numFmtId="0" fontId="23" fillId="0" borderId="16" xfId="0" applyFont="1" applyFill="1" applyBorder="1" applyAlignment="1">
      <alignment wrapText="1"/>
    </xf>
    <xf numFmtId="0" fontId="23" fillId="0" borderId="16" xfId="0" applyFont="1" applyBorder="1" applyAlignment="1">
      <alignment wrapText="1"/>
    </xf>
    <xf numFmtId="0" fontId="0" fillId="0" borderId="16" xfId="0" applyFont="1" applyBorder="1" applyAlignment="1">
      <alignment horizontal="center"/>
    </xf>
    <xf numFmtId="43" fontId="0" fillId="0" borderId="16" xfId="0" applyNumberFormat="1" applyFont="1" applyBorder="1" applyAlignment="1">
      <alignment horizontal="center" wrapText="1"/>
    </xf>
    <xf numFmtId="9" fontId="0" fillId="0" borderId="16" xfId="3" applyFont="1" applyBorder="1" applyAlignment="1">
      <alignment horizontal="center" wrapText="1"/>
    </xf>
    <xf numFmtId="165" fontId="0" fillId="0" borderId="16" xfId="0" applyNumberFormat="1" applyFont="1" applyBorder="1" applyAlignment="1">
      <alignment horizontal="center" wrapText="1"/>
    </xf>
    <xf numFmtId="166" fontId="23" fillId="0" borderId="16" xfId="0" applyNumberFormat="1" applyFont="1" applyBorder="1" applyAlignment="1">
      <alignment horizontal="center" wrapText="1"/>
    </xf>
    <xf numFmtId="167" fontId="23" fillId="0" borderId="16" xfId="0" applyNumberFormat="1" applyFont="1" applyBorder="1" applyAlignment="1">
      <alignment horizontal="center" wrapText="1"/>
    </xf>
    <xf numFmtId="9" fontId="23" fillId="0" borderId="16" xfId="3" applyFont="1" applyBorder="1" applyAlignment="1">
      <alignment horizontal="center" wrapText="1"/>
    </xf>
    <xf numFmtId="166" fontId="0" fillId="0" borderId="16" xfId="0" applyNumberFormat="1" applyFont="1" applyBorder="1" applyAlignment="1">
      <alignment horizontal="center" wrapText="1"/>
    </xf>
    <xf numFmtId="43" fontId="0" fillId="0" borderId="0" xfId="1" applyFont="1"/>
    <xf numFmtId="176" fontId="4" fillId="2" borderId="3" xfId="1" applyNumberFormat="1" applyFont="1" applyFill="1" applyBorder="1"/>
    <xf numFmtId="176" fontId="14" fillId="7" borderId="0" xfId="8" applyNumberFormat="1" applyFont="1" applyBorder="1"/>
    <xf numFmtId="9" fontId="14" fillId="7" borderId="46" xfId="3" applyFont="1" applyFill="1" applyBorder="1"/>
    <xf numFmtId="43" fontId="23" fillId="0" borderId="0" xfId="1" applyFont="1"/>
    <xf numFmtId="43" fontId="2" fillId="0" borderId="1" xfId="1" applyNumberFormat="1" applyFont="1" applyBorder="1" applyAlignment="1"/>
    <xf numFmtId="0" fontId="12" fillId="0" borderId="0" xfId="0" applyFont="1" applyBorder="1"/>
    <xf numFmtId="166" fontId="12" fillId="2" borderId="3" xfId="2" applyNumberFormat="1" applyFont="1" applyFill="1" applyBorder="1"/>
    <xf numFmtId="166" fontId="2" fillId="0" borderId="0" xfId="1" applyNumberFormat="1" applyFont="1"/>
    <xf numFmtId="166" fontId="2" fillId="0" borderId="0" xfId="0" applyNumberFormat="1" applyFont="1"/>
    <xf numFmtId="9" fontId="0" fillId="0" borderId="0" xfId="0" applyNumberFormat="1"/>
    <xf numFmtId="167" fontId="0" fillId="0" borderId="0" xfId="2" applyNumberFormat="1" applyFont="1"/>
    <xf numFmtId="0" fontId="5" fillId="0" borderId="0" xfId="5" applyAlignment="1">
      <alignment horizontal="left"/>
    </xf>
    <xf numFmtId="170" fontId="12" fillId="2" borderId="3" xfId="4" applyNumberFormat="1" applyFont="1"/>
    <xf numFmtId="10" fontId="23" fillId="0" borderId="0" xfId="3" applyNumberFormat="1" applyFont="1"/>
    <xf numFmtId="0" fontId="2" fillId="0" borderId="1" xfId="0" applyFont="1" applyBorder="1"/>
    <xf numFmtId="167" fontId="0" fillId="0" borderId="1" xfId="1" applyNumberFormat="1" applyFont="1" applyBorder="1"/>
    <xf numFmtId="0" fontId="2" fillId="0" borderId="47" xfId="15" applyFont="1" applyBorder="1"/>
    <xf numFmtId="0" fontId="2" fillId="0" borderId="48" xfId="15" applyFont="1" applyBorder="1"/>
    <xf numFmtId="167" fontId="2" fillId="0" borderId="49" xfId="15" applyNumberFormat="1" applyFont="1" applyBorder="1"/>
    <xf numFmtId="167" fontId="0" fillId="0" borderId="0" xfId="0" applyNumberFormat="1" applyFont="1" applyBorder="1"/>
    <xf numFmtId="0" fontId="2" fillId="0" borderId="20" xfId="0" applyFont="1" applyBorder="1"/>
    <xf numFmtId="167" fontId="2" fillId="0" borderId="21" xfId="0" applyNumberFormat="1" applyFont="1" applyBorder="1"/>
    <xf numFmtId="168" fontId="0" fillId="0" borderId="22" xfId="1" applyNumberFormat="1" applyFont="1" applyBorder="1"/>
    <xf numFmtId="9" fontId="0" fillId="0" borderId="16" xfId="0" applyNumberFormat="1" applyFont="1" applyBorder="1" applyAlignment="1">
      <alignment horizontal="center" wrapText="1"/>
    </xf>
    <xf numFmtId="0" fontId="0" fillId="0" borderId="16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wrapText="1"/>
    </xf>
    <xf numFmtId="0" fontId="2" fillId="0" borderId="24" xfId="0" applyFont="1" applyBorder="1" applyAlignment="1">
      <alignment horizontal="center"/>
    </xf>
    <xf numFmtId="0" fontId="37" fillId="0" borderId="0" xfId="24"/>
    <xf numFmtId="1" fontId="37" fillId="0" borderId="0" xfId="24" applyNumberFormat="1"/>
    <xf numFmtId="0" fontId="37" fillId="0" borderId="0" xfId="24" applyBorder="1"/>
    <xf numFmtId="0" fontId="38" fillId="0" borderId="0" xfId="24" applyFont="1" applyAlignment="1">
      <alignment horizontal="right"/>
    </xf>
    <xf numFmtId="0" fontId="38" fillId="0" borderId="0" xfId="24" applyFont="1"/>
    <xf numFmtId="0" fontId="39" fillId="0" borderId="0" xfId="24" applyFont="1"/>
    <xf numFmtId="49" fontId="40" fillId="0" borderId="0" xfId="24" applyNumberFormat="1" applyFont="1"/>
    <xf numFmtId="0" fontId="40" fillId="0" borderId="0" xfId="24" applyFont="1"/>
    <xf numFmtId="0" fontId="4" fillId="2" borderId="3" xfId="4"/>
    <xf numFmtId="0" fontId="2" fillId="0" borderId="0" xfId="0" applyFont="1" applyBorder="1" applyAlignment="1">
      <alignment horizontal="center"/>
    </xf>
    <xf numFmtId="167" fontId="14" fillId="7" borderId="3" xfId="8" applyNumberFormat="1" applyFont="1" applyBorder="1"/>
    <xf numFmtId="167" fontId="4" fillId="2" borderId="3" xfId="4" applyNumberFormat="1" applyFont="1"/>
    <xf numFmtId="167" fontId="33" fillId="7" borderId="3" xfId="8" applyNumberFormat="1" applyFont="1" applyBorder="1"/>
    <xf numFmtId="44" fontId="14" fillId="7" borderId="3" xfId="2" applyFont="1" applyFill="1" applyBorder="1"/>
    <xf numFmtId="171" fontId="4" fillId="2" borderId="3" xfId="4" applyNumberFormat="1"/>
    <xf numFmtId="179" fontId="4" fillId="2" borderId="3" xfId="4" applyNumberFormat="1"/>
    <xf numFmtId="177" fontId="0" fillId="0" borderId="0" xfId="0" applyNumberFormat="1" applyFont="1"/>
    <xf numFmtId="9" fontId="14" fillId="7" borderId="3" xfId="3" applyFont="1" applyFill="1" applyBorder="1" applyAlignment="1">
      <alignment horizontal="right" vertical="center" wrapText="1"/>
    </xf>
    <xf numFmtId="10" fontId="14" fillId="7" borderId="3" xfId="3" applyNumberFormat="1" applyFont="1" applyFill="1" applyBorder="1" applyAlignment="1">
      <alignment horizontal="right" vertical="center" wrapText="1"/>
    </xf>
    <xf numFmtId="0" fontId="42" fillId="0" borderId="2" xfId="0" applyFont="1" applyBorder="1"/>
    <xf numFmtId="0" fontId="42" fillId="0" borderId="0" xfId="0" applyFont="1" applyBorder="1"/>
    <xf numFmtId="9" fontId="43" fillId="7" borderId="1" xfId="8" applyNumberFormat="1" applyFont="1" applyBorder="1"/>
    <xf numFmtId="0" fontId="44" fillId="25" borderId="50" xfId="0" applyFont="1" applyFill="1" applyBorder="1" applyAlignment="1">
      <alignment horizontal="center" vertical="center" wrapText="1"/>
    </xf>
    <xf numFmtId="0" fontId="44" fillId="25" borderId="52" xfId="0" applyFont="1" applyFill="1" applyBorder="1" applyAlignment="1">
      <alignment horizontal="center" vertical="center" wrapText="1"/>
    </xf>
    <xf numFmtId="0" fontId="45" fillId="25" borderId="51" xfId="0" applyFont="1" applyFill="1" applyBorder="1" applyAlignment="1">
      <alignment horizontal="center" vertical="center" wrapText="1"/>
    </xf>
    <xf numFmtId="0" fontId="45" fillId="26" borderId="51" xfId="0" applyFont="1" applyFill="1" applyBorder="1" applyAlignment="1">
      <alignment horizontal="center" vertical="center" wrapText="1"/>
    </xf>
    <xf numFmtId="0" fontId="44" fillId="25" borderId="50" xfId="0" applyFont="1" applyFill="1" applyBorder="1" applyAlignment="1">
      <alignment vertical="center" wrapText="1"/>
    </xf>
    <xf numFmtId="182" fontId="45" fillId="25" borderId="51" xfId="0" applyNumberFormat="1" applyFont="1" applyFill="1" applyBorder="1" applyAlignment="1">
      <alignment horizontal="center" vertical="center" wrapText="1"/>
    </xf>
    <xf numFmtId="182" fontId="45" fillId="26" borderId="51" xfId="0" applyNumberFormat="1" applyFont="1" applyFill="1" applyBorder="1" applyAlignment="1">
      <alignment horizontal="center" vertical="center" wrapText="1"/>
    </xf>
    <xf numFmtId="182" fontId="0" fillId="0" borderId="0" xfId="0" applyNumberFormat="1"/>
    <xf numFmtId="176" fontId="46" fillId="0" borderId="0" xfId="1" applyNumberFormat="1" applyFont="1" applyAlignment="1">
      <alignment horizontal="left" vertical="center"/>
    </xf>
    <xf numFmtId="0" fontId="46" fillId="0" borderId="0" xfId="0" applyFont="1" applyAlignment="1">
      <alignment horizontal="left" vertical="center"/>
    </xf>
    <xf numFmtId="176" fontId="0" fillId="0" borderId="0" xfId="1" applyNumberFormat="1" applyFont="1"/>
    <xf numFmtId="168" fontId="46" fillId="0" borderId="0" xfId="1" applyNumberFormat="1" applyFont="1" applyAlignment="1">
      <alignment horizontal="left" vertical="center"/>
    </xf>
    <xf numFmtId="170" fontId="0" fillId="0" borderId="0" xfId="3" applyNumberFormat="1" applyFont="1"/>
    <xf numFmtId="183" fontId="0" fillId="0" borderId="0" xfId="2" applyNumberFormat="1" applyFont="1"/>
    <xf numFmtId="184" fontId="0" fillId="0" borderId="0" xfId="2" applyNumberFormat="1" applyFont="1"/>
    <xf numFmtId="184" fontId="4" fillId="2" borderId="3" xfId="2" applyNumberFormat="1" applyFont="1" applyFill="1" applyBorder="1"/>
    <xf numFmtId="0" fontId="32" fillId="0" borderId="11" xfId="0" applyFont="1" applyFill="1" applyBorder="1"/>
    <xf numFmtId="184" fontId="14" fillId="7" borderId="3" xfId="8" applyNumberFormat="1"/>
    <xf numFmtId="0" fontId="0" fillId="0" borderId="17" xfId="0" applyBorder="1"/>
    <xf numFmtId="177" fontId="4" fillId="2" borderId="3" xfId="4" applyNumberFormat="1"/>
    <xf numFmtId="0" fontId="0" fillId="0" borderId="2" xfId="0" applyFont="1" applyFill="1" applyBorder="1"/>
    <xf numFmtId="167" fontId="0" fillId="0" borderId="0" xfId="0" applyNumberFormat="1" applyFont="1"/>
    <xf numFmtId="0" fontId="23" fillId="0" borderId="0" xfId="0" applyFont="1" applyBorder="1"/>
    <xf numFmtId="9" fontId="32" fillId="0" borderId="0" xfId="0" applyNumberFormat="1" applyFont="1" applyBorder="1"/>
    <xf numFmtId="0" fontId="32" fillId="2" borderId="0" xfId="4" applyFont="1" applyBorder="1"/>
    <xf numFmtId="166" fontId="32" fillId="0" borderId="0" xfId="0" applyNumberFormat="1" applyFont="1" applyBorder="1"/>
    <xf numFmtId="169" fontId="32" fillId="0" borderId="0" xfId="0" applyNumberFormat="1" applyFont="1" applyBorder="1"/>
    <xf numFmtId="0" fontId="0" fillId="0" borderId="11" xfId="0" applyFont="1" applyFill="1" applyBorder="1"/>
    <xf numFmtId="43" fontId="2" fillId="0" borderId="11" xfId="1" applyFont="1" applyBorder="1"/>
    <xf numFmtId="43" fontId="0" fillId="0" borderId="11" xfId="1" applyFont="1" applyBorder="1"/>
    <xf numFmtId="166" fontId="0" fillId="0" borderId="11" xfId="0" applyNumberFormat="1" applyFont="1" applyBorder="1"/>
    <xf numFmtId="0" fontId="4" fillId="2" borderId="26" xfId="4" applyFont="1" applyBorder="1"/>
    <xf numFmtId="168" fontId="0" fillId="0" borderId="11" xfId="1" applyNumberFormat="1" applyFont="1" applyBorder="1"/>
    <xf numFmtId="167" fontId="0" fillId="0" borderId="11" xfId="0" applyNumberFormat="1" applyFont="1" applyBorder="1"/>
    <xf numFmtId="167" fontId="29" fillId="0" borderId="23" xfId="1" applyNumberFormat="1" applyFont="1" applyBorder="1"/>
    <xf numFmtId="43" fontId="2" fillId="0" borderId="2" xfId="1" applyFont="1" applyBorder="1"/>
    <xf numFmtId="168" fontId="29" fillId="0" borderId="2" xfId="1" applyNumberFormat="1" applyFont="1" applyBorder="1"/>
    <xf numFmtId="43" fontId="0" fillId="0" borderId="2" xfId="1" applyFont="1" applyBorder="1"/>
    <xf numFmtId="166" fontId="0" fillId="0" borderId="2" xfId="0" applyNumberFormat="1" applyFont="1" applyBorder="1"/>
    <xf numFmtId="168" fontId="12" fillId="0" borderId="2" xfId="1" applyNumberFormat="1" applyFont="1" applyBorder="1"/>
    <xf numFmtId="167" fontId="0" fillId="0" borderId="2" xfId="0" applyNumberFormat="1" applyFont="1" applyBorder="1"/>
    <xf numFmtId="0" fontId="4" fillId="2" borderId="54" xfId="4" applyFont="1" applyBorder="1"/>
    <xf numFmtId="168" fontId="0" fillId="0" borderId="2" xfId="1" applyNumberFormat="1" applyFont="1" applyBorder="1"/>
    <xf numFmtId="167" fontId="29" fillId="0" borderId="2" xfId="2" applyNumberFormat="1" applyFont="1" applyBorder="1"/>
    <xf numFmtId="167" fontId="29" fillId="0" borderId="20" xfId="1" applyNumberFormat="1" applyFont="1" applyBorder="1"/>
    <xf numFmtId="43" fontId="2" fillId="0" borderId="11" xfId="0" applyNumberFormat="1" applyFont="1" applyBorder="1"/>
    <xf numFmtId="43" fontId="0" fillId="0" borderId="11" xfId="0" applyNumberFormat="1" applyFont="1" applyBorder="1"/>
    <xf numFmtId="169" fontId="29" fillId="0" borderId="11" xfId="0" applyNumberFormat="1" applyFont="1" applyBorder="1"/>
    <xf numFmtId="0" fontId="0" fillId="0" borderId="23" xfId="0" applyFont="1" applyBorder="1"/>
    <xf numFmtId="0" fontId="0" fillId="0" borderId="12" xfId="0" applyFont="1" applyFill="1" applyBorder="1" applyAlignment="1">
      <alignment vertical="center"/>
    </xf>
    <xf numFmtId="0" fontId="0" fillId="0" borderId="11" xfId="0" applyFont="1" applyFill="1" applyBorder="1" applyAlignment="1">
      <alignment vertical="center"/>
    </xf>
    <xf numFmtId="0" fontId="0" fillId="0" borderId="23" xfId="0" applyFont="1" applyFill="1" applyBorder="1" applyAlignment="1">
      <alignment vertical="center"/>
    </xf>
    <xf numFmtId="166" fontId="12" fillId="2" borderId="56" xfId="4" applyNumberFormat="1" applyFont="1" applyBorder="1"/>
    <xf numFmtId="166" fontId="12" fillId="2" borderId="26" xfId="4" applyNumberFormat="1" applyFont="1" applyBorder="1"/>
    <xf numFmtId="166" fontId="29" fillId="0" borderId="2" xfId="2" applyNumberFormat="1" applyFont="1" applyBorder="1"/>
    <xf numFmtId="166" fontId="0" fillId="13" borderId="12" xfId="16" quotePrefix="1" applyNumberFormat="1" applyFont="1" applyBorder="1"/>
    <xf numFmtId="0" fontId="0" fillId="8" borderId="0" xfId="0" applyFont="1" applyFill="1"/>
    <xf numFmtId="9" fontId="2" fillId="0" borderId="12" xfId="0" applyNumberFormat="1" applyFont="1" applyBorder="1"/>
    <xf numFmtId="9" fontId="2" fillId="0" borderId="19" xfId="0" applyNumberFormat="1" applyFont="1" applyBorder="1"/>
    <xf numFmtId="0" fontId="2" fillId="8" borderId="0" xfId="0" applyFont="1" applyFill="1"/>
    <xf numFmtId="43" fontId="0" fillId="0" borderId="0" xfId="1" applyFont="1" applyBorder="1"/>
    <xf numFmtId="167" fontId="0" fillId="0" borderId="0" xfId="1" applyNumberFormat="1" applyFont="1" applyBorder="1"/>
    <xf numFmtId="43" fontId="4" fillId="2" borderId="54" xfId="4" applyNumberFormat="1" applyFont="1" applyBorder="1"/>
    <xf numFmtId="43" fontId="4" fillId="2" borderId="26" xfId="4" applyNumberFormat="1" applyFont="1" applyBorder="1"/>
    <xf numFmtId="175" fontId="4" fillId="2" borderId="54" xfId="4" applyNumberFormat="1" applyFont="1" applyBorder="1"/>
    <xf numFmtId="166" fontId="4" fillId="2" borderId="54" xfId="4" applyNumberFormat="1" applyFont="1" applyBorder="1"/>
    <xf numFmtId="166" fontId="25" fillId="7" borderId="53" xfId="17" applyNumberFormat="1" applyFont="1" applyBorder="1"/>
    <xf numFmtId="166" fontId="25" fillId="7" borderId="55" xfId="17" applyNumberFormat="1" applyFont="1" applyBorder="1"/>
    <xf numFmtId="175" fontId="0" fillId="0" borderId="0" xfId="1" applyNumberFormat="1" applyFont="1" applyBorder="1"/>
    <xf numFmtId="171" fontId="0" fillId="0" borderId="0" xfId="1" applyNumberFormat="1" applyFont="1" applyBorder="1"/>
    <xf numFmtId="167" fontId="23" fillId="0" borderId="0" xfId="0" applyNumberFormat="1" applyFont="1"/>
    <xf numFmtId="169" fontId="23" fillId="0" borderId="0" xfId="0" applyNumberFormat="1" applyFont="1"/>
    <xf numFmtId="43" fontId="23" fillId="0" borderId="0" xfId="1" applyNumberFormat="1" applyFont="1" applyBorder="1"/>
    <xf numFmtId="43" fontId="23" fillId="0" borderId="0" xfId="1" applyFont="1" applyBorder="1"/>
    <xf numFmtId="43" fontId="0" fillId="0" borderId="0" xfId="1" applyNumberFormat="1" applyFont="1" applyBorder="1"/>
    <xf numFmtId="166" fontId="0" fillId="0" borderId="0" xfId="1" applyNumberFormat="1" applyFont="1" applyBorder="1"/>
    <xf numFmtId="9" fontId="1" fillId="0" borderId="0" xfId="0" applyNumberFormat="1" applyFont="1"/>
    <xf numFmtId="9" fontId="23" fillId="0" borderId="0" xfId="0" applyNumberFormat="1" applyFont="1"/>
    <xf numFmtId="0" fontId="29" fillId="0" borderId="0" xfId="0" applyFont="1"/>
    <xf numFmtId="168" fontId="0" fillId="0" borderId="0" xfId="0" applyNumberFormat="1" applyFont="1"/>
    <xf numFmtId="0" fontId="5" fillId="0" borderId="0" xfId="5" applyFont="1"/>
    <xf numFmtId="10" fontId="14" fillId="7" borderId="3" xfId="8" applyNumberFormat="1" applyFont="1"/>
    <xf numFmtId="166" fontId="14" fillId="7" borderId="3" xfId="8" applyNumberFormat="1" applyFont="1"/>
    <xf numFmtId="2" fontId="0" fillId="0" borderId="0" xfId="0" applyNumberFormat="1" applyFont="1"/>
    <xf numFmtId="0" fontId="47" fillId="0" borderId="0" xfId="0" applyFont="1"/>
    <xf numFmtId="0" fontId="48" fillId="0" borderId="0" xfId="0" applyFont="1"/>
    <xf numFmtId="167" fontId="14" fillId="7" borderId="3" xfId="2" applyNumberFormat="1" applyFont="1" applyFill="1" applyBorder="1"/>
    <xf numFmtId="180" fontId="14" fillId="7" borderId="0" xfId="8" applyNumberFormat="1" applyFont="1" applyBorder="1"/>
    <xf numFmtId="167" fontId="14" fillId="7" borderId="3" xfId="1" applyNumberFormat="1" applyFont="1" applyFill="1" applyBorder="1" applyAlignment="1">
      <alignment horizontal="right" vertical="center" wrapText="1"/>
    </xf>
    <xf numFmtId="43" fontId="14" fillId="7" borderId="61" xfId="8" applyNumberFormat="1" applyFont="1" applyBorder="1"/>
    <xf numFmtId="43" fontId="14" fillId="7" borderId="61" xfId="1" applyFont="1" applyFill="1" applyBorder="1" applyAlignment="1">
      <alignment horizontal="right" vertical="center" wrapText="1"/>
    </xf>
    <xf numFmtId="0" fontId="0" fillId="0" borderId="1" xfId="0" applyBorder="1"/>
    <xf numFmtId="184" fontId="4" fillId="2" borderId="29" xfId="2" applyNumberFormat="1" applyFont="1" applyFill="1" applyBorder="1"/>
    <xf numFmtId="183" fontId="0" fillId="0" borderId="1" xfId="2" applyNumberFormat="1" applyFont="1" applyBorder="1"/>
    <xf numFmtId="0" fontId="4" fillId="2" borderId="29" xfId="4" applyBorder="1"/>
    <xf numFmtId="10" fontId="14" fillId="7" borderId="3" xfId="1" applyNumberFormat="1" applyFont="1" applyFill="1" applyBorder="1" applyAlignment="1">
      <alignment horizontal="right" vertical="center" wrapText="1"/>
    </xf>
    <xf numFmtId="170" fontId="0" fillId="0" borderId="0" xfId="0" applyNumberFormat="1" applyFont="1"/>
    <xf numFmtId="0" fontId="0" fillId="0" borderId="0" xfId="0" applyFont="1" applyAlignment="1">
      <alignment horizontal="left"/>
    </xf>
    <xf numFmtId="175" fontId="0" fillId="0" borderId="0" xfId="1" applyNumberFormat="1" applyFont="1"/>
    <xf numFmtId="43" fontId="14" fillId="7" borderId="3" xfId="8" applyNumberFormat="1"/>
    <xf numFmtId="9" fontId="4" fillId="2" borderId="3" xfId="4" applyNumberFormat="1"/>
    <xf numFmtId="0" fontId="25" fillId="7" borderId="42" xfId="17"/>
    <xf numFmtId="175" fontId="14" fillId="7" borderId="3" xfId="8" applyNumberFormat="1" applyFont="1" applyBorder="1"/>
    <xf numFmtId="43" fontId="33" fillId="7" borderId="0" xfId="1" applyFont="1" applyFill="1" applyBorder="1"/>
    <xf numFmtId="10" fontId="25" fillId="7" borderId="42" xfId="17" applyNumberFormat="1"/>
    <xf numFmtId="10" fontId="4" fillId="2" borderId="3" xfId="4" applyNumberFormat="1"/>
    <xf numFmtId="175" fontId="14" fillId="7" borderId="0" xfId="1" applyNumberFormat="1" applyFont="1" applyFill="1" applyBorder="1"/>
    <xf numFmtId="175" fontId="14" fillId="7" borderId="3" xfId="1" applyNumberFormat="1" applyFont="1" applyFill="1" applyBorder="1"/>
    <xf numFmtId="43" fontId="0" fillId="0" borderId="0" xfId="1" applyNumberFormat="1" applyFont="1"/>
    <xf numFmtId="167" fontId="0" fillId="0" borderId="0" xfId="0" applyNumberFormat="1"/>
    <xf numFmtId="0" fontId="0" fillId="0" borderId="0" xfId="0" applyAlignment="1">
      <alignment horizontal="justify" vertical="center"/>
    </xf>
    <xf numFmtId="170" fontId="0" fillId="0" borderId="0" xfId="0" applyNumberFormat="1"/>
    <xf numFmtId="43" fontId="4" fillId="2" borderId="3" xfId="4" applyNumberFormat="1"/>
    <xf numFmtId="4" fontId="0" fillId="0" borderId="63" xfId="0" applyNumberFormat="1" applyFill="1" applyBorder="1" applyAlignment="1">
      <alignment horizontal="right" vertical="center" wrapText="1" indent="1"/>
    </xf>
    <xf numFmtId="0" fontId="0" fillId="0" borderId="0" xfId="0" applyBorder="1"/>
    <xf numFmtId="184" fontId="4" fillId="2" borderId="0" xfId="2" applyNumberFormat="1" applyFont="1" applyFill="1" applyBorder="1"/>
    <xf numFmtId="183" fontId="0" fillId="0" borderId="0" xfId="2" applyNumberFormat="1" applyFont="1" applyBorder="1"/>
    <xf numFmtId="0" fontId="4" fillId="2" borderId="62" xfId="4" applyBorder="1"/>
    <xf numFmtId="168" fontId="2" fillId="0" borderId="0" xfId="1" applyNumberFormat="1" applyFont="1" applyBorder="1"/>
    <xf numFmtId="168" fontId="2" fillId="0" borderId="1" xfId="0" applyNumberFormat="1" applyFont="1" applyBorder="1"/>
    <xf numFmtId="168" fontId="1" fillId="0" borderId="0" xfId="1" applyNumberFormat="1" applyFont="1" applyBorder="1"/>
    <xf numFmtId="168" fontId="1" fillId="0" borderId="21" xfId="1" applyNumberFormat="1" applyFont="1" applyBorder="1"/>
    <xf numFmtId="0" fontId="23" fillId="0" borderId="2" xfId="0" applyFont="1" applyBorder="1"/>
    <xf numFmtId="0" fontId="23" fillId="0" borderId="20" xfId="0" applyFont="1" applyBorder="1"/>
    <xf numFmtId="170" fontId="1" fillId="7" borderId="3" xfId="8" applyNumberFormat="1" applyFont="1" applyBorder="1"/>
    <xf numFmtId="170" fontId="2" fillId="7" borderId="3" xfId="8" applyNumberFormat="1" applyFont="1" applyBorder="1"/>
    <xf numFmtId="9" fontId="1" fillId="7" borderId="42" xfId="17" applyNumberFormat="1" applyFont="1" applyBorder="1"/>
    <xf numFmtId="9" fontId="2" fillId="7" borderId="42" xfId="17" applyNumberFormat="1" applyFont="1" applyBorder="1"/>
    <xf numFmtId="170" fontId="14" fillId="7" borderId="3" xfId="8" applyNumberFormat="1"/>
    <xf numFmtId="168" fontId="4" fillId="2" borderId="3" xfId="4" applyNumberFormat="1"/>
    <xf numFmtId="9" fontId="0" fillId="0" borderId="0" xfId="3" applyFont="1" applyBorder="1"/>
    <xf numFmtId="170" fontId="0" fillId="0" borderId="0" xfId="3" applyNumberFormat="1" applyFont="1" applyBorder="1"/>
    <xf numFmtId="0" fontId="0" fillId="0" borderId="0" xfId="0" applyFont="1" applyFill="1" applyBorder="1" applyAlignment="1">
      <alignment horizontal="left"/>
    </xf>
    <xf numFmtId="170" fontId="23" fillId="7" borderId="3" xfId="3" applyNumberFormat="1" applyFont="1" applyFill="1" applyBorder="1"/>
    <xf numFmtId="0" fontId="2" fillId="0" borderId="0" xfId="0" applyFont="1" applyAlignment="1">
      <alignment horizontal="left"/>
    </xf>
    <xf numFmtId="168" fontId="1" fillId="7" borderId="3" xfId="1" applyNumberFormat="1" applyFont="1" applyFill="1" applyBorder="1"/>
    <xf numFmtId="168" fontId="2" fillId="7" borderId="3" xfId="1" applyNumberFormat="1" applyFont="1" applyFill="1" applyBorder="1"/>
    <xf numFmtId="168" fontId="23" fillId="7" borderId="3" xfId="1" applyNumberFormat="1" applyFont="1" applyFill="1" applyBorder="1"/>
    <xf numFmtId="9" fontId="25" fillId="7" borderId="16" xfId="17" applyNumberFormat="1" applyBorder="1"/>
    <xf numFmtId="9" fontId="23" fillId="7" borderId="3" xfId="3" applyNumberFormat="1" applyFont="1" applyFill="1" applyBorder="1"/>
    <xf numFmtId="2" fontId="0" fillId="0" borderId="0" xfId="0" applyNumberFormat="1"/>
    <xf numFmtId="0" fontId="28" fillId="16" borderId="28" xfId="20" applyBorder="1" applyAlignment="1">
      <alignment horizontal="center" vertical="center"/>
    </xf>
    <xf numFmtId="0" fontId="28" fillId="16" borderId="33" xfId="20" applyBorder="1" applyAlignment="1">
      <alignment horizontal="center" vertical="center"/>
    </xf>
    <xf numFmtId="0" fontId="0" fillId="27" borderId="0" xfId="0" applyFill="1"/>
    <xf numFmtId="0" fontId="0" fillId="28" borderId="0" xfId="0" applyFill="1"/>
    <xf numFmtId="0" fontId="0" fillId="0" borderId="0" xfId="0" applyAlignment="1">
      <alignment horizontal="right"/>
    </xf>
    <xf numFmtId="166" fontId="4" fillId="2" borderId="3" xfId="4" applyNumberFormat="1"/>
    <xf numFmtId="167" fontId="4" fillId="2" borderId="3" xfId="4" applyNumberFormat="1"/>
    <xf numFmtId="167" fontId="14" fillId="7" borderId="3" xfId="1" applyNumberFormat="1" applyFont="1" applyFill="1" applyBorder="1"/>
    <xf numFmtId="166" fontId="14" fillId="7" borderId="3" xfId="1" applyNumberFormat="1" applyFont="1" applyFill="1" applyBorder="1"/>
    <xf numFmtId="167" fontId="25" fillId="7" borderId="53" xfId="17" applyNumberFormat="1" applyFont="1" applyBorder="1"/>
    <xf numFmtId="0" fontId="2" fillId="0" borderId="2" xfId="0" applyFont="1" applyFill="1" applyBorder="1"/>
    <xf numFmtId="168" fontId="14" fillId="7" borderId="3" xfId="1" applyNumberFormat="1" applyFont="1" applyFill="1" applyBorder="1"/>
    <xf numFmtId="10" fontId="0" fillId="0" borderId="0" xfId="0" applyNumberFormat="1"/>
    <xf numFmtId="0" fontId="4" fillId="2" borderId="3" xfId="4" applyBorder="1"/>
    <xf numFmtId="167" fontId="2" fillId="0" borderId="0" xfId="0" applyNumberFormat="1" applyFont="1"/>
    <xf numFmtId="10" fontId="2" fillId="0" borderId="0" xfId="0" applyNumberFormat="1" applyFont="1"/>
    <xf numFmtId="167" fontId="33" fillId="7" borderId="30" xfId="8" applyNumberFormat="1" applyFont="1" applyBorder="1"/>
    <xf numFmtId="43" fontId="14" fillId="7" borderId="3" xfId="1" applyNumberFormat="1" applyFont="1" applyFill="1" applyBorder="1"/>
    <xf numFmtId="166" fontId="1" fillId="0" borderId="0" xfId="0" applyNumberFormat="1" applyFont="1"/>
    <xf numFmtId="43" fontId="23" fillId="0" borderId="0" xfId="0" applyNumberFormat="1" applyFont="1"/>
    <xf numFmtId="170" fontId="4" fillId="2" borderId="45" xfId="4" applyNumberFormat="1" applyFont="1" applyBorder="1" applyAlignment="1">
      <alignment horizontal="center"/>
    </xf>
    <xf numFmtId="170" fontId="4" fillId="2" borderId="0" xfId="4" applyNumberFormat="1" applyFont="1" applyBorder="1" applyAlignment="1">
      <alignment horizontal="center"/>
    </xf>
    <xf numFmtId="181" fontId="12" fillId="2" borderId="0" xfId="1" applyNumberFormat="1" applyFont="1" applyFill="1" applyBorder="1" applyAlignment="1">
      <alignment horizontal="center"/>
    </xf>
    <xf numFmtId="181" fontId="12" fillId="2" borderId="59" xfId="1" applyNumberFormat="1" applyFont="1" applyFill="1" applyBorder="1" applyAlignment="1">
      <alignment horizontal="center"/>
    </xf>
    <xf numFmtId="170" fontId="4" fillId="2" borderId="59" xfId="4" applyNumberFormat="1" applyFont="1" applyBorder="1" applyAlignment="1">
      <alignment horizontal="center"/>
    </xf>
    <xf numFmtId="176" fontId="23" fillId="2" borderId="60" xfId="1" applyNumberFormat="1" applyFont="1" applyFill="1" applyBorder="1" applyAlignment="1">
      <alignment horizontal="center"/>
    </xf>
    <xf numFmtId="176" fontId="23" fillId="2" borderId="61" xfId="1" applyNumberFormat="1" applyFont="1" applyFill="1" applyBorder="1" applyAlignment="1">
      <alignment horizontal="center"/>
    </xf>
    <xf numFmtId="177" fontId="4" fillId="2" borderId="60" xfId="2" applyNumberFormat="1" applyFont="1" applyFill="1" applyBorder="1" applyAlignment="1">
      <alignment horizontal="right" vertical="center"/>
    </xf>
    <xf numFmtId="177" fontId="4" fillId="2" borderId="62" xfId="2" applyNumberFormat="1" applyFont="1" applyFill="1" applyBorder="1" applyAlignment="1">
      <alignment horizontal="right" vertical="center"/>
    </xf>
    <xf numFmtId="9" fontId="23" fillId="2" borderId="62" xfId="3" applyFont="1" applyFill="1" applyBorder="1" applyAlignment="1">
      <alignment horizontal="center"/>
    </xf>
    <xf numFmtId="9" fontId="23" fillId="2" borderId="61" xfId="3" applyFont="1" applyFill="1" applyBorder="1" applyAlignment="1">
      <alignment horizontal="center"/>
    </xf>
    <xf numFmtId="0" fontId="4" fillId="2" borderId="3" xfId="4" applyFont="1" applyAlignment="1">
      <alignment horizontal="center"/>
    </xf>
    <xf numFmtId="168" fontId="23" fillId="2" borderId="3" xfId="4" applyNumberFormat="1" applyFont="1" applyAlignment="1">
      <alignment horizontal="center"/>
    </xf>
    <xf numFmtId="166" fontId="4" fillId="2" borderId="57" xfId="4" applyNumberFormat="1" applyFont="1" applyBorder="1" applyAlignment="1"/>
    <xf numFmtId="166" fontId="4" fillId="2" borderId="58" xfId="4" applyNumberFormat="1" applyFont="1" applyBorder="1" applyAlignment="1"/>
    <xf numFmtId="9" fontId="4" fillId="2" borderId="3" xfId="4" applyNumberFormat="1" applyFont="1" applyAlignment="1">
      <alignment horizontal="center"/>
    </xf>
    <xf numFmtId="168" fontId="4" fillId="2" borderId="3" xfId="4" applyNumberFormat="1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21" fillId="0" borderId="0" xfId="12" applyAlignment="1">
      <alignment horizontal="left"/>
    </xf>
    <xf numFmtId="0" fontId="1" fillId="15" borderId="28" xfId="19" applyBorder="1" applyAlignment="1">
      <alignment horizontal="center" vertical="center"/>
    </xf>
    <xf numFmtId="0" fontId="1" fillId="15" borderId="33" xfId="19" applyBorder="1" applyAlignment="1">
      <alignment horizontal="center" vertical="center"/>
    </xf>
    <xf numFmtId="0" fontId="1" fillId="14" borderId="28" xfId="18" applyBorder="1" applyAlignment="1">
      <alignment horizontal="center" vertical="center"/>
    </xf>
    <xf numFmtId="0" fontId="1" fillId="14" borderId="33" xfId="18" applyBorder="1" applyAlignment="1">
      <alignment horizontal="center" vertical="center"/>
    </xf>
    <xf numFmtId="0" fontId="28" fillId="12" borderId="12" xfId="21" applyFont="1" applyFill="1" applyBorder="1" applyAlignment="1">
      <alignment horizontal="center" vertical="center" wrapText="1"/>
    </xf>
    <xf numFmtId="0" fontId="28" fillId="12" borderId="11" xfId="21" applyFont="1" applyFill="1" applyBorder="1" applyAlignment="1">
      <alignment horizontal="center" vertical="center" wrapText="1"/>
    </xf>
    <xf numFmtId="0" fontId="0" fillId="0" borderId="43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0" fillId="15" borderId="28" xfId="19" applyFont="1" applyBorder="1" applyAlignment="1">
      <alignment horizontal="center" vertical="center"/>
    </xf>
    <xf numFmtId="0" fontId="0" fillId="0" borderId="45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7" fillId="20" borderId="2" xfId="0" applyFont="1" applyFill="1" applyBorder="1" applyAlignment="1">
      <alignment horizontal="center" vertical="center"/>
    </xf>
    <xf numFmtId="0" fontId="27" fillId="20" borderId="0" xfId="0" applyFont="1" applyFill="1" applyBorder="1" applyAlignment="1">
      <alignment horizontal="center" vertical="center"/>
    </xf>
    <xf numFmtId="0" fontId="27" fillId="12" borderId="2" xfId="0" applyFont="1" applyFill="1" applyBorder="1" applyAlignment="1">
      <alignment horizontal="center" vertical="center"/>
    </xf>
    <xf numFmtId="0" fontId="27" fillId="12" borderId="0" xfId="0" applyFont="1" applyFill="1" applyBorder="1" applyAlignment="1">
      <alignment horizontal="center" vertical="center"/>
    </xf>
    <xf numFmtId="0" fontId="27" fillId="11" borderId="0" xfId="0" applyFont="1" applyFill="1" applyBorder="1" applyAlignment="1">
      <alignment horizontal="center" vertical="center"/>
    </xf>
    <xf numFmtId="0" fontId="29" fillId="23" borderId="12" xfId="21" applyFont="1" applyFill="1" applyBorder="1" applyAlignment="1">
      <alignment horizontal="center" vertical="center" wrapText="1"/>
    </xf>
    <xf numFmtId="0" fontId="29" fillId="23" borderId="11" xfId="21" applyFont="1" applyFill="1" applyBorder="1" applyAlignment="1">
      <alignment horizontal="center" vertical="center" wrapText="1"/>
    </xf>
    <xf numFmtId="0" fontId="29" fillId="23" borderId="23" xfId="21" applyFont="1" applyFill="1" applyBorder="1" applyAlignment="1">
      <alignment horizontal="center" vertical="center" wrapText="1"/>
    </xf>
    <xf numFmtId="0" fontId="0" fillId="21" borderId="12" xfId="23" applyFont="1" applyFill="1" applyBorder="1" applyAlignment="1">
      <alignment horizontal="center" vertical="center"/>
    </xf>
    <xf numFmtId="0" fontId="1" fillId="21" borderId="11" xfId="23" applyFill="1" applyBorder="1" applyAlignment="1">
      <alignment horizontal="center" vertical="center"/>
    </xf>
    <xf numFmtId="0" fontId="1" fillId="21" borderId="23" xfId="23" applyFill="1" applyBorder="1" applyAlignment="1">
      <alignment horizontal="center" vertical="center"/>
    </xf>
    <xf numFmtId="0" fontId="28" fillId="24" borderId="12" xfId="21" applyFont="1" applyFill="1" applyBorder="1" applyAlignment="1">
      <alignment horizontal="center" vertical="center" wrapText="1"/>
    </xf>
    <xf numFmtId="0" fontId="28" fillId="24" borderId="11" xfId="21" applyFont="1" applyFill="1" applyBorder="1" applyAlignment="1">
      <alignment horizontal="center" vertical="center" wrapText="1"/>
    </xf>
    <xf numFmtId="0" fontId="1" fillId="22" borderId="12" xfId="22" applyFill="1" applyBorder="1" applyAlignment="1">
      <alignment horizontal="center" vertical="center"/>
    </xf>
    <xf numFmtId="0" fontId="1" fillId="22" borderId="11" xfId="22" applyFill="1" applyBorder="1" applyAlignment="1">
      <alignment horizontal="center" vertical="center"/>
    </xf>
    <xf numFmtId="0" fontId="1" fillId="22" borderId="23" xfId="22" applyFill="1" applyBorder="1" applyAlignment="1">
      <alignment horizontal="center" vertical="center"/>
    </xf>
    <xf numFmtId="0" fontId="1" fillId="21" borderId="12" xfId="23" applyFill="1" applyBorder="1" applyAlignment="1">
      <alignment horizontal="center" vertical="center"/>
    </xf>
    <xf numFmtId="0" fontId="29" fillId="23" borderId="12" xfId="21" applyFont="1" applyFill="1" applyBorder="1" applyAlignment="1">
      <alignment horizontal="center" vertical="center"/>
    </xf>
    <xf numFmtId="0" fontId="29" fillId="23" borderId="11" xfId="21" applyFont="1" applyFill="1" applyBorder="1" applyAlignment="1">
      <alignment horizontal="center" vertical="center"/>
    </xf>
    <xf numFmtId="0" fontId="29" fillId="23" borderId="23" xfId="21" applyFont="1" applyFill="1" applyBorder="1" applyAlignment="1">
      <alignment horizontal="center" vertical="center"/>
    </xf>
    <xf numFmtId="9" fontId="0" fillId="0" borderId="16" xfId="0" applyNumberFormat="1" applyFont="1" applyBorder="1" applyAlignment="1">
      <alignment horizontal="center" wrapText="1"/>
    </xf>
    <xf numFmtId="0" fontId="0" fillId="0" borderId="16" xfId="0" applyFont="1" applyBorder="1" applyAlignment="1">
      <alignment horizontal="center" wrapText="1"/>
    </xf>
    <xf numFmtId="0" fontId="2" fillId="0" borderId="27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</cellXfs>
  <cellStyles count="27">
    <cellStyle name="_x0013_" xfId="25" xr:uid="{00000000-0005-0000-0000-000000000000}"/>
    <cellStyle name="20% - Accent1" xfId="16" builtinId="30"/>
    <cellStyle name="20% - Accent2" xfId="18" builtinId="34"/>
    <cellStyle name="20% - Accent3" xfId="22" builtinId="38"/>
    <cellStyle name="40% - Accent2" xfId="19" builtinId="35"/>
    <cellStyle name="40% - Accent3" xfId="23" builtinId="39"/>
    <cellStyle name="60% - Accent2" xfId="20" builtinId="36"/>
    <cellStyle name="Accent3" xfId="21" builtinId="37"/>
    <cellStyle name="Calculation" xfId="8" builtinId="22"/>
    <cellStyle name="Comma" xfId="1" builtinId="3"/>
    <cellStyle name="Currency" xfId="2" builtinId="4"/>
    <cellStyle name="Heading 3" xfId="13" builtinId="18"/>
    <cellStyle name="Heading 4" xfId="14" builtinId="19"/>
    <cellStyle name="Hyperlink" xfId="5" builtinId="8"/>
    <cellStyle name="Hyperlink 2" xfId="7" xr:uid="{00000000-0005-0000-0000-00000C000000}"/>
    <cellStyle name="Input" xfId="4" builtinId="20"/>
    <cellStyle name="Komma 2" xfId="10" xr:uid="{00000000-0005-0000-0000-00000E000000}"/>
    <cellStyle name="Normal" xfId="0" builtinId="0"/>
    <cellStyle name="Normal 2" xfId="26" xr:uid="{00000000-0005-0000-0000-000010000000}"/>
    <cellStyle name="Output" xfId="17" builtinId="21"/>
    <cellStyle name="Percent" xfId="3" builtinId="5"/>
    <cellStyle name="Prozent 2" xfId="11" xr:uid="{00000000-0005-0000-0000-000012000000}"/>
    <cellStyle name="Standard 2" xfId="6" xr:uid="{00000000-0005-0000-0000-000014000000}"/>
    <cellStyle name="Standard 3" xfId="9" xr:uid="{00000000-0005-0000-0000-000015000000}"/>
    <cellStyle name="Standard 4" xfId="24" xr:uid="{00000000-0005-0000-0000-000016000000}"/>
    <cellStyle name="Title" xfId="12" builtinId="15"/>
    <cellStyle name="Total" xfId="15" builtinId="25"/>
  </cellStyles>
  <dxfs count="37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</dxf>
    <dxf>
      <font>
        <color theme="4" tint="0.79998168889431442"/>
      </font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border outline="0">
        <bottom style="double">
          <color theme="4"/>
        </bottom>
      </border>
    </dxf>
    <dxf>
      <border outline="0">
        <bottom style="medium">
          <color theme="4" tint="0.3999755851924192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</dxf>
    <dxf>
      <border outline="0">
        <bottom style="double">
          <color theme="4"/>
        </bottom>
      </border>
    </dxf>
    <dxf>
      <numFmt numFmtId="168" formatCode="_(* #,##0_);_(* \(#,##0\);_(* &quot;-&quot;??_);_(@_)"/>
      <fill>
        <patternFill patternType="solid">
          <fgColor indexed="64"/>
          <bgColor theme="4" tint="0.79998168889431442"/>
        </patternFill>
      </fill>
    </dxf>
    <dxf>
      <numFmt numFmtId="166" formatCode="_-* #,##0\ [$€-407]_-;\-* #,##0\ [$€-407]_-;_-* &quot;-&quot;??\ [$€-407]_-;_-@_-"/>
    </dxf>
    <dxf>
      <numFmt numFmtId="166" formatCode="_-* #,##0\ [$€-407]_-;\-* #,##0\ [$€-407]_-;_-* &quot;-&quot;??\ [$€-407]_-;_-@_-"/>
      <fill>
        <patternFill patternType="solid">
          <fgColor indexed="64"/>
          <bgColor theme="4" tint="0.79998168889431442"/>
        </patternFill>
      </fill>
    </dxf>
    <dxf>
      <numFmt numFmtId="166" formatCode="_-* #,##0\ [$€-407]_-;\-* #,##0\ [$€-407]_-;_-* &quot;-&quot;??\ [$€-407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Calibri"/>
        <scheme val="minor"/>
      </font>
      <numFmt numFmtId="166" formatCode="_-* #,##0\ [$€-407]_-;\-* #,##0\ [$€-407]_-;_-* &quot;-&quot;??\ [$€-407]_-;_-@_-"/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1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1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_rels/chart1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1.xml"/></Relationships>
</file>

<file path=xl/charts/_rels/chart2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3.xml"/></Relationships>
</file>

<file path=xl/charts/_rels/chart28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7.xml"/></Relationships>
</file>

<file path=xl/charts/_rels/chart29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8.xml"/></Relationships>
</file>

<file path=xl/charts/_rels/chart3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0.xml"/></Relationships>
</file>

<file path=xl/charts/_rels/chart3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31651034801463"/>
          <c:y val="3.0450552938038548E-2"/>
          <c:w val="0.8836834896519854"/>
          <c:h val="0.79658611563046888"/>
        </c:manualLayout>
      </c:layout>
      <c:lineChart>
        <c:grouping val="standard"/>
        <c:varyColors val="0"/>
        <c:ser>
          <c:idx val="0"/>
          <c:order val="0"/>
          <c:tx>
            <c:strRef>
              <c:f>Sensitivitätsanalyse!$K$3</c:f>
              <c:strCache>
                <c:ptCount val="1"/>
                <c:pt idx="0">
                  <c:v>ICE</c:v>
                </c:pt>
              </c:strCache>
            </c:strRef>
          </c:tx>
          <c:dLbls>
            <c:dLbl>
              <c:idx val="0"/>
              <c:layout>
                <c:manualLayout>
                  <c:x val="-4.0258141753055074E-2"/>
                  <c:y val="0.1170029586747703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95A1-214E-ABC9-782F8C30A13A}"/>
                </c:ext>
              </c:extLst>
            </c:dLbl>
            <c:dLbl>
              <c:idx val="1"/>
              <c:layout>
                <c:manualLayout>
                  <c:x val="-4.0692292441560973E-2"/>
                  <c:y val="9.482692011351676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5A1-214E-ABC9-782F8C30A13A}"/>
                </c:ext>
              </c:extLst>
            </c:dLbl>
            <c:dLbl>
              <c:idx val="4"/>
              <c:spPr>
                <a:noFill/>
              </c:spPr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5A1-214E-ABC9-782F8C30A13A}"/>
                </c:ext>
              </c:extLst>
            </c:dLbl>
            <c:dLbl>
              <c:idx val="5"/>
              <c:spPr>
                <a:noFill/>
              </c:spPr>
              <c:txPr>
                <a:bodyPr/>
                <a:lstStyle/>
                <a:p>
                  <a:pPr>
                    <a:defRPr b="0">
                      <a:solidFill>
                        <a:schemeClr val="tx2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5A1-214E-ABC9-782F8C30A13A}"/>
                </c:ext>
              </c:extLst>
            </c:dLbl>
            <c:spPr>
              <a:noFill/>
            </c:spPr>
            <c:txPr>
              <a:bodyPr/>
              <a:lstStyle/>
              <a:p>
                <a:pPr>
                  <a:defRPr>
                    <a:solidFill>
                      <a:schemeClr val="tx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Sensitivitätsanalyse!$J$6:$J$16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Sensitivitätsanalyse!$K$6:$K$16</c:f>
              <c:numCache>
                <c:formatCode>_-* #,##0\ [$€-407]_-;\-* #,##0\ [$€-407]_-;_-* "-"??\ [$€-407]_-;_-@_-</c:formatCode>
                <c:ptCount val="11"/>
                <c:pt idx="0">
                  <c:v>7042.1858872604726</c:v>
                </c:pt>
                <c:pt idx="1">
                  <c:v>6227.4915871179028</c:v>
                </c:pt>
                <c:pt idx="2">
                  <c:v>5794.6753688865283</c:v>
                </c:pt>
                <c:pt idx="3">
                  <c:v>5516.7120631328862</c:v>
                </c:pt>
                <c:pt idx="4">
                  <c:v>5317.7815017236453</c:v>
                </c:pt>
                <c:pt idx="5">
                  <c:v>5165.2665681170784</c:v>
                </c:pt>
                <c:pt idx="6">
                  <c:v>5042.7568128616567</c:v>
                </c:pt>
                <c:pt idx="7">
                  <c:v>4941.0281315783413</c:v>
                </c:pt>
                <c:pt idx="8">
                  <c:v>4854.4970080596268</c:v>
                </c:pt>
                <c:pt idx="9">
                  <c:v>4779.5523015420304</c:v>
                </c:pt>
                <c:pt idx="10">
                  <c:v>4713.7381824736703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A1-214E-ABC9-782F8C30A13A}"/>
            </c:ext>
          </c:extLst>
        </c:ser>
        <c:ser>
          <c:idx val="1"/>
          <c:order val="1"/>
          <c:tx>
            <c:strRef>
              <c:f>Sensitivitätsanalyse!$L$3</c:f>
              <c:strCache>
                <c:ptCount val="1"/>
                <c:pt idx="0">
                  <c:v>BEV</c:v>
                </c:pt>
              </c:strCache>
            </c:strRef>
          </c:tx>
          <c:dLbls>
            <c:dLbl>
              <c:idx val="0"/>
              <c:layout>
                <c:manualLayout>
                  <c:x val="-7.7092862562684378E-4"/>
                  <c:y val="-1.09513729704906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5A1-214E-ABC9-782F8C30A13A}"/>
                </c:ext>
              </c:extLst>
            </c:dLbl>
            <c:dLbl>
              <c:idx val="1"/>
              <c:layout>
                <c:manualLayout>
                  <c:x val="-1.9107315900340673E-2"/>
                  <c:y val="-8.373934798143675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95A1-214E-ABC9-782F8C30A13A}"/>
                </c:ext>
              </c:extLst>
            </c:dLbl>
            <c:dLbl>
              <c:idx val="2"/>
              <c:layout>
                <c:manualLayout>
                  <c:x val="-2.2739685589974912E-2"/>
                  <c:y val="-8.16391743711593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95A1-214E-ABC9-782F8C30A13A}"/>
                </c:ext>
              </c:extLst>
            </c:dLbl>
            <c:dLbl>
              <c:idx val="4"/>
              <c:spPr>
                <a:noFill/>
              </c:spPr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95A1-214E-ABC9-782F8C30A13A}"/>
                </c:ext>
              </c:extLst>
            </c:dLbl>
            <c:spPr>
              <a:noFill/>
            </c:spPr>
            <c:txPr>
              <a:bodyPr/>
              <a:lstStyle/>
              <a:p>
                <a:pPr>
                  <a:defRPr b="0"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Sensitivitätsanalyse!$J$6:$J$16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Sensitivitätsanalyse!$L$6:$L$16</c:f>
              <c:numCache>
                <c:formatCode>_-* #,##0\ [$€-407]_-;\-* #,##0\ [$€-407]_-;_-* "-"??\ [$€-407]_-;_-@_-</c:formatCode>
                <c:ptCount val="11"/>
                <c:pt idx="0">
                  <c:v>13046.67807248739</c:v>
                </c:pt>
                <c:pt idx="1">
                  <c:v>10319.865681729359</c:v>
                </c:pt>
                <c:pt idx="2">
                  <c:v>8901.9928693909478</c:v>
                </c:pt>
                <c:pt idx="3">
                  <c:v>8013.5667539777423</c:v>
                </c:pt>
                <c:pt idx="4">
                  <c:v>7394.1500196774423</c:v>
                </c:pt>
                <c:pt idx="5">
                  <c:v>6931.6694710453712</c:v>
                </c:pt>
                <c:pt idx="6">
                  <c:v>6569.7372758144429</c:v>
                </c:pt>
                <c:pt idx="7">
                  <c:v>6276.7297526128432</c:v>
                </c:pt>
                <c:pt idx="8">
                  <c:v>6033.4777578696294</c:v>
                </c:pt>
                <c:pt idx="9">
                  <c:v>5827.6106826614114</c:v>
                </c:pt>
                <c:pt idx="10">
                  <c:v>5650.7432868625137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5A1-214E-ABC9-782F8C30A1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454000"/>
        <c:axId val="276454392"/>
      </c:lineChart>
      <c:catAx>
        <c:axId val="276454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Haltedauer (Jahre)</a:t>
                </a:r>
              </a:p>
            </c:rich>
          </c:tx>
          <c:layout>
            <c:manualLayout>
              <c:xMode val="edge"/>
              <c:yMode val="edge"/>
              <c:x val="0.86259416237909303"/>
              <c:y val="0.9196477330915506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276454392"/>
        <c:crosses val="autoZero"/>
        <c:auto val="1"/>
        <c:lblAlgn val="ctr"/>
        <c:lblOffset val="100"/>
        <c:noMultiLvlLbl val="0"/>
      </c:catAx>
      <c:valAx>
        <c:axId val="276454392"/>
        <c:scaling>
          <c:orientation val="minMax"/>
          <c:max val="150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TCO in €/Jahr</a:t>
                </a:r>
              </a:p>
            </c:rich>
          </c:tx>
          <c:layout>
            <c:manualLayout>
              <c:xMode val="edge"/>
              <c:yMode val="edge"/>
              <c:x val="0"/>
              <c:y val="0.32437052632681773"/>
            </c:manualLayout>
          </c:layout>
          <c:overlay val="0"/>
        </c:title>
        <c:numFmt formatCode="_-* #,##0\ [$€-407]_-;\-* #,##0\ [$€-407]_-;_-* &quot;-&quot;??\ [$€-407]_-;_-@_-" sourceLinked="1"/>
        <c:majorTickMark val="out"/>
        <c:minorTickMark val="none"/>
        <c:tickLblPos val="nextTo"/>
        <c:crossAx val="276454000"/>
        <c:crosses val="autoZero"/>
        <c:crossBetween val="between"/>
        <c:majorUnit val="3000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tx2">
                    <a:lumMod val="50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783551648410862"/>
          <c:y val="0"/>
          <c:w val="0.2145887516754702"/>
          <c:h val="8.7286637683601495E-2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txPr>
    <a:bodyPr/>
    <a:lstStyle/>
    <a:p>
      <a:pPr>
        <a:defRPr sz="900"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13349419489199"/>
          <c:y val="6.521303779758808E-2"/>
          <c:w val="0.87866505805108008"/>
          <c:h val="0.81700926150750985"/>
        </c:manualLayout>
      </c:layout>
      <c:lineChart>
        <c:grouping val="standard"/>
        <c:varyColors val="0"/>
        <c:ser>
          <c:idx val="1"/>
          <c:order val="0"/>
          <c:tx>
            <c:strRef>
              <c:f>Sensitivitätsanalyse!$K$24</c:f>
              <c:strCache>
                <c:ptCount val="1"/>
                <c:pt idx="0">
                  <c:v>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diamond"/>
            <c:size val="7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2"/>
              <c:spPr/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2955-4243-84BB-9A6FFC7F4D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tx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Sensitivitätsanalyse!$J$26:$J$32</c:f>
              <c:numCache>
                <c:formatCode>General</c:formatCode>
                <c:ptCount val="7"/>
                <c:pt idx="0">
                  <c:v>10000</c:v>
                </c:pt>
                <c:pt idx="1">
                  <c:v>12500</c:v>
                </c:pt>
                <c:pt idx="2">
                  <c:v>15000</c:v>
                </c:pt>
                <c:pt idx="3">
                  <c:v>17500</c:v>
                </c:pt>
                <c:pt idx="4">
                  <c:v>20000</c:v>
                </c:pt>
                <c:pt idx="5">
                  <c:v>22500</c:v>
                </c:pt>
                <c:pt idx="6">
                  <c:v>25000</c:v>
                </c:pt>
              </c:numCache>
            </c:numRef>
          </c:cat>
          <c:val>
            <c:numRef>
              <c:f>Sensitivitätsanalyse!$K$26:$K$32</c:f>
              <c:numCache>
                <c:formatCode>_-* #,##0\ [$€-407]_-;\-* #,##0\ [$€-407]_-;_-* "-"??\ [$€-407]_-;_-@_-</c:formatCode>
                <c:ptCount val="7"/>
                <c:pt idx="0">
                  <c:v>4778.1560302615699</c:v>
                </c:pt>
                <c:pt idx="1">
                  <c:v>5047.9687659926067</c:v>
                </c:pt>
                <c:pt idx="2">
                  <c:v>5317.7815017236453</c:v>
                </c:pt>
                <c:pt idx="3">
                  <c:v>5587.594237454683</c:v>
                </c:pt>
                <c:pt idx="4">
                  <c:v>5857.4069731857207</c:v>
                </c:pt>
                <c:pt idx="5">
                  <c:v>6127.2197089167576</c:v>
                </c:pt>
                <c:pt idx="6">
                  <c:v>6397.0324446477944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55-4243-84BB-9A6FFC7F4D39}"/>
            </c:ext>
          </c:extLst>
        </c:ser>
        <c:ser>
          <c:idx val="2"/>
          <c:order val="1"/>
          <c:tx>
            <c:strRef>
              <c:f>Sensitivitätsanalyse!$L$24</c:f>
              <c:strCache>
                <c:ptCount val="1"/>
                <c:pt idx="0">
                  <c:v>BEV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tar"/>
            <c:size val="7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2"/>
              <c:spPr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2955-4243-84BB-9A6FFC7F4D3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Sensitivitätsanalyse!$J$26:$J$32</c:f>
              <c:numCache>
                <c:formatCode>General</c:formatCode>
                <c:ptCount val="7"/>
                <c:pt idx="0">
                  <c:v>10000</c:v>
                </c:pt>
                <c:pt idx="1">
                  <c:v>12500</c:v>
                </c:pt>
                <c:pt idx="2">
                  <c:v>15000</c:v>
                </c:pt>
                <c:pt idx="3">
                  <c:v>17500</c:v>
                </c:pt>
                <c:pt idx="4">
                  <c:v>20000</c:v>
                </c:pt>
                <c:pt idx="5">
                  <c:v>22500</c:v>
                </c:pt>
                <c:pt idx="6">
                  <c:v>25000</c:v>
                </c:pt>
              </c:numCache>
            </c:numRef>
          </c:cat>
          <c:val>
            <c:numRef>
              <c:f>Sensitivitätsanalyse!$L$26:$L$32</c:f>
              <c:numCache>
                <c:formatCode>_-* #,##0\ [$€-407]_-;\-* #,##0\ [$€-407]_-;_-* "-"??\ [$€-407]_-;_-@_-</c:formatCode>
                <c:ptCount val="7"/>
                <c:pt idx="0">
                  <c:v>7150.5363219939609</c:v>
                </c:pt>
                <c:pt idx="1">
                  <c:v>7272.3431708357011</c:v>
                </c:pt>
                <c:pt idx="2">
                  <c:v>7394.1500196774423</c:v>
                </c:pt>
                <c:pt idx="3">
                  <c:v>7515.9568685191834</c:v>
                </c:pt>
                <c:pt idx="4">
                  <c:v>7637.7637173609228</c:v>
                </c:pt>
                <c:pt idx="5">
                  <c:v>7759.570566202663</c:v>
                </c:pt>
                <c:pt idx="6">
                  <c:v>7881.3774150444051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55-4243-84BB-9A6FFC7F4D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29832"/>
        <c:axId val="373129440"/>
      </c:lineChart>
      <c:catAx>
        <c:axId val="373129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algn="r">
                  <a:defRPr b="0"/>
                </a:pPr>
                <a:r>
                  <a:rPr lang="en-US" b="0"/>
                  <a:t>Fahrleistung (km/Jahr)</a:t>
                </a:r>
              </a:p>
            </c:rich>
          </c:tx>
          <c:layout>
            <c:manualLayout>
              <c:xMode val="edge"/>
              <c:yMode val="edge"/>
              <c:x val="0.81671364212581532"/>
              <c:y val="0.78734191265739362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3129440"/>
        <c:crosses val="autoZero"/>
        <c:auto val="1"/>
        <c:lblAlgn val="ctr"/>
        <c:lblOffset val="100"/>
        <c:noMultiLvlLbl val="0"/>
      </c:catAx>
      <c:valAx>
        <c:axId val="373129440"/>
        <c:scaling>
          <c:orientation val="minMax"/>
          <c:max val="100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TCO in €/Jahr</a:t>
                </a:r>
              </a:p>
            </c:rich>
          </c:tx>
          <c:layout>
            <c:manualLayout>
              <c:xMode val="edge"/>
              <c:yMode val="edge"/>
              <c:x val="1.8779339946125475E-3"/>
              <c:y val="0.30177945818446705"/>
            </c:manualLayout>
          </c:layout>
          <c:overlay val="0"/>
        </c:title>
        <c:numFmt formatCode="_-* #,##0\ [$€-407]_-;\-* #,##0\ [$€-407]_-;_-* &quot;-&quot;??\ [$€-407]_-;_-@_-" sourceLinked="1"/>
        <c:majorTickMark val="out"/>
        <c:minorTickMark val="none"/>
        <c:tickLblPos val="nextTo"/>
        <c:crossAx val="373129832"/>
        <c:crosses val="autoZero"/>
        <c:crossBetween val="between"/>
        <c:majorUnit val="2000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tx2">
                    <a:lumMod val="50000"/>
                  </a:schemeClr>
                </a:solidFill>
              </a:defRPr>
            </a:pPr>
            <a:endParaRPr lang="en-US"/>
          </a:p>
        </c:txPr>
      </c:legendEntry>
      <c:legendEntry>
        <c:idx val="1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3214572608526692"/>
          <c:y val="1.7868118908043983E-2"/>
          <c:w val="0.18215974534623558"/>
          <c:h val="8.907974608900758E-2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732536352663946"/>
          <c:y val="7.6305977216765436E-2"/>
          <c:w val="0.88267463647336053"/>
          <c:h val="0.78588197093919965"/>
        </c:manualLayout>
      </c:layout>
      <c:lineChart>
        <c:grouping val="standard"/>
        <c:varyColors val="0"/>
        <c:ser>
          <c:idx val="1"/>
          <c:order val="0"/>
          <c:tx>
            <c:strRef>
              <c:f>Sensitivitätsanalyse!$K$40</c:f>
              <c:strCache>
                <c:ptCount val="1"/>
                <c:pt idx="0">
                  <c:v>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50000"/>
                        </a:schemeClr>
                      </a:solidFill>
                    </a:defRPr>
                  </a:pPr>
                  <a:endParaRPr lang="en-US"/>
                </a:p>
              </c:txPr>
              <c:dLblPos val="b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0-3520-3E45-8C25-824E9B6DA4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tx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Sensitivitätsanalyse!$J$42:$J$49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Sensitivitätsanalyse!$K$42:$K$49</c:f>
              <c:numCache>
                <c:formatCode>_-* #,##0\ [$€-407]_-;\-* #,##0\ [$€-407]_-;_-* "-"??\ [$€-407]_-;_-@_-</c:formatCode>
                <c:ptCount val="8"/>
                <c:pt idx="0">
                  <c:v>5317.7815017236453</c:v>
                </c:pt>
                <c:pt idx="1">
                  <c:v>5335.9357958114933</c:v>
                </c:pt>
                <c:pt idx="2">
                  <c:v>5321.4019691224166</c:v>
                </c:pt>
                <c:pt idx="3">
                  <c:v>5307.1943780447082</c:v>
                </c:pt>
                <c:pt idx="4">
                  <c:v>5293.549246063375</c:v>
                </c:pt>
                <c:pt idx="5">
                  <c:v>5280.613857526012</c:v>
                </c:pt>
                <c:pt idx="6">
                  <c:v>5268.48429203658</c:v>
                </c:pt>
                <c:pt idx="7">
                  <c:v>5219.7666499435136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20-3E45-8C25-824E9B6DA467}"/>
            </c:ext>
          </c:extLst>
        </c:ser>
        <c:ser>
          <c:idx val="2"/>
          <c:order val="1"/>
          <c:tx>
            <c:strRef>
              <c:f>Sensitivitätsanalyse!$L$40</c:f>
              <c:strCache>
                <c:ptCount val="1"/>
                <c:pt idx="0">
                  <c:v>BEV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3520-3E45-8C25-824E9B6DA46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Sensitivitätsanalyse!$J$42:$J$49</c:f>
              <c:numCache>
                <c:formatCode>General</c:formatCode>
                <c:ptCount val="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</c:numCache>
            </c:numRef>
          </c:cat>
          <c:val>
            <c:numRef>
              <c:f>Sensitivitätsanalyse!$L$42:$L$49</c:f>
              <c:numCache>
                <c:formatCode>_-* #,##0\ [$€-407]_-;\-* #,##0\ [$€-407]_-;_-* "-"??\ [$€-407]_-;_-@_-</c:formatCode>
                <c:ptCount val="8"/>
                <c:pt idx="0">
                  <c:v>7394.1500196774423</c:v>
                </c:pt>
                <c:pt idx="1">
                  <c:v>7203.5325414956087</c:v>
                </c:pt>
                <c:pt idx="2">
                  <c:v>7016.6483137051937</c:v>
                </c:pt>
                <c:pt idx="3">
                  <c:v>6700.9292772730441</c:v>
                </c:pt>
                <c:pt idx="4">
                  <c:v>6415.1029916710759</c:v>
                </c:pt>
                <c:pt idx="5">
                  <c:v>6155.1340781562731</c:v>
                </c:pt>
                <c:pt idx="6">
                  <c:v>5917.4837028125921</c:v>
                </c:pt>
                <c:pt idx="7">
                  <c:v>5689.9555990737936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520-3E45-8C25-824E9B6DA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128656"/>
        <c:axId val="373129048"/>
      </c:lineChart>
      <c:catAx>
        <c:axId val="3731286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Erstzulassung</a:t>
                </a:r>
              </a:p>
            </c:rich>
          </c:tx>
          <c:layout>
            <c:manualLayout>
              <c:xMode val="edge"/>
              <c:yMode val="edge"/>
              <c:x val="0.89971362338831751"/>
              <c:y val="0.75804096652866848"/>
            </c:manualLayout>
          </c:layout>
          <c:overlay val="0"/>
          <c:spPr>
            <a:noFill/>
          </c:spPr>
        </c:title>
        <c:numFmt formatCode="General" sourceLinked="1"/>
        <c:majorTickMark val="out"/>
        <c:minorTickMark val="none"/>
        <c:tickLblPos val="nextTo"/>
        <c:crossAx val="373129048"/>
        <c:crosses val="autoZero"/>
        <c:auto val="1"/>
        <c:lblAlgn val="ctr"/>
        <c:lblOffset val="100"/>
        <c:noMultiLvlLbl val="0"/>
      </c:catAx>
      <c:valAx>
        <c:axId val="373129048"/>
        <c:scaling>
          <c:orientation val="minMax"/>
          <c:max val="100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TCO in €/Jahr</a:t>
                </a:r>
              </a:p>
            </c:rich>
          </c:tx>
          <c:layout>
            <c:manualLayout>
              <c:xMode val="edge"/>
              <c:yMode val="edge"/>
              <c:x val="1.9464720194647203E-3"/>
              <c:y val="0.26118840815001215"/>
            </c:manualLayout>
          </c:layout>
          <c:overlay val="0"/>
        </c:title>
        <c:numFmt formatCode="_-* #,##0\ [$€-407]_-;\-* #,##0\ [$€-407]_-;_-* &quot;-&quot;??\ [$€-407]_-;_-@_-" sourceLinked="1"/>
        <c:majorTickMark val="out"/>
        <c:minorTickMark val="none"/>
        <c:tickLblPos val="nextTo"/>
        <c:crossAx val="373128656"/>
        <c:crosses val="autoZero"/>
        <c:crossBetween val="between"/>
        <c:majorUnit val="2000"/>
      </c:valAx>
      <c:spPr>
        <a:noFill/>
      </c:spPr>
    </c:plotArea>
    <c:legend>
      <c:legendPos val="r"/>
      <c:layout>
        <c:manualLayout>
          <c:xMode val="edge"/>
          <c:yMode val="edge"/>
          <c:x val="0.79397652088679238"/>
          <c:y val="0"/>
          <c:w val="0.20602347911320759"/>
          <c:h val="0.138596747571502"/>
        </c:manualLayout>
      </c:layout>
      <c:overlay val="0"/>
      <c:spPr>
        <a:solidFill>
          <a:schemeClr val="bg1"/>
        </a:solidFill>
      </c:spPr>
    </c:legend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738964910939532"/>
          <c:y val="7.0007937907920273E-2"/>
          <c:w val="0.80988649305635008"/>
          <c:h val="0.8141717715165413"/>
        </c:manualLayout>
      </c:layout>
      <c:lineChart>
        <c:grouping val="standard"/>
        <c:varyColors val="0"/>
        <c:ser>
          <c:idx val="0"/>
          <c:order val="0"/>
          <c:tx>
            <c:strRef>
              <c:f>Sensitivitätsanalyse!$R$78</c:f>
              <c:strCache>
                <c:ptCount val="1"/>
                <c:pt idx="0">
                  <c:v>ICE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C7AE-AF4A-8CC4-A5AC6EFBC3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7AE-AF4A-8CC4-A5AC6EFBC3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7AE-AF4A-8CC4-A5AC6EFBC3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7AE-AF4A-8CC4-A5AC6EFBC3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C7AE-AF4A-8CC4-A5AC6EFBC32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7AE-AF4A-8CC4-A5AC6EFBC32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C7AE-AF4A-8CC4-A5AC6EFBC32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7AE-AF4A-8CC4-A5AC6EFBC32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7AE-AF4A-8CC4-A5AC6EFBC3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7AE-AF4A-8CC4-A5AC6EFBC32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7AE-AF4A-8CC4-A5AC6EFBC32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7AE-AF4A-8CC4-A5AC6EFBC3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tx2">
                        <a:lumMod val="75000"/>
                      </a:schemeClr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Sensitivitätsanalyse!$Q$79:$Q$91</c:f>
              <c:numCache>
                <c:formatCode>_(* #,##0_);_(* \(#,##0\);_(* "-"??_);_(@_)</c:formatCode>
                <c:ptCount val="13"/>
                <c:pt idx="0" formatCode="General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75000</c:v>
                </c:pt>
                <c:pt idx="6">
                  <c:v>90000</c:v>
                </c:pt>
                <c:pt idx="7">
                  <c:v>105000</c:v>
                </c:pt>
                <c:pt idx="8">
                  <c:v>120000</c:v>
                </c:pt>
                <c:pt idx="9">
                  <c:v>135000</c:v>
                </c:pt>
                <c:pt idx="10">
                  <c:v>150000</c:v>
                </c:pt>
                <c:pt idx="11">
                  <c:v>165000</c:v>
                </c:pt>
                <c:pt idx="12">
                  <c:v>180000</c:v>
                </c:pt>
              </c:numCache>
            </c:numRef>
          </c:cat>
          <c:val>
            <c:numRef>
              <c:f>Sensitivitätsanalyse!$R$79:$R$91</c:f>
              <c:numCache>
                <c:formatCode>_(* #,##0.00_);_(* \(#,##0.00\);_(* "-"??_);_(@_)</c:formatCode>
                <c:ptCount val="13"/>
                <c:pt idx="0">
                  <c:v>5.0225000000000009</c:v>
                </c:pt>
                <c:pt idx="1">
                  <c:v>7.7894286416830916</c:v>
                </c:pt>
                <c:pt idx="2">
                  <c:v>10.556357283366182</c:v>
                </c:pt>
                <c:pt idx="3">
                  <c:v>13.323285925049275</c:v>
                </c:pt>
                <c:pt idx="4">
                  <c:v>16.090214566732364</c:v>
                </c:pt>
                <c:pt idx="5">
                  <c:v>18.857143208415458</c:v>
                </c:pt>
                <c:pt idx="6">
                  <c:v>21.624071850098549</c:v>
                </c:pt>
                <c:pt idx="7">
                  <c:v>24.391000491781639</c:v>
                </c:pt>
                <c:pt idx="8">
                  <c:v>27.15792913346473</c:v>
                </c:pt>
                <c:pt idx="9">
                  <c:v>29.924857775147821</c:v>
                </c:pt>
                <c:pt idx="10">
                  <c:v>32.691786416830908</c:v>
                </c:pt>
                <c:pt idx="11">
                  <c:v>35.458715058514002</c:v>
                </c:pt>
                <c:pt idx="12">
                  <c:v>38.225643700197097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7AE-AF4A-8CC4-A5AC6EFBC329}"/>
            </c:ext>
          </c:extLst>
        </c:ser>
        <c:ser>
          <c:idx val="2"/>
          <c:order val="1"/>
          <c:tx>
            <c:strRef>
              <c:f>Sensitivitätsanalyse!$S$78</c:f>
              <c:strCache>
                <c:ptCount val="1"/>
                <c:pt idx="0">
                  <c:v>BEV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C7AE-AF4A-8CC4-A5AC6EFBC3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C7AE-AF4A-8CC4-A5AC6EFBC3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7AE-AF4A-8CC4-A5AC6EFBC3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7AE-AF4A-8CC4-A5AC6EFBC3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7AE-AF4A-8CC4-A5AC6EFBC32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7AE-AF4A-8CC4-A5AC6EFBC32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7AE-AF4A-8CC4-A5AC6EFBC32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C7AE-AF4A-8CC4-A5AC6EFBC32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7AE-AF4A-8CC4-A5AC6EFBC3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C7AE-AF4A-8CC4-A5AC6EFBC32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7AE-AF4A-8CC4-A5AC6EFBC32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8-C7AE-AF4A-8CC4-A5AC6EFBC3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accent2"/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Sensitivitätsanalyse!$Q$79:$Q$91</c:f>
              <c:numCache>
                <c:formatCode>_(* #,##0_);_(* \(#,##0\);_(* "-"??_);_(@_)</c:formatCode>
                <c:ptCount val="13"/>
                <c:pt idx="0" formatCode="General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75000</c:v>
                </c:pt>
                <c:pt idx="6">
                  <c:v>90000</c:v>
                </c:pt>
                <c:pt idx="7">
                  <c:v>105000</c:v>
                </c:pt>
                <c:pt idx="8">
                  <c:v>120000</c:v>
                </c:pt>
                <c:pt idx="9">
                  <c:v>135000</c:v>
                </c:pt>
                <c:pt idx="10">
                  <c:v>150000</c:v>
                </c:pt>
                <c:pt idx="11">
                  <c:v>165000</c:v>
                </c:pt>
                <c:pt idx="12">
                  <c:v>180000</c:v>
                </c:pt>
              </c:numCache>
            </c:numRef>
          </c:cat>
          <c:val>
            <c:numRef>
              <c:f>Sensitivitätsanalyse!$S$79:$S$91</c:f>
              <c:numCache>
                <c:formatCode>_(* #,##0.00_);_(* \(#,##0.00\);_(* "-"??_);_(@_)</c:formatCode>
                <c:ptCount val="13"/>
                <c:pt idx="0">
                  <c:v>8.9975000000000005</c:v>
                </c:pt>
                <c:pt idx="1">
                  <c:v>10.100488375752009</c:v>
                </c:pt>
                <c:pt idx="2">
                  <c:v>11.186961015146153</c:v>
                </c:pt>
                <c:pt idx="3">
                  <c:v>12.255992404671751</c:v>
                </c:pt>
                <c:pt idx="4">
                  <c:v>13.30660086337928</c:v>
                </c:pt>
                <c:pt idx="5">
                  <c:v>14.337754106857563</c:v>
                </c:pt>
                <c:pt idx="6">
                  <c:v>15.348376884799475</c:v>
                </c:pt>
                <c:pt idx="7">
                  <c:v>16.337360860241368</c:v>
                </c:pt>
                <c:pt idx="8">
                  <c:v>17.303576830241369</c:v>
                </c:pt>
                <c:pt idx="9">
                  <c:v>18.242477550547743</c:v>
                </c:pt>
                <c:pt idx="10">
                  <c:v>19.154087800594997</c:v>
                </c:pt>
                <c:pt idx="11">
                  <c:v>20.038483216303938</c:v>
                </c:pt>
                <c:pt idx="12">
                  <c:v>20.895790752950809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7AE-AF4A-8CC4-A5AC6EFBC329}"/>
            </c:ext>
          </c:extLst>
        </c:ser>
        <c:ser>
          <c:idx val="3"/>
          <c:order val="2"/>
          <c:tx>
            <c:strRef>
              <c:f>Sensitivitätsanalyse!$T$78</c:f>
              <c:strCache>
                <c:ptCount val="1"/>
                <c:pt idx="0">
                  <c:v>BEV (eco)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A-C7AE-AF4A-8CC4-A5AC6EFBC329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C7AE-AF4A-8CC4-A5AC6EFBC329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C7AE-AF4A-8CC4-A5AC6EFBC329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D-C7AE-AF4A-8CC4-A5AC6EFBC329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C7AE-AF4A-8CC4-A5AC6EFBC329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C7AE-AF4A-8CC4-A5AC6EFBC329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C7AE-AF4A-8CC4-A5AC6EFBC329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C7AE-AF4A-8CC4-A5AC6EFBC329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C7AE-AF4A-8CC4-A5AC6EFBC329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C7AE-AF4A-8CC4-A5AC6EFBC329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C7AE-AF4A-8CC4-A5AC6EFBC329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5-C7AE-AF4A-8CC4-A5AC6EFBC32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accent3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Sensitivitätsanalyse!$Q$79:$Q$91</c:f>
              <c:numCache>
                <c:formatCode>_(* #,##0_);_(* \(#,##0\);_(* "-"??_);_(@_)</c:formatCode>
                <c:ptCount val="13"/>
                <c:pt idx="0" formatCode="General">
                  <c:v>0</c:v>
                </c:pt>
                <c:pt idx="1">
                  <c:v>15000</c:v>
                </c:pt>
                <c:pt idx="2">
                  <c:v>30000</c:v>
                </c:pt>
                <c:pt idx="3">
                  <c:v>45000</c:v>
                </c:pt>
                <c:pt idx="4">
                  <c:v>60000</c:v>
                </c:pt>
                <c:pt idx="5">
                  <c:v>75000</c:v>
                </c:pt>
                <c:pt idx="6">
                  <c:v>90000</c:v>
                </c:pt>
                <c:pt idx="7">
                  <c:v>105000</c:v>
                </c:pt>
                <c:pt idx="8">
                  <c:v>120000</c:v>
                </c:pt>
                <c:pt idx="9">
                  <c:v>135000</c:v>
                </c:pt>
                <c:pt idx="10">
                  <c:v>150000</c:v>
                </c:pt>
                <c:pt idx="11">
                  <c:v>165000</c:v>
                </c:pt>
                <c:pt idx="12">
                  <c:v>180000</c:v>
                </c:pt>
              </c:numCache>
            </c:numRef>
          </c:cat>
          <c:val>
            <c:numRef>
              <c:f>Sensitivitätsanalyse!$T$79:$T$91</c:f>
              <c:numCache>
                <c:formatCode>_(* #,##0.00_);_(* \(#,##0.00\);_(* "-"??_);_(@_)</c:formatCode>
                <c:ptCount val="13"/>
                <c:pt idx="0">
                  <c:v>8.9975000000000005</c:v>
                </c:pt>
                <c:pt idx="1">
                  <c:v>9.1072100000000002</c:v>
                </c:pt>
                <c:pt idx="2">
                  <c:v>9.21692</c:v>
                </c:pt>
                <c:pt idx="3">
                  <c:v>9.3266299999999998</c:v>
                </c:pt>
                <c:pt idx="4">
                  <c:v>9.4363400000000013</c:v>
                </c:pt>
                <c:pt idx="5">
                  <c:v>9.546050000000001</c:v>
                </c:pt>
                <c:pt idx="6">
                  <c:v>9.6557600000000008</c:v>
                </c:pt>
                <c:pt idx="7">
                  <c:v>9.7654700000000005</c:v>
                </c:pt>
                <c:pt idx="8">
                  <c:v>9.8751800000000003</c:v>
                </c:pt>
                <c:pt idx="9">
                  <c:v>9.98489</c:v>
                </c:pt>
                <c:pt idx="10">
                  <c:v>10.0946</c:v>
                </c:pt>
                <c:pt idx="11">
                  <c:v>10.20431</c:v>
                </c:pt>
                <c:pt idx="12">
                  <c:v>10.314020000000001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6-C7AE-AF4A-8CC4-A5AC6EFBC3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5858360"/>
        <c:axId val="365859144"/>
      </c:lineChart>
      <c:catAx>
        <c:axId val="3658583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Fahrleistung (km)</a:t>
                </a:r>
              </a:p>
            </c:rich>
          </c:tx>
          <c:layout>
            <c:manualLayout>
              <c:xMode val="edge"/>
              <c:yMode val="edge"/>
              <c:x val="0.76424509162410625"/>
              <c:y val="0.78370704308920924"/>
            </c:manualLayout>
          </c:layout>
          <c:overlay val="0"/>
        </c:title>
        <c:numFmt formatCode="General" sourceLinked="1"/>
        <c:majorTickMark val="out"/>
        <c:minorTickMark val="out"/>
        <c:tickLblPos val="nextTo"/>
        <c:crossAx val="365859144"/>
        <c:crosses val="autoZero"/>
        <c:auto val="1"/>
        <c:lblAlgn val="ctr"/>
        <c:lblOffset val="100"/>
        <c:tickLblSkip val="2"/>
        <c:noMultiLvlLbl val="0"/>
      </c:catAx>
      <c:valAx>
        <c:axId val="36585914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LCA (t CO2)</a:t>
                </a:r>
              </a:p>
            </c:rich>
          </c:tx>
          <c:layout>
            <c:manualLayout>
              <c:xMode val="edge"/>
              <c:yMode val="edge"/>
              <c:x val="2.0453074433656937E-3"/>
              <c:y val="0.31906681473403997"/>
            </c:manualLayout>
          </c:layout>
          <c:overlay val="0"/>
        </c:title>
        <c:numFmt formatCode="_(* #,##0.00_);_(* \(#,##0.00\);_(* &quot;-&quot;??_);_(@_)" sourceLinked="1"/>
        <c:majorTickMark val="out"/>
        <c:minorTickMark val="none"/>
        <c:tickLblPos val="nextTo"/>
        <c:crossAx val="365858360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0"/>
        <c:txPr>
          <a:bodyPr/>
          <a:lstStyle/>
          <a:p>
            <a:pPr>
              <a:defRPr>
                <a:solidFill>
                  <a:schemeClr val="tx2">
                    <a:lumMod val="50000"/>
                  </a:schemeClr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0.12996469095888188"/>
          <c:y val="4.6140593178210038E-2"/>
          <c:w val="0.15853534490201324"/>
          <c:h val="0.20127507657274812"/>
        </c:manualLayout>
      </c:layout>
      <c:overlay val="0"/>
      <c:spPr>
        <a:solidFill>
          <a:sysClr val="window" lastClr="FFFFFF"/>
        </a:solidFill>
      </c:spPr>
    </c:legend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txPr>
    <a:bodyPr/>
    <a:lstStyle/>
    <a:p>
      <a:pPr>
        <a:defRPr sz="900"/>
      </a:pPr>
      <a:endParaRPr lang="en-US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/>
            </a:pPr>
            <a:r>
              <a:rPr lang="en-US" sz="1100" b="0"/>
              <a:t>Modelljahr 2013</a:t>
            </a:r>
          </a:p>
        </c:rich>
      </c:tx>
      <c:layout>
        <c:manualLayout>
          <c:xMode val="edge"/>
          <c:yMode val="edge"/>
          <c:x val="0.83039408395118497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23946989021765946"/>
          <c:y val="7.6305977216765436E-2"/>
          <c:w val="0.76053010978234048"/>
          <c:h val="0.77876600072281665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tx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Sensitivitätsanalyse!#REF!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0B5-714A-9874-2C541BFEA714}"/>
            </c:ext>
          </c:extLst>
        </c:ser>
        <c:ser>
          <c:idx val="2"/>
          <c:order val="1"/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Sensitivitätsanalyse!#REF!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0B5-714A-9874-2C541BFEA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977240"/>
        <c:axId val="373022776"/>
      </c:lineChart>
      <c:catAx>
        <c:axId val="372977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3022776"/>
        <c:crosses val="autoZero"/>
        <c:auto val="1"/>
        <c:lblAlgn val="ctr"/>
        <c:lblOffset val="100"/>
        <c:noMultiLvlLbl val="0"/>
      </c:catAx>
      <c:valAx>
        <c:axId val="373022776"/>
        <c:scaling>
          <c:orientation val="minMax"/>
          <c:max val="7000"/>
          <c:min val="300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TCO in €/Jahr</a:t>
                </a:r>
              </a:p>
            </c:rich>
          </c:tx>
          <c:layout>
            <c:manualLayout>
              <c:xMode val="edge"/>
              <c:yMode val="edge"/>
              <c:x val="1.2944805257007128E-3"/>
              <c:y val="0.2611884081500121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2977240"/>
        <c:crosses val="autoZero"/>
        <c:crossBetween val="between"/>
        <c:majorUnit val="1000"/>
      </c:valAx>
      <c:spPr>
        <a:noFill/>
      </c:spPr>
    </c:plotArea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 b="0"/>
            </a:pPr>
            <a:r>
              <a:rPr lang="en-US" sz="1100" b="0"/>
              <a:t>Modelljahr 2020</a:t>
            </a:r>
          </a:p>
        </c:rich>
      </c:tx>
      <c:layout>
        <c:manualLayout>
          <c:xMode val="edge"/>
          <c:yMode val="edge"/>
          <c:x val="7.6475477971733917E-4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"/>
          <c:y val="7.6305977216765436E-2"/>
          <c:w val="1"/>
          <c:h val="0.7794774910691431"/>
        </c:manualLayout>
      </c:layout>
      <c:lineChart>
        <c:grouping val="standard"/>
        <c:varyColors val="0"/>
        <c:ser>
          <c:idx val="1"/>
          <c:order val="0"/>
          <c:spPr>
            <a:ln>
              <a:solidFill>
                <a:schemeClr val="accent1"/>
              </a:solidFill>
            </a:ln>
          </c:spPr>
          <c:marker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</c:marker>
          <c:dLbls>
            <c:dLbl>
              <c:idx val="4"/>
              <c:layout>
                <c:manualLayout>
                  <c:x val="-1.2107773616382173E-2"/>
                  <c:y val="9.70551181102362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B927-9C43-89C3-5649B3C214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chemeClr val="tx2">
                        <a:lumMod val="50000"/>
                      </a:schemeClr>
                    </a:solidFill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Sensitivitätsanalyse!#REF!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B927-9C43-89C3-5649B3C21489}"/>
            </c:ext>
          </c:extLst>
        </c:ser>
        <c:ser>
          <c:idx val="2"/>
          <c:order val="1"/>
          <c:spPr>
            <a:ln>
              <a:solidFill>
                <a:schemeClr val="accent2"/>
              </a:solidFill>
            </a:ln>
          </c:spPr>
          <c:marker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</c:marker>
          <c:dLbls>
            <c:dLbl>
              <c:idx val="4"/>
              <c:layout>
                <c:manualLayout>
                  <c:x val="-1.2107773616382173E-2"/>
                  <c:y val="-8.964829396325463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927-9C43-89C3-5649B3C2148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Sensitivitätsanalyse!#REF!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Sensitivitätsanalyse!#REF!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B927-9C43-89C3-5649B3C21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024344"/>
        <c:axId val="373023560"/>
      </c:lineChart>
      <c:catAx>
        <c:axId val="3730243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0"/>
                </a:pPr>
                <a:r>
                  <a:rPr lang="en-US" sz="900" b="0"/>
                  <a:t>Ölpreis 2035 ($/Barrel)</a:t>
                </a:r>
              </a:p>
            </c:rich>
          </c:tx>
          <c:layout>
            <c:manualLayout>
              <c:xMode val="edge"/>
              <c:yMode val="edge"/>
              <c:x val="0.67067083737820443"/>
              <c:y val="0.75009857101195687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373023560"/>
        <c:crosses val="autoZero"/>
        <c:auto val="1"/>
        <c:lblAlgn val="ctr"/>
        <c:lblOffset val="100"/>
        <c:noMultiLvlLbl val="0"/>
      </c:catAx>
      <c:valAx>
        <c:axId val="373023560"/>
        <c:scaling>
          <c:orientation val="minMax"/>
          <c:max val="7000"/>
          <c:min val="3000"/>
        </c:scaling>
        <c:delete val="1"/>
        <c:axPos val="r"/>
        <c:numFmt formatCode="General" sourceLinked="1"/>
        <c:majorTickMark val="out"/>
        <c:minorTickMark val="none"/>
        <c:tickLblPos val="nextTo"/>
        <c:crossAx val="373024344"/>
        <c:crosses val="max"/>
        <c:crossBetween val="between"/>
        <c:majorUnit val="1000"/>
      </c:valAx>
      <c:spPr>
        <a:noFill/>
      </c:spPr>
    </c:plotArea>
    <c:legend>
      <c:legendPos val="r"/>
      <c:layout>
        <c:manualLayout>
          <c:xMode val="edge"/>
          <c:yMode val="edge"/>
          <c:x val="0.53722725490146561"/>
          <c:y val="3.0895304753572519E-3"/>
          <c:w val="0.45819084030330043"/>
          <c:h val="5.3080198308544754E-2"/>
        </c:manualLayout>
      </c:layout>
      <c:overlay val="1"/>
    </c:legend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886227838983745"/>
          <c:y val="3.2942076572412257E-2"/>
          <c:w val="0.66313356360600451"/>
          <c:h val="0.5737001498294495"/>
        </c:manualLayout>
      </c:layout>
      <c:barChart>
        <c:barDir val="col"/>
        <c:grouping val="clustered"/>
        <c:varyColors val="0"/>
        <c:ser>
          <c:idx val="2"/>
          <c:order val="0"/>
          <c:tx>
            <c:v>ICE 2013</c:v>
          </c:tx>
          <c:spPr>
            <a:solidFill>
              <a:schemeClr val="tx2"/>
            </a:solidFill>
            <a:ln>
              <a:noFill/>
            </a:ln>
          </c:spPr>
          <c:invertIfNegative val="0"/>
          <c:cat>
            <c:numRef>
              <c:f>Sensitivitätsanalyse!$J$59:$J$61</c:f>
              <c:numCache>
                <c:formatCode>General</c:formatCode>
                <c:ptCount val="3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</c:numCache>
            </c:numRef>
          </c:cat>
          <c:val>
            <c:numRef>
              <c:f>Sensitivitätsanalyse!$K$59:$K$61</c:f>
              <c:numCache>
                <c:formatCode>_-* #,##0\ [$€-407]_-;\-* #,##0\ [$€-407]_-;_-* "-"??\ [$€-407]_-;_-@_-</c:formatCode>
                <c:ptCount val="3"/>
                <c:pt idx="0">
                  <c:v>5147.6821047103813</c:v>
                </c:pt>
                <c:pt idx="1">
                  <c:v>5317.7815017236453</c:v>
                </c:pt>
                <c:pt idx="2">
                  <c:v>5444.7859163686417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06-A642-AC43-CB86FB40AE03}"/>
            </c:ext>
          </c:extLst>
        </c:ser>
        <c:ser>
          <c:idx val="4"/>
          <c:order val="1"/>
          <c:tx>
            <c:v>BEV 2013</c:v>
          </c:tx>
          <c:spPr>
            <a:solidFill>
              <a:schemeClr val="accent2"/>
            </a:solidFill>
          </c:spPr>
          <c:invertIfNegative val="0"/>
          <c:cat>
            <c:numRef>
              <c:f>Sensitivitätsanalyse!$J$59:$J$61</c:f>
              <c:numCache>
                <c:formatCode>General</c:formatCode>
                <c:ptCount val="3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</c:numCache>
            </c:numRef>
          </c:cat>
          <c:val>
            <c:numRef>
              <c:f>Sensitivitätsanalyse!$N$59:$N$61</c:f>
              <c:numCache>
                <c:formatCode>_-* #,##0\ [$€-407]_-;\-* #,##0\ [$€-407]_-;_-* "-"??\ [$€-407]_-;_-@_-</c:formatCode>
                <c:ptCount val="3"/>
                <c:pt idx="0">
                  <c:v>7365.3875963444734</c:v>
                </c:pt>
                <c:pt idx="1">
                  <c:v>7394.1500196774423</c:v>
                </c:pt>
                <c:pt idx="2">
                  <c:v>7411.3823567241743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06-A642-AC43-CB86FB40AE03}"/>
            </c:ext>
          </c:extLst>
        </c:ser>
        <c:ser>
          <c:idx val="1"/>
          <c:order val="2"/>
          <c:tx>
            <c:v> </c:v>
          </c:tx>
          <c:spPr>
            <a:noFill/>
          </c:spPr>
          <c:invertIfNegative val="0"/>
          <c:val>
            <c:numRef>
              <c:f>Sensitivitätsanalyse!$P$59:$P$61</c:f>
              <c:numCache>
                <c:formatCode>_-* #,##0\ [$€-407]_-;\-* #,##0\ [$€-407]_-;_-* "-"??\ [$€-407]_-;_-@_-</c:formatCode>
                <c:ptCount val="3"/>
                <c:pt idx="0">
                  <c:v>676.49538351729643</c:v>
                </c:pt>
                <c:pt idx="1">
                  <c:v>470.18894913027998</c:v>
                </c:pt>
                <c:pt idx="2">
                  <c:v>302.35697517074277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06-A642-AC43-CB86FB40AE03}"/>
            </c:ext>
          </c:extLst>
        </c:ser>
        <c:ser>
          <c:idx val="0"/>
          <c:order val="3"/>
          <c:tx>
            <c:v>ICE 2020</c:v>
          </c:tx>
          <c:spPr>
            <a:solidFill>
              <a:schemeClr val="accent1"/>
            </a:solidFill>
          </c:spPr>
          <c:invertIfNegative val="0"/>
          <c:cat>
            <c:numRef>
              <c:f>Sensitivitätsanalyse!$J$59:$J$61</c:f>
              <c:numCache>
                <c:formatCode>General</c:formatCode>
                <c:ptCount val="3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</c:numCache>
            </c:numRef>
          </c:cat>
          <c:val>
            <c:numRef>
              <c:f>Sensitivitätsanalyse!$L$59:$L$61</c:f>
              <c:numCache>
                <c:formatCode>_-* #,##0\ [$€-407]_-;\-* #,##0\ [$€-407]_-;_-* "-"??\ [$€-407]_-;_-@_-</c:formatCode>
                <c:ptCount val="3"/>
                <c:pt idx="0">
                  <c:v>4941.3892148081104</c:v>
                </c:pt>
                <c:pt idx="1">
                  <c:v>5219.7666499435136</c:v>
                </c:pt>
                <c:pt idx="2">
                  <c:v>5427.6166706992644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06-A642-AC43-CB86FB40AE03}"/>
            </c:ext>
          </c:extLst>
        </c:ser>
        <c:ser>
          <c:idx val="5"/>
          <c:order val="4"/>
          <c:tx>
            <c:v>BEV 2020</c:v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numRef>
              <c:f>Sensitivitätsanalyse!$J$59:$J$61</c:f>
              <c:numCache>
                <c:formatCode>General</c:formatCode>
                <c:ptCount val="3"/>
                <c:pt idx="0">
                  <c:v>50</c:v>
                </c:pt>
                <c:pt idx="1">
                  <c:v>125</c:v>
                </c:pt>
                <c:pt idx="2">
                  <c:v>200</c:v>
                </c:pt>
              </c:numCache>
            </c:numRef>
          </c:cat>
          <c:val>
            <c:numRef>
              <c:f>Sensitivitätsanalyse!$O$59:$O$61</c:f>
              <c:numCache>
                <c:formatCode>_-* #,##0\ [$€-407]_-;\-* #,##0\ [$€-407]_-;_-* "-"??\ [$€-407]_-;_-@_-</c:formatCode>
                <c:ptCount val="3"/>
                <c:pt idx="0">
                  <c:v>5617.8845983254068</c:v>
                </c:pt>
                <c:pt idx="1">
                  <c:v>5689.9555990737936</c:v>
                </c:pt>
                <c:pt idx="2">
                  <c:v>5729.9736458700072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06-A642-AC43-CB86FB40A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2976848"/>
        <c:axId val="372976456"/>
      </c:barChart>
      <c:catAx>
        <c:axId val="372976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976456"/>
        <c:crosses val="autoZero"/>
        <c:auto val="1"/>
        <c:lblAlgn val="ctr"/>
        <c:lblOffset val="100"/>
        <c:noMultiLvlLbl val="0"/>
      </c:catAx>
      <c:valAx>
        <c:axId val="372976456"/>
        <c:scaling>
          <c:orientation val="minMax"/>
          <c:max val="7000"/>
          <c:min val="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_-* #,##0\ [$€-407]_-;\-* #,##0\ [$€-407]_-;_-* &quot;-&quot;??\ [$€-407]_-;_-@_-" sourceLinked="1"/>
        <c:majorTickMark val="out"/>
        <c:minorTickMark val="none"/>
        <c:tickLblPos val="nextTo"/>
        <c:crossAx val="372976848"/>
        <c:crosses val="autoZero"/>
        <c:crossBetween val="between"/>
        <c:majorUnit val="2000"/>
      </c:valAx>
      <c:dTable>
        <c:showHorzBorder val="1"/>
        <c:showVertBorder val="1"/>
        <c:showOutline val="1"/>
        <c:showKeys val="1"/>
        <c:txPr>
          <a:bodyPr/>
          <a:lstStyle/>
          <a:p>
            <a:pPr rtl="0">
              <a:defRPr sz="1000"/>
            </a:pPr>
            <a:endParaRPr lang="en-US"/>
          </a:p>
        </c:txPr>
      </c:dTable>
      <c:spPr>
        <a:noFill/>
      </c:spPr>
    </c:plotArea>
    <c:plotVisOnly val="1"/>
    <c:dispBlanksAs val="gap"/>
    <c:showDLblsOverMax val="0"/>
  </c:chart>
  <c:spPr>
    <a:noFill/>
    <a:ln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31323841206317E-2"/>
          <c:y val="2.712230971128609E-2"/>
          <c:w val="0.81056097741089672"/>
          <c:h val="0.75495251499359683"/>
        </c:manualLayout>
      </c:layout>
      <c:lineChart>
        <c:grouping val="standard"/>
        <c:varyColors val="0"/>
        <c:ser>
          <c:idx val="0"/>
          <c:order val="0"/>
          <c:tx>
            <c:v>Strom Verbraucherpreis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Sensitivitätsanalyse!$K$119:$K$141</c:f>
              <c:numCache>
                <c:formatCode>_(* #,##0.00_);_(* \(#,##0.00\);_(* "-"??_);_(@_)</c:formatCode>
                <c:ptCount val="23"/>
                <c:pt idx="0">
                  <c:v>26.168099999999999</c:v>
                </c:pt>
                <c:pt idx="1">
                  <c:v>26.379997994649692</c:v>
                </c:pt>
                <c:pt idx="2">
                  <c:v>26.571412244315987</c:v>
                </c:pt>
                <c:pt idx="3">
                  <c:v>26.750418003261807</c:v>
                </c:pt>
                <c:pt idx="4">
                  <c:v>26.921280435453497</c:v>
                </c:pt>
                <c:pt idx="5">
                  <c:v>27.086525651101027</c:v>
                </c:pt>
                <c:pt idx="6">
                  <c:v>27.247772893512526</c:v>
                </c:pt>
                <c:pt idx="7">
                  <c:v>27.406122343458541</c:v>
                </c:pt>
                <c:pt idx="8">
                  <c:v>27.562355819410335</c:v>
                </c:pt>
                <c:pt idx="9">
                  <c:v>27.717049142164846</c:v>
                </c:pt>
                <c:pt idx="10">
                  <c:v>27.870639024540974</c:v>
                </c:pt>
                <c:pt idx="11">
                  <c:v>28.023464903594515</c:v>
                </c:pt>
                <c:pt idx="12">
                  <c:v>28.175796185427242</c:v>
                </c:pt>
                <c:pt idx="13">
                  <c:v>28.32785060298848</c:v>
                </c:pt>
                <c:pt idx="14">
                  <c:v>28.479806948638657</c:v>
                </c:pt>
                <c:pt idx="15">
                  <c:v>28.631814127911309</c:v>
                </c:pt>
                <c:pt idx="16">
                  <c:v>28.783997738546674</c:v>
                </c:pt>
                <c:pt idx="17">
                  <c:v>28.936464943239205</c:v>
                </c:pt>
                <c:pt idx="18">
                  <c:v>29.089308140100414</c:v>
                </c:pt>
                <c:pt idx="19">
                  <c:v>29.242607769470879</c:v>
                </c:pt>
                <c:pt idx="20">
                  <c:v>29.396434489544561</c:v>
                </c:pt>
                <c:pt idx="21">
                  <c:v>29.550850883485836</c:v>
                </c:pt>
                <c:pt idx="22">
                  <c:v>29.707205745602693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94-C04C-BF7F-15825454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5857576"/>
        <c:axId val="373464872"/>
      </c:lineChart>
      <c:lineChart>
        <c:grouping val="standard"/>
        <c:varyColors val="0"/>
        <c:ser>
          <c:idx val="1"/>
          <c:order val="1"/>
          <c:tx>
            <c:v>Benzin Verbraucherpreis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Sensitivitätsanalyse!$L$119:$L$141</c:f>
              <c:numCache>
                <c:formatCode>_-* #,##0.00\ [$€-407]_-;\-* #,##0.00\ [$€-407]_-;_-* "-"??\ [$€-407]_-;_-@_-</c:formatCode>
                <c:ptCount val="23"/>
                <c:pt idx="0">
                  <c:v>1.6</c:v>
                </c:pt>
                <c:pt idx="1">
                  <c:v>1.6274002438627739</c:v>
                </c:pt>
                <c:pt idx="2">
                  <c:v>1.636221152168966</c:v>
                </c:pt>
                <c:pt idx="3">
                  <c:v>1.6434283590331118</c:v>
                </c:pt>
                <c:pt idx="4">
                  <c:v>1.6495219656109632</c:v>
                </c:pt>
                <c:pt idx="5">
                  <c:v>1.654800487725548</c:v>
                </c:pt>
                <c:pt idx="6">
                  <c:v>1.6594564742034499</c:v>
                </c:pt>
                <c:pt idx="7">
                  <c:v>1.6636213960317401</c:v>
                </c:pt>
                <c:pt idx="8">
                  <c:v>1.6673890261144788</c:v>
                </c:pt>
                <c:pt idx="9">
                  <c:v>1.6708286028958859</c:v>
                </c:pt>
                <c:pt idx="10">
                  <c:v>1.6739927068137863</c:v>
                </c:pt>
                <c:pt idx="11">
                  <c:v>1.676922209473737</c:v>
                </c:pt>
                <c:pt idx="12">
                  <c:v>1.6796495112020779</c:v>
                </c:pt>
                <c:pt idx="13">
                  <c:v>1.6822007315883221</c:v>
                </c:pt>
                <c:pt idx="14">
                  <c:v>1.6845972347675124</c:v>
                </c:pt>
                <c:pt idx="15">
                  <c:v>1.6868567180662235</c:v>
                </c:pt>
                <c:pt idx="16">
                  <c:v>1.6889940059169675</c:v>
                </c:pt>
                <c:pt idx="17">
                  <c:v>1.6910216398945139</c:v>
                </c:pt>
                <c:pt idx="18">
                  <c:v>1.6929503246440751</c:v>
                </c:pt>
                <c:pt idx="19">
                  <c:v>1.6947892699772527</c:v>
                </c:pt>
                <c:pt idx="20">
                  <c:v>1.6965464568615549</c:v>
                </c:pt>
                <c:pt idx="21">
                  <c:v>1.6982288467586597</c:v>
                </c:pt>
                <c:pt idx="22">
                  <c:v>1.6999748319438033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994-C04C-BF7F-158254544F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65656"/>
        <c:axId val="373464480"/>
      </c:lineChart>
      <c:catAx>
        <c:axId val="3658575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464872"/>
        <c:crosses val="autoZero"/>
        <c:auto val="1"/>
        <c:lblAlgn val="ctr"/>
        <c:lblOffset val="100"/>
        <c:noMultiLvlLbl val="0"/>
      </c:catAx>
      <c:valAx>
        <c:axId val="373464872"/>
        <c:scaling>
          <c:orientation val="minMax"/>
          <c:max val="50"/>
          <c:min val="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C00000"/>
                </a:solidFill>
              </a:defRPr>
            </a:pPr>
            <a:endParaRPr lang="en-US"/>
          </a:p>
        </c:txPr>
        <c:crossAx val="365857576"/>
        <c:crosses val="autoZero"/>
        <c:crossBetween val="between"/>
      </c:valAx>
      <c:valAx>
        <c:axId val="373464480"/>
        <c:scaling>
          <c:orientation val="minMax"/>
          <c:max val="2.5"/>
          <c:min val="0"/>
        </c:scaling>
        <c:delete val="0"/>
        <c:axPos val="r"/>
        <c:numFmt formatCode="_-* #,##0.00\ [$€-407]_-;\-* #,##0.0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73465656"/>
        <c:crosses val="max"/>
        <c:crossBetween val="between"/>
      </c:valAx>
      <c:catAx>
        <c:axId val="373465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464480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31323841206317E-2"/>
          <c:y val="2.712230971128609E-2"/>
          <c:w val="0.81056097741089672"/>
          <c:h val="0.75495251499359683"/>
        </c:manualLayout>
      </c:layout>
      <c:lineChart>
        <c:grouping val="standard"/>
        <c:varyColors val="0"/>
        <c:ser>
          <c:idx val="0"/>
          <c:order val="0"/>
          <c:tx>
            <c:v>Strom Verbraucherpreis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Sensitivitätsanalyse!$M$119:$M$141</c:f>
              <c:numCache>
                <c:formatCode>_(* #,##0.00_);_(* \(#,##0.00\);_(* "-"??_);_(@_)</c:formatCode>
                <c:ptCount val="23"/>
                <c:pt idx="0">
                  <c:v>26.168099999999999</c:v>
                </c:pt>
                <c:pt idx="1">
                  <c:v>25.857300608473224</c:v>
                </c:pt>
                <c:pt idx="2">
                  <c:v>25.626183497424638</c:v>
                </c:pt>
                <c:pt idx="3">
                  <c:v>25.446391539418393</c:v>
                </c:pt>
                <c:pt idx="4">
                  <c:v>25.302513305628914</c:v>
                </c:pt>
                <c:pt idx="5">
                  <c:v>25.185219491488791</c:v>
                </c:pt>
                <c:pt idx="6">
                  <c:v>25.088425630721975</c:v>
                </c:pt>
                <c:pt idx="7">
                  <c:v>25.007939933453336</c:v>
                </c:pt>
                <c:pt idx="8">
                  <c:v>24.940750387879294</c:v>
                </c:pt>
                <c:pt idx="9">
                  <c:v>24.884619250064141</c:v>
                </c:pt>
                <c:pt idx="10">
                  <c:v>24.837838275585902</c:v>
                </c:pt>
                <c:pt idx="11">
                  <c:v>24.799073745147997</c:v>
                </c:pt>
                <c:pt idx="12">
                  <c:v>24.767264405534959</c:v>
                </c:pt>
                <c:pt idx="13">
                  <c:v>24.741552003841676</c:v>
                </c:pt>
                <c:pt idx="14">
                  <c:v>24.721232659601299</c:v>
                </c:pt>
                <c:pt idx="15">
                  <c:v>24.705721990109602</c:v>
                </c:pt>
                <c:pt idx="16">
                  <c:v>24.694529566314415</c:v>
                </c:pt>
                <c:pt idx="17">
                  <c:v>24.687239852919138</c:v>
                </c:pt>
                <c:pt idx="18">
                  <c:v>24.683497751203706</c:v>
                </c:pt>
                <c:pt idx="19">
                  <c:v>24.68299747113198</c:v>
                </c:pt>
                <c:pt idx="20">
                  <c:v>24.685473852548157</c:v>
                </c:pt>
                <c:pt idx="21">
                  <c:v>24.690695515493402</c:v>
                </c:pt>
                <c:pt idx="22">
                  <c:v>24.700749537802768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EE-624F-8EEB-A56A86462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65264"/>
        <c:axId val="373423336"/>
      </c:lineChart>
      <c:lineChart>
        <c:grouping val="standard"/>
        <c:varyColors val="0"/>
        <c:ser>
          <c:idx val="1"/>
          <c:order val="1"/>
          <c:tx>
            <c:v>Benzin Verbraucherpreis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Sensitivitätsanalyse!$N$119:$N$141</c:f>
              <c:numCache>
                <c:formatCode>_-* #,##0.00\ [$€-407]_-;\-* #,##0.00\ [$€-407]_-;_-* "-"??\ [$€-407]_-;_-@_-</c:formatCode>
                <c:ptCount val="23"/>
                <c:pt idx="0">
                  <c:v>1.6</c:v>
                </c:pt>
                <c:pt idx="1">
                  <c:v>1.4937636576168234</c:v>
                </c:pt>
                <c:pt idx="2">
                  <c:v>1.459563194305606</c:v>
                </c:pt>
                <c:pt idx="3">
                  <c:v>1.4316193811088913</c:v>
                </c:pt>
                <c:pt idx="4">
                  <c:v>1.4079932236923689</c:v>
                </c:pt>
                <c:pt idx="5">
                  <c:v>1.3875273152336469</c:v>
                </c:pt>
                <c:pt idx="6">
                  <c:v>1.3694751046009597</c:v>
                </c:pt>
                <c:pt idx="7">
                  <c:v>1.3533268519224293</c:v>
                </c:pt>
                <c:pt idx="8">
                  <c:v>1.3387189804944382</c:v>
                </c:pt>
                <c:pt idx="9">
                  <c:v>1.3253830387257151</c:v>
                </c:pt>
                <c:pt idx="10">
                  <c:v>1.3131151615184342</c:v>
                </c:pt>
                <c:pt idx="11">
                  <c:v>1.3017568813091924</c:v>
                </c:pt>
                <c:pt idx="12">
                  <c:v>1.2911825754144972</c:v>
                </c:pt>
                <c:pt idx="13">
                  <c:v>1.2812909728504704</c:v>
                </c:pt>
                <c:pt idx="14">
                  <c:v>1.2719992405015939</c:v>
                </c:pt>
                <c:pt idx="15">
                  <c:v>1.2632387622177832</c:v>
                </c:pt>
                <c:pt idx="16">
                  <c:v>1.254952060646068</c:v>
                </c:pt>
                <c:pt idx="17">
                  <c:v>1.2470905095392526</c:v>
                </c:pt>
                <c:pt idx="18">
                  <c:v>1.2396126048012603</c:v>
                </c:pt>
                <c:pt idx="19">
                  <c:v>1.2324826381112615</c:v>
                </c:pt>
                <c:pt idx="20">
                  <c:v>1.2256696656279917</c:v>
                </c:pt>
                <c:pt idx="21">
                  <c:v>1.2191466963425381</c:v>
                </c:pt>
                <c:pt idx="22">
                  <c:v>1.2130431182077959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EE-624F-8EEB-A56A86462D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24120"/>
        <c:axId val="373423728"/>
      </c:lineChart>
      <c:catAx>
        <c:axId val="3734652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423336"/>
        <c:crosses val="autoZero"/>
        <c:auto val="1"/>
        <c:lblAlgn val="ctr"/>
        <c:lblOffset val="100"/>
        <c:noMultiLvlLbl val="0"/>
      </c:catAx>
      <c:valAx>
        <c:axId val="373423336"/>
        <c:scaling>
          <c:orientation val="minMax"/>
          <c:max val="50"/>
          <c:min val="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C00000"/>
                </a:solidFill>
              </a:defRPr>
            </a:pPr>
            <a:endParaRPr lang="en-US"/>
          </a:p>
        </c:txPr>
        <c:crossAx val="373465264"/>
        <c:crosses val="autoZero"/>
        <c:crossBetween val="between"/>
      </c:valAx>
      <c:valAx>
        <c:axId val="373423728"/>
        <c:scaling>
          <c:orientation val="minMax"/>
          <c:max val="2.5"/>
          <c:min val="0"/>
        </c:scaling>
        <c:delete val="0"/>
        <c:axPos val="r"/>
        <c:numFmt formatCode="_-* #,##0.00\ [$€-407]_-;\-* #,##0.0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73424120"/>
        <c:crosses val="max"/>
        <c:crossBetween val="between"/>
      </c:valAx>
      <c:catAx>
        <c:axId val="3734241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423728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8.6431323841206317E-2"/>
          <c:y val="2.712230971128609E-2"/>
          <c:w val="0.81056097741089672"/>
          <c:h val="0.75495251499359683"/>
        </c:manualLayout>
      </c:layout>
      <c:lineChart>
        <c:grouping val="standard"/>
        <c:varyColors val="0"/>
        <c:ser>
          <c:idx val="0"/>
          <c:order val="0"/>
          <c:tx>
            <c:v>Strom Verbraucherpreis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Sensitivitätsanalyse!$O$119:$O$141</c:f>
              <c:numCache>
                <c:formatCode>_(* #,##0.00_);_(* \(#,##0.00\);_(* "-"??_);_(@_)</c:formatCode>
                <c:ptCount val="23"/>
                <c:pt idx="0">
                  <c:v>26.168099999999999</c:v>
                </c:pt>
                <c:pt idx="1">
                  <c:v>26.71035991508769</c:v>
                </c:pt>
                <c:pt idx="2">
                  <c:v>27.153652012690628</c:v>
                </c:pt>
                <c:pt idx="3">
                  <c:v>27.53717794769975</c:v>
                </c:pt>
                <c:pt idx="4">
                  <c:v>27.881088725111052</c:v>
                </c:pt>
                <c:pt idx="5">
                  <c:v>28.19707671189175</c:v>
                </c:pt>
                <c:pt idx="6">
                  <c:v>28.492513025696084</c:v>
                </c:pt>
                <c:pt idx="7">
                  <c:v>28.772335155529756</c:v>
                </c:pt>
                <c:pt idx="8">
                  <c:v>29.040007592607143</c:v>
                </c:pt>
                <c:pt idx="9">
                  <c:v>29.29805227243774</c:v>
                </c:pt>
                <c:pt idx="10">
                  <c:v>29.548360676925974</c:v>
                </c:pt>
                <c:pt idx="11">
                  <c:v>29.792387064568548</c:v>
                </c:pt>
                <c:pt idx="12">
                  <c:v>30.03127321331921</c:v>
                </c:pt>
                <c:pt idx="13">
                  <c:v>30.265931817742931</c:v>
                </c:pt>
                <c:pt idx="14">
                  <c:v>30.497103926475155</c:v>
                </c:pt>
                <c:pt idx="15">
                  <c:v>30.725399525472746</c:v>
                </c:pt>
                <c:pt idx="16">
                  <c:v>30.951326857821673</c:v>
                </c:pt>
                <c:pt idx="17">
                  <c:v>31.175314024062878</c:v>
                </c:pt>
                <c:pt idx="18">
                  <c:v>31.397725173103275</c:v>
                </c:pt>
                <c:pt idx="19">
                  <c:v>31.61887282703406</c:v>
                </c:pt>
                <c:pt idx="20">
                  <c:v>31.839027393764241</c:v>
                </c:pt>
                <c:pt idx="21">
                  <c:v>32.058424601423241</c:v>
                </c:pt>
                <c:pt idx="22">
                  <c:v>32.278206600538475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81-8F4A-BFCF-F098BF7C3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422944"/>
        <c:axId val="373515056"/>
      </c:lineChart>
      <c:lineChart>
        <c:grouping val="standard"/>
        <c:varyColors val="0"/>
        <c:ser>
          <c:idx val="1"/>
          <c:order val="1"/>
          <c:tx>
            <c:v>Benzin Verbraucherpreis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'NR Kraftstoffpreisprognosen'!$A$37:$A$49</c:f>
              <c:numCache>
                <c:formatCode>General</c:formatCode>
                <c:ptCount val="13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</c:numCache>
            </c:numRef>
          </c:cat>
          <c:val>
            <c:numRef>
              <c:f>Sensitivitätsanalyse!$P$119:$P$141</c:f>
              <c:numCache>
                <c:formatCode>_-* #,##0.00\ [$€-407]_-;\-* #,##0.00\ [$€-407]_-;_-* "-"??\ [$€-407]_-;_-@_-</c:formatCode>
                <c:ptCount val="23"/>
                <c:pt idx="0">
                  <c:v>1.6</c:v>
                </c:pt>
                <c:pt idx="1">
                  <c:v>1.7271797651858225</c:v>
                </c:pt>
                <c:pt idx="2">
                  <c:v>1.768122504700316</c:v>
                </c:pt>
                <c:pt idx="3">
                  <c:v>1.8015751586700506</c:v>
                </c:pt>
                <c:pt idx="4">
                  <c:v>1.829858974594726</c:v>
                </c:pt>
                <c:pt idx="5">
                  <c:v>1.8543595303716442</c:v>
                </c:pt>
                <c:pt idx="6">
                  <c:v>1.8759705521542782</c:v>
                </c:pt>
                <c:pt idx="7">
                  <c:v>1.8953022698861381</c:v>
                </c:pt>
                <c:pt idx="8">
                  <c:v>1.9127899357488778</c:v>
                </c:pt>
                <c:pt idx="9">
                  <c:v>1.9287549238558725</c:v>
                </c:pt>
                <c:pt idx="10">
                  <c:v>1.9434412892516517</c:v>
                </c:pt>
                <c:pt idx="11">
                  <c:v>1.9570387397805482</c:v>
                </c:pt>
                <c:pt idx="12">
                  <c:v>1.9696976633703662</c:v>
                </c:pt>
                <c:pt idx="13">
                  <c:v>1.9815392955574664</c:v>
                </c:pt>
                <c:pt idx="14">
                  <c:v>1.9926627991701693</c:v>
                </c:pt>
                <c:pt idx="15">
                  <c:v>2.0031503173400997</c:v>
                </c:pt>
                <c:pt idx="16">
                  <c:v>2.0130706585003266</c:v>
                </c:pt>
                <c:pt idx="17">
                  <c:v>2.0224820350719601</c:v>
                </c:pt>
                <c:pt idx="18">
                  <c:v>2.0314341332647761</c:v>
                </c:pt>
                <c:pt idx="19">
                  <c:v>2.0399697009346998</c:v>
                </c:pt>
                <c:pt idx="20">
                  <c:v>2.0481257821890266</c:v>
                </c:pt>
                <c:pt idx="21">
                  <c:v>2.0559346890416941</c:v>
                </c:pt>
                <c:pt idx="22">
                  <c:v>2.0635415368293266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81-8F4A-BFCF-F098BF7C3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514272"/>
        <c:axId val="373514664"/>
      </c:lineChart>
      <c:catAx>
        <c:axId val="3734229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515056"/>
        <c:crosses val="autoZero"/>
        <c:auto val="1"/>
        <c:lblAlgn val="ctr"/>
        <c:lblOffset val="100"/>
        <c:noMultiLvlLbl val="0"/>
      </c:catAx>
      <c:valAx>
        <c:axId val="373515056"/>
        <c:scaling>
          <c:orientation val="minMax"/>
          <c:max val="50"/>
          <c:min val="0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rgbClr val="C00000"/>
                </a:solidFill>
              </a:defRPr>
            </a:pPr>
            <a:endParaRPr lang="en-US"/>
          </a:p>
        </c:txPr>
        <c:crossAx val="373422944"/>
        <c:crosses val="autoZero"/>
        <c:crossBetween val="between"/>
      </c:valAx>
      <c:valAx>
        <c:axId val="373514664"/>
        <c:scaling>
          <c:orientation val="minMax"/>
          <c:max val="2.5"/>
          <c:min val="0"/>
        </c:scaling>
        <c:delete val="0"/>
        <c:axPos val="r"/>
        <c:numFmt formatCode="_-* #,##0.00\ [$€-407]_-;\-* #,##0.0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73514272"/>
        <c:crosses val="max"/>
        <c:crossBetween val="between"/>
      </c:valAx>
      <c:catAx>
        <c:axId val="37351427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514664"/>
        <c:crosses val="autoZero"/>
        <c:auto val="1"/>
        <c:lblAlgn val="ctr"/>
        <c:lblOffset val="100"/>
        <c:noMultiLvlLbl val="0"/>
      </c:cat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'Cash Flows'!$B$22</c:f>
              <c:strCache>
                <c:ptCount val="1"/>
                <c:pt idx="0">
                  <c:v> Kaufpreis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[0]!ICE_Car_invest</c:f>
              <c:numCache>
                <c:formatCode>_-* #,##0\ [$€-407]_-;\-* #,##0\ [$€-407]_-;_-* "-"??\ [$€-407]_-;_-@_-</c:formatCode>
                <c:ptCount val="6"/>
                <c:pt idx="0">
                  <c:v>18942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4E-C243-9581-40EDD1999FA2}"/>
            </c:ext>
          </c:extLst>
        </c:ser>
        <c:ser>
          <c:idx val="1"/>
          <c:order val="1"/>
          <c:tx>
            <c:strRef>
              <c:f>'Cash Flows'!$B$23</c:f>
              <c:strCache>
                <c:ptCount val="1"/>
                <c:pt idx="0">
                  <c:v> Batterieleasing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[0]!ICE_Battery_leasing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4E-C243-9581-40EDD1999FA2}"/>
            </c:ext>
          </c:extLst>
        </c:ser>
        <c:ser>
          <c:idx val="2"/>
          <c:order val="2"/>
          <c:tx>
            <c:strRef>
              <c:f>'Cash Flows'!$B$24</c:f>
              <c:strCache>
                <c:ptCount val="1"/>
                <c:pt idx="0">
                  <c:v> Zinsen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[0]!ICE_Interest</c:f>
              <c:numCache>
                <c:formatCode>_-* #,##0\ [$€-407]_-;\-* #,##0\ [$€-407]_-;_-* "-"??\ [$€-407]_-;_-@_-</c:formatCode>
                <c:ptCount val="6"/>
                <c:pt idx="0">
                  <c:v>488.52592233537825</c:v>
                </c:pt>
                <c:pt idx="1">
                  <c:v>488.52592233537825</c:v>
                </c:pt>
                <c:pt idx="2">
                  <c:v>488.52592233537825</c:v>
                </c:pt>
                <c:pt idx="3">
                  <c:v>488.52592233537825</c:v>
                </c:pt>
                <c:pt idx="4">
                  <c:v>488.52592233537825</c:v>
                </c:pt>
                <c:pt idx="5">
                  <c:v>488.52592233537825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4E-C243-9581-40EDD1999FA2}"/>
            </c:ext>
          </c:extLst>
        </c:ser>
        <c:ser>
          <c:idx val="3"/>
          <c:order val="3"/>
          <c:tx>
            <c:strRef>
              <c:f>'Cash Flows'!$B$25</c:f>
              <c:strCache>
                <c:ptCount val="1"/>
                <c:pt idx="0">
                  <c:v> Benzinkosten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[0]!ICE_Cost_of_Fuel</c:f>
              <c:numCache>
                <c:formatCode>_-* #,##0\ [$€-407]_-;\-* #,##0\ [$€-407]_-;_-* "-"??\ [$€-407]_-;_-@_-</c:formatCode>
                <c:ptCount val="6"/>
                <c:pt idx="0">
                  <c:v>1584</c:v>
                </c:pt>
                <c:pt idx="1">
                  <c:v>1611.1262414241462</c:v>
                </c:pt>
                <c:pt idx="2">
                  <c:v>1619.8589406472765</c:v>
                </c:pt>
                <c:pt idx="3">
                  <c:v>1626.9940754427807</c:v>
                </c:pt>
                <c:pt idx="4">
                  <c:v>1633.0267459548536</c:v>
                </c:pt>
                <c:pt idx="5">
                  <c:v>1638.2524828482926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F4E-C243-9581-40EDD1999FA2}"/>
            </c:ext>
          </c:extLst>
        </c:ser>
        <c:ser>
          <c:idx val="4"/>
          <c:order val="4"/>
          <c:tx>
            <c:strRef>
              <c:f>'Cash Flows'!$B$26</c:f>
              <c:strCache>
                <c:ptCount val="1"/>
                <c:pt idx="0">
                  <c:v> Stromkosten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[0]!ICE_Cost_of_Electricity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F4E-C243-9581-40EDD1999FA2}"/>
            </c:ext>
          </c:extLst>
        </c:ser>
        <c:ser>
          <c:idx val="5"/>
          <c:order val="5"/>
          <c:tx>
            <c:strRef>
              <c:f>'Cash Flows'!$B$27</c:f>
              <c:strCache>
                <c:ptCount val="1"/>
                <c:pt idx="0">
                  <c:v> Kfz-Steuern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[0]!ICE_Vehicle_tax</c:f>
              <c:numCache>
                <c:formatCode>_-* #,##0\ [$€-407]_-;\-* #,##0\ [$€-407]_-;_-* "-"??\ [$€-407]_-;_-@_-</c:formatCode>
                <c:ptCount val="6"/>
                <c:pt idx="0">
                  <c:v>49.28</c:v>
                </c:pt>
                <c:pt idx="1">
                  <c:v>49.28</c:v>
                </c:pt>
                <c:pt idx="2">
                  <c:v>49.28</c:v>
                </c:pt>
                <c:pt idx="3">
                  <c:v>49.28</c:v>
                </c:pt>
                <c:pt idx="4">
                  <c:v>49.28</c:v>
                </c:pt>
                <c:pt idx="5">
                  <c:v>49.28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F4E-C243-9581-40EDD1999FA2}"/>
            </c:ext>
          </c:extLst>
        </c:ser>
        <c:ser>
          <c:idx val="8"/>
          <c:order val="6"/>
          <c:tx>
            <c:strRef>
              <c:f>'Cash Flows'!$B$30</c:f>
              <c:strCache>
                <c:ptCount val="1"/>
                <c:pt idx="0">
                  <c:v> Parkgebühren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[0]!ICE_Parking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F4E-C243-9581-40EDD1999FA2}"/>
            </c:ext>
          </c:extLst>
        </c:ser>
        <c:ser>
          <c:idx val="9"/>
          <c:order val="7"/>
          <c:tx>
            <c:strRef>
              <c:f>'Cash Flows'!$B$31</c:f>
              <c:strCache>
                <c:ptCount val="1"/>
                <c:pt idx="0">
                  <c:v> City-Maut </c:v>
                </c:pt>
              </c:strCache>
            </c:strRef>
          </c:tx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[0]!ICE_Congestion_pricing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F4E-C243-9581-40EDD1999FA2}"/>
            </c:ext>
          </c:extLst>
        </c:ser>
        <c:ser>
          <c:idx val="10"/>
          <c:order val="8"/>
          <c:tx>
            <c:strRef>
              <c:f>'Cash Flows'!$B$32</c:f>
              <c:strCache>
                <c:ptCount val="1"/>
                <c:pt idx="0">
                  <c:v> Verkaufserlös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[0]!ICE_Residual_Value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-7626.178350000001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F4E-C243-9581-40EDD199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513880"/>
        <c:axId val="373828872"/>
      </c:barChart>
      <c:barChart>
        <c:barDir val="col"/>
        <c:grouping val="stacked"/>
        <c:varyColors val="0"/>
        <c:ser>
          <c:idx val="11"/>
          <c:order val="9"/>
          <c:tx>
            <c:strRef>
              <c:f>'Cash Flows'!$B$34</c:f>
              <c:strCache>
                <c:ptCount val="1"/>
                <c:pt idx="0">
                  <c:v> Summe Zeitwerte 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1823759413250913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F4E-C243-9581-40EDD1999FA2}"/>
                </c:ext>
              </c:extLst>
            </c:dLbl>
            <c:dLbl>
              <c:idx val="1"/>
              <c:layout>
                <c:manualLayout>
                  <c:x val="-1.5741833923652105E-3"/>
                  <c:y val="-6.377903696617369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F4E-C243-9581-40EDD1999FA2}"/>
                </c:ext>
              </c:extLst>
            </c:dLbl>
            <c:dLbl>
              <c:idx val="2"/>
              <c:layout>
                <c:manualLayout>
                  <c:x val="0"/>
                  <c:y val="-5.96253505694966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F4E-C243-9581-40EDD1999FA2}"/>
                </c:ext>
              </c:extLst>
            </c:dLbl>
            <c:dLbl>
              <c:idx val="3"/>
              <c:layout>
                <c:manualLayout>
                  <c:x val="0"/>
                  <c:y val="-5.9625350569496645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F4E-C243-9581-40EDD1999FA2}"/>
                </c:ext>
              </c:extLst>
            </c:dLbl>
            <c:dLbl>
              <c:idx val="4"/>
              <c:layout>
                <c:manualLayout>
                  <c:x val="0"/>
                  <c:y val="-7.208640975952772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F4E-C243-9581-40EDD1999FA2}"/>
                </c:ext>
              </c:extLst>
            </c:dLbl>
            <c:dLbl>
              <c:idx val="5"/>
              <c:layout>
                <c:manualLayout>
                  <c:x val="0"/>
                  <c:y val="0.104683036115812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F4E-C243-9581-40EDD1999FA2}"/>
                </c:ext>
              </c:extLst>
            </c:dLbl>
            <c:spPr>
              <a:solidFill>
                <a:sysClr val="window" lastClr="FFFFFF"/>
              </a:solidFill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'Cash Flows'!$C$20:$P$20</c:f>
              <c:numCache>
                <c:formatCode>General</c:formatCode>
                <c:ptCount val="14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</c:numCache>
            </c:numRef>
          </c:cat>
          <c:val>
            <c:numRef>
              <c:f>[0]!ICE_Summe</c:f>
              <c:numCache>
                <c:formatCode>_-* #,##0\ [$€-407]_-;\-* #,##0\ [$€-407]_-;_-* "-"??\ [$€-407]_-;_-@_-</c:formatCode>
                <c:ptCount val="6"/>
                <c:pt idx="0">
                  <c:v>22340.434015972674</c:v>
                </c:pt>
                <c:pt idx="1">
                  <c:v>3424.9612272269414</c:v>
                </c:pt>
                <c:pt idx="2">
                  <c:v>3433.0958629826555</c:v>
                </c:pt>
                <c:pt idx="3">
                  <c:v>3439.629042311386</c:v>
                </c:pt>
                <c:pt idx="4">
                  <c:v>3445.0607366820477</c:v>
                </c:pt>
                <c:pt idx="5">
                  <c:v>-4176.491874833835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F4E-C243-9581-40EDD1999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829656"/>
        <c:axId val="373829264"/>
      </c:barChart>
      <c:catAx>
        <c:axId val="37351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</c:spPr>
        <c:crossAx val="373828872"/>
        <c:crosses val="autoZero"/>
        <c:auto val="1"/>
        <c:lblAlgn val="ctr"/>
        <c:lblOffset val="100"/>
        <c:noMultiLvlLbl val="0"/>
      </c:catAx>
      <c:valAx>
        <c:axId val="373828872"/>
        <c:scaling>
          <c:orientation val="minMax"/>
          <c:max val="40000"/>
          <c:min val="-15000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_-* #,##0\ [$€-407]_-;\-* #,##0\ [$€-407]_-;_-* &quot;-&quot;??\ [$€-407]_-;_-@_-" sourceLinked="1"/>
        <c:majorTickMark val="out"/>
        <c:minorTickMark val="none"/>
        <c:tickLblPos val="nextTo"/>
        <c:crossAx val="373513880"/>
        <c:crosses val="autoZero"/>
        <c:crossBetween val="between"/>
        <c:majorUnit val="5000"/>
      </c:valAx>
      <c:valAx>
        <c:axId val="373829264"/>
        <c:scaling>
          <c:orientation val="minMax"/>
          <c:max val="40000"/>
          <c:min val="-15000"/>
        </c:scaling>
        <c:delete val="1"/>
        <c:axPos val="r"/>
        <c:numFmt formatCode="_-* #,##0\ [$€-407]_-;\-* #,##0\ [$€-407]_-;_-* &quot;-&quot;??\ [$€-407]_-;_-@_-" sourceLinked="1"/>
        <c:majorTickMark val="out"/>
        <c:minorTickMark val="none"/>
        <c:tickLblPos val="nextTo"/>
        <c:crossAx val="373829656"/>
        <c:crosses val="max"/>
        <c:crossBetween val="between"/>
      </c:valAx>
      <c:catAx>
        <c:axId val="3738296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829264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1"/>
        <c:delete val="1"/>
      </c:legendEntry>
      <c:legendEntry>
        <c:idx val="4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9"/>
        <c:delete val="1"/>
      </c:legendEntry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'Cash Flows'!$B$42</c:f>
              <c:strCache>
                <c:ptCount val="1"/>
                <c:pt idx="0">
                  <c:v> Kaufpreis </c:v>
                </c:pt>
              </c:strCache>
            </c:strRef>
          </c:tx>
          <c:invertIfNegative val="0"/>
          <c:cat>
            <c:numRef>
              <c:f>'Cash Flows'!$C$39:$L$39</c:f>
              <c:numCache>
                <c:formatCode>General</c:formatCode>
                <c:ptCount val="10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</c:numCache>
            </c:numRef>
          </c:cat>
          <c:val>
            <c:numRef>
              <c:f>[0]!BEV_Upfront_Cost</c:f>
              <c:numCache>
                <c:formatCode>_-* #,##0\ [$€-407]_-;\-* #,##0\ [$€-407]_-;_-* "-"??\ [$€-407]_-;_-@_-</c:formatCode>
                <c:ptCount val="6"/>
                <c:pt idx="0">
                  <c:v>35437.445653265364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07-EE49-8195-64D9BB9EB315}"/>
            </c:ext>
          </c:extLst>
        </c:ser>
        <c:ser>
          <c:idx val="2"/>
          <c:order val="1"/>
          <c:tx>
            <c:strRef>
              <c:f>'Cash Flows'!$B$44</c:f>
              <c:strCache>
                <c:ptCount val="1"/>
                <c:pt idx="0">
                  <c:v> Zinsen </c:v>
                </c:pt>
              </c:strCache>
            </c:strRef>
          </c:tx>
          <c:invertIfNegative val="0"/>
          <c:val>
            <c:numRef>
              <c:f>[0]!BEV_Interest</c:f>
              <c:numCache>
                <c:formatCode>_-* #,##0\ [$€-407]_-;\-* #,##0\ [$€-407]_-;_-* "-"??\ [$€-407]_-;_-@_-</c:formatCode>
                <c:ptCount val="6"/>
                <c:pt idx="0">
                  <c:v>913.95369142494451</c:v>
                </c:pt>
                <c:pt idx="1">
                  <c:v>913.95369142494451</c:v>
                </c:pt>
                <c:pt idx="2">
                  <c:v>913.95369142494451</c:v>
                </c:pt>
                <c:pt idx="3">
                  <c:v>913.95369142494451</c:v>
                </c:pt>
                <c:pt idx="4">
                  <c:v>913.95369142494451</c:v>
                </c:pt>
                <c:pt idx="5">
                  <c:v>913.95369142494451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07-EE49-8195-64D9BB9EB315}"/>
            </c:ext>
          </c:extLst>
        </c:ser>
        <c:ser>
          <c:idx val="3"/>
          <c:order val="2"/>
          <c:tx>
            <c:strRef>
              <c:f>'Cash Flows'!$B$45</c:f>
              <c:strCache>
                <c:ptCount val="1"/>
                <c:pt idx="0">
                  <c:v> Benzinkosten </c:v>
                </c:pt>
              </c:strCache>
            </c:strRef>
          </c:tx>
          <c:invertIfNegative val="0"/>
          <c:val>
            <c:numRef>
              <c:f>[0]!BEV_Cost_of_Fuel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A07-EE49-8195-64D9BB9EB315}"/>
            </c:ext>
          </c:extLst>
        </c:ser>
        <c:ser>
          <c:idx val="4"/>
          <c:order val="3"/>
          <c:tx>
            <c:strRef>
              <c:f>'Cash Flows'!$B$46</c:f>
              <c:strCache>
                <c:ptCount val="1"/>
                <c:pt idx="0">
                  <c:v> Stromkosten </c:v>
                </c:pt>
              </c:strCache>
            </c:strRef>
          </c:tx>
          <c:invertIfNegative val="0"/>
          <c:val>
            <c:numRef>
              <c:f>[0]!BEV_Cost_of_Electricity</c:f>
              <c:numCache>
                <c:formatCode>_-* #,##0\ [$€-407]_-;\-* #,##0\ [$€-407]_-;_-* "-"??\ [$€-407]_-;_-@_-</c:formatCode>
                <c:ptCount val="6"/>
                <c:pt idx="0">
                  <c:v>717.72556274999999</c:v>
                </c:pt>
                <c:pt idx="1">
                  <c:v>723.5373949982544</c:v>
                </c:pt>
                <c:pt idx="2">
                  <c:v>728.78740933097674</c:v>
                </c:pt>
                <c:pt idx="3">
                  <c:v>733.69708978446317</c:v>
                </c:pt>
                <c:pt idx="4">
                  <c:v>738.38341914340083</c:v>
                </c:pt>
                <c:pt idx="5">
                  <c:v>742.91568229557345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A07-EE49-8195-64D9BB9EB315}"/>
            </c:ext>
          </c:extLst>
        </c:ser>
        <c:ser>
          <c:idx val="5"/>
          <c:order val="4"/>
          <c:tx>
            <c:strRef>
              <c:f>'Cash Flows'!$B$47</c:f>
              <c:strCache>
                <c:ptCount val="1"/>
                <c:pt idx="0">
                  <c:v> Kfz-Steuern </c:v>
                </c:pt>
              </c:strCache>
            </c:strRef>
          </c:tx>
          <c:invertIfNegative val="0"/>
          <c:val>
            <c:numRef>
              <c:f>[0]!BEV_Vehicle_tax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A07-EE49-8195-64D9BB9EB315}"/>
            </c:ext>
          </c:extLst>
        </c:ser>
        <c:ser>
          <c:idx val="8"/>
          <c:order val="5"/>
          <c:tx>
            <c:strRef>
              <c:f>'Cash Flows'!$B$50</c:f>
              <c:strCache>
                <c:ptCount val="1"/>
                <c:pt idx="0">
                  <c:v> Parkgebühren </c:v>
                </c:pt>
              </c:strCache>
            </c:strRef>
          </c:tx>
          <c:invertIfNegative val="0"/>
          <c:val>
            <c:numRef>
              <c:f>[0]!BEV_Parking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A07-EE49-8195-64D9BB9EB315}"/>
            </c:ext>
          </c:extLst>
        </c:ser>
        <c:ser>
          <c:idx val="10"/>
          <c:order val="6"/>
          <c:tx>
            <c:strRef>
              <c:f>'Cash Flows'!$B$52</c:f>
              <c:strCache>
                <c:ptCount val="1"/>
                <c:pt idx="0">
                  <c:v> Verkaufserlös </c:v>
                </c:pt>
              </c:strCache>
            </c:strRef>
          </c:tx>
          <c:invertIfNegative val="0"/>
          <c:val>
            <c:numRef>
              <c:f>[0]!BEV_Residual_value</c:f>
              <c:numCache>
                <c:formatCode>_-* #,##0\ [$€-407]_-;\-* #,##0\ [$€-407]_-;_-* "-"??\ [$€-407]_-;_-@_-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-8884.2099623784015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A07-EE49-8195-64D9BB9EB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830048"/>
        <c:axId val="373892664"/>
      </c:barChart>
      <c:barChart>
        <c:barDir val="col"/>
        <c:grouping val="stacked"/>
        <c:varyColors val="0"/>
        <c:ser>
          <c:idx val="11"/>
          <c:order val="7"/>
          <c:tx>
            <c:strRef>
              <c:f>'Cash Flows'!$B$54</c:f>
              <c:strCache>
                <c:ptCount val="1"/>
                <c:pt idx="0">
                  <c:v> Summe Zeitwerte </c:v>
                </c:pt>
              </c:strCache>
            </c:strRef>
          </c:tx>
          <c:spPr>
            <a:noFill/>
          </c:spPr>
          <c:invertIfNegative val="0"/>
          <c:dLbls>
            <c:dLbl>
              <c:idx val="0"/>
              <c:layout>
                <c:manualLayout>
                  <c:x val="0"/>
                  <c:y val="-0.2864091599672690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07-EE49-8195-64D9BB9EB315}"/>
                </c:ext>
              </c:extLst>
            </c:dLbl>
            <c:dLbl>
              <c:idx val="1"/>
              <c:layout>
                <c:manualLayout>
                  <c:x val="1.5134317063942491E-3"/>
                  <c:y val="-5.545011370031466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CA07-EE49-8195-64D9BB9EB315}"/>
                </c:ext>
              </c:extLst>
            </c:dLbl>
            <c:dLbl>
              <c:idx val="2"/>
              <c:layout>
                <c:manualLayout>
                  <c:x val="0"/>
                  <c:y val="-5.545011370031466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CA07-EE49-8195-64D9BB9EB315}"/>
                </c:ext>
              </c:extLst>
            </c:dLbl>
            <c:dLbl>
              <c:idx val="3"/>
              <c:layout>
                <c:manualLayout>
                  <c:x val="0"/>
                  <c:y val="-5.5450113700314663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CA07-EE49-8195-64D9BB9EB315}"/>
                </c:ext>
              </c:extLst>
            </c:dLbl>
            <c:dLbl>
              <c:idx val="4"/>
              <c:layout>
                <c:manualLayout>
                  <c:x val="0"/>
                  <c:y val="-5.1289946612280944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CA07-EE49-8195-64D9BB9EB315}"/>
                </c:ext>
              </c:extLst>
            </c:dLbl>
            <c:dLbl>
              <c:idx val="5"/>
              <c:layout>
                <c:manualLayout>
                  <c:x val="0"/>
                  <c:y val="0.1357813023091876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CA07-EE49-8195-64D9BB9EB315}"/>
                </c:ext>
              </c:extLst>
            </c:dLbl>
            <c:spPr>
              <a:solidFill>
                <a:sysClr val="window" lastClr="FFFFFF"/>
              </a:solidFill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[0]!BEV_Summe</c:f>
              <c:numCache>
                <c:formatCode>_-* #,##0\ [$€-407]_-;\-* #,##0\ [$€-407]_-;_-* "-"??\ [$€-407]_-;_-@_-</c:formatCode>
                <c:ptCount val="6"/>
                <c:pt idx="0">
                  <c:v>38394.737292302489</c:v>
                </c:pt>
                <c:pt idx="1">
                  <c:v>2962.3060150313058</c:v>
                </c:pt>
                <c:pt idx="2">
                  <c:v>2966.7611007559212</c:v>
                </c:pt>
                <c:pt idx="3">
                  <c:v>2971.0678802976217</c:v>
                </c:pt>
                <c:pt idx="4">
                  <c:v>2975.1527627028104</c:v>
                </c:pt>
                <c:pt idx="5">
                  <c:v>-5905.1249330254996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A07-EE49-8195-64D9BB9EB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3893056"/>
        <c:axId val="373891096"/>
      </c:barChart>
      <c:catAx>
        <c:axId val="373830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solidFill>
            <a:sysClr val="window" lastClr="FFFFFF"/>
          </a:solidFill>
        </c:spPr>
        <c:crossAx val="373892664"/>
        <c:crosses val="autoZero"/>
        <c:auto val="1"/>
        <c:lblAlgn val="ctr"/>
        <c:lblOffset val="100"/>
        <c:noMultiLvlLbl val="0"/>
      </c:catAx>
      <c:valAx>
        <c:axId val="37389266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75000"/>
                </a:schemeClr>
              </a:solidFill>
            </a:ln>
          </c:spPr>
        </c:majorGridlines>
        <c:numFmt formatCode="_-* #,##0\ [$€-407]_-;\-* #,##0\ [$€-407]_-;_-* &quot;-&quot;??\ [$€-407]_-;_-@_-" sourceLinked="1"/>
        <c:majorTickMark val="out"/>
        <c:minorTickMark val="none"/>
        <c:tickLblPos val="nextTo"/>
        <c:crossAx val="373830048"/>
        <c:crosses val="autoZero"/>
        <c:crossBetween val="between"/>
        <c:majorUnit val="5000"/>
      </c:valAx>
      <c:valAx>
        <c:axId val="373891096"/>
        <c:scaling>
          <c:orientation val="minMax"/>
          <c:max val="40000"/>
          <c:min val="-15000"/>
        </c:scaling>
        <c:delete val="0"/>
        <c:axPos val="r"/>
        <c:numFmt formatCode="_-* #,##0\ [$€-407]_-;\-* #,##0\ [$€-407]_-;_-* &quot;-&quot;??\ [$€-407]_-;_-@_-" sourceLinked="1"/>
        <c:majorTickMark val="out"/>
        <c:minorTickMark val="none"/>
        <c:tickLblPos val="nextTo"/>
        <c:crossAx val="373893056"/>
        <c:crosses val="max"/>
        <c:crossBetween val="between"/>
      </c:valAx>
      <c:catAx>
        <c:axId val="373893056"/>
        <c:scaling>
          <c:orientation val="minMax"/>
        </c:scaling>
        <c:delete val="1"/>
        <c:axPos val="b"/>
        <c:majorTickMark val="out"/>
        <c:minorTickMark val="none"/>
        <c:tickLblPos val="nextTo"/>
        <c:crossAx val="373891096"/>
        <c:crosses val="autoZero"/>
        <c:auto val="1"/>
        <c:lblAlgn val="ctr"/>
        <c:lblOffset val="100"/>
        <c:noMultiLvlLbl val="0"/>
      </c:catAx>
    </c:plotArea>
    <c:legend>
      <c:legendPos val="b"/>
      <c:legendEntry>
        <c:idx val="2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7"/>
        <c:delete val="1"/>
      </c:legendEntry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4494254169149"/>
          <c:y val="2.4002043992288575E-2"/>
          <c:w val="0.62449629379149696"/>
          <c:h val="0.85285978493194681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dLbls>
            <c:delete val="1"/>
          </c:dLbls>
          <c:cat>
            <c:numRef>
              <c:f>'NR Kraftstoffpreisprognosen'!$A$4:$A$59</c:f>
              <c:numCache>
                <c:formatCode>General</c:formatCode>
                <c:ptCount val="5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</c:numCache>
            </c:numRef>
          </c:cat>
          <c:val>
            <c:numRef>
              <c:f>'NR Kraftstoffpreisprognosen'!$T$2:$T$59</c:f>
              <c:numCache>
                <c:formatCode>General</c:formatCode>
                <c:ptCount val="58"/>
                <c:pt idx="1">
                  <c:v>19</c:v>
                </c:pt>
                <c:pt idx="2" formatCode="_(&quot;$&quot;* #,##0_);_(&quot;$&quot;* \(#,##0\);_(&quot;$&quot;* &quot;-&quot;??_);_(@_)">
                  <c:v>36.83</c:v>
                </c:pt>
                <c:pt idx="3" formatCode="_(&quot;$&quot;* #,##0_);_(&quot;$&quot;* \(#,##0\);_(&quot;$&quot;* &quot;-&quot;??_);_(@_)">
                  <c:v>35.93</c:v>
                </c:pt>
                <c:pt idx="4" formatCode="_(&quot;$&quot;* #,##0_);_(&quot;$&quot;* \(#,##0\);_(&quot;$&quot;* &quot;-&quot;??_);_(@_)">
                  <c:v>32.97</c:v>
                </c:pt>
                <c:pt idx="5" formatCode="_(&quot;$&quot;* #,##0_);_(&quot;$&quot;* \(#,##0\);_(&quot;$&quot;* &quot;-&quot;??_);_(@_)">
                  <c:v>29.55</c:v>
                </c:pt>
                <c:pt idx="6" formatCode="_(&quot;$&quot;* #,##0_);_(&quot;$&quot;* \(#,##0\);_(&quot;$&quot;* &quot;-&quot;??_);_(@_)">
                  <c:v>28.78</c:v>
                </c:pt>
                <c:pt idx="7" formatCode="_(&quot;$&quot;* #,##0_);_(&quot;$&quot;* \(#,##0\);_(&quot;$&quot;* &quot;-&quot;??_);_(@_)">
                  <c:v>27.56</c:v>
                </c:pt>
                <c:pt idx="8" formatCode="_(&quot;$&quot;* #,##0_);_(&quot;$&quot;* \(#,##0\);_(&quot;$&quot;* &quot;-&quot;??_);_(@_)">
                  <c:v>14.43</c:v>
                </c:pt>
                <c:pt idx="9" formatCode="_(&quot;$&quot;* #,##0_);_(&quot;$&quot;* \(#,##0\);_(&quot;$&quot;* &quot;-&quot;??_);_(@_)">
                  <c:v>18.440000000000001</c:v>
                </c:pt>
                <c:pt idx="10" formatCode="_(&quot;$&quot;* #,##0_);_(&quot;$&quot;* \(#,##0\);_(&quot;$&quot;* &quot;-&quot;??_);_(@_)">
                  <c:v>14.92</c:v>
                </c:pt>
                <c:pt idx="11" formatCode="_(&quot;$&quot;* #,##0_);_(&quot;$&quot;* \(#,##0\);_(&quot;$&quot;* &quot;-&quot;??_);_(@_)">
                  <c:v>18.23</c:v>
                </c:pt>
                <c:pt idx="12" formatCode="_(&quot;$&quot;* #,##0_);_(&quot;$&quot;* \(#,##0\);_(&quot;$&quot;* &quot;-&quot;??_);_(@_)">
                  <c:v>23.73</c:v>
                </c:pt>
                <c:pt idx="13" formatCode="_(&quot;$&quot;* #,##0_);_(&quot;$&quot;* \(#,##0\);_(&quot;$&quot;* &quot;-&quot;??_);_(@_)">
                  <c:v>20</c:v>
                </c:pt>
                <c:pt idx="14" formatCode="_(&quot;$&quot;* #,##0_);_(&quot;$&quot;* \(#,##0\);_(&quot;$&quot;* &quot;-&quot;??_);_(@_)">
                  <c:v>19.32</c:v>
                </c:pt>
                <c:pt idx="15" formatCode="_(&quot;$&quot;* #,##0_);_(&quot;$&quot;* \(#,##0\);_(&quot;$&quot;* &quot;-&quot;??_);_(@_)">
                  <c:v>16.97</c:v>
                </c:pt>
                <c:pt idx="16" formatCode="_(&quot;$&quot;* #,##0_);_(&quot;$&quot;* \(#,##0\);_(&quot;$&quot;* &quot;-&quot;??_);_(@_)">
                  <c:v>15.82</c:v>
                </c:pt>
                <c:pt idx="17" formatCode="_(&quot;$&quot;* #,##0_);_(&quot;$&quot;* \(#,##0\);_(&quot;$&quot;* &quot;-&quot;??_);_(@_)">
                  <c:v>17.02</c:v>
                </c:pt>
                <c:pt idx="18" formatCode="_(&quot;$&quot;* #,##0_);_(&quot;$&quot;* \(#,##0\);_(&quot;$&quot;* &quot;-&quot;??_);_(@_)">
                  <c:v>20.67</c:v>
                </c:pt>
                <c:pt idx="19" formatCode="_(&quot;$&quot;* #,##0_);_(&quot;$&quot;* \(#,##0\);_(&quot;$&quot;* &quot;-&quot;??_);_(@_)">
                  <c:v>19.09</c:v>
                </c:pt>
                <c:pt idx="20" formatCode="_(&quot;$&quot;* #,##0_);_(&quot;$&quot;* \(#,##0\);_(&quot;$&quot;* &quot;-&quot;??_);_(@_)">
                  <c:v>12.72</c:v>
                </c:pt>
                <c:pt idx="21" formatCode="_(&quot;$&quot;* #,##0_);_(&quot;$&quot;* \(#,##0\);_(&quot;$&quot;* &quot;-&quot;??_);_(@_)">
                  <c:v>17.97</c:v>
                </c:pt>
                <c:pt idx="22" formatCode="_(&quot;$&quot;* #,##0_);_(&quot;$&quot;* \(#,##0\);_(&quot;$&quot;* &quot;-&quot;??_);_(@_)">
                  <c:v>28.5</c:v>
                </c:pt>
                <c:pt idx="23" formatCode="_(&quot;$&quot;* #,##0_);_(&quot;$&quot;* \(#,##0\);_(&quot;$&quot;* &quot;-&quot;??_);_(@_)">
                  <c:v>24.44</c:v>
                </c:pt>
                <c:pt idx="24" formatCode="_(&quot;$&quot;* #,##0_);_(&quot;$&quot;* \(#,##0\);_(&quot;$&quot;* &quot;-&quot;??_);_(@_)">
                  <c:v>25.02</c:v>
                </c:pt>
                <c:pt idx="25" formatCode="_(&quot;$&quot;* #,##0_);_(&quot;$&quot;* \(#,##0\);_(&quot;$&quot;* &quot;-&quot;??_);_(@_)">
                  <c:v>28.83</c:v>
                </c:pt>
                <c:pt idx="26" formatCode="_(&quot;$&quot;* #,##0_);_(&quot;$&quot;* \(#,##0\);_(&quot;$&quot;* &quot;-&quot;??_);_(@_)">
                  <c:v>38.270000000000003</c:v>
                </c:pt>
                <c:pt idx="27" formatCode="_(&quot;$&quot;* #,##0_);_(&quot;$&quot;* \(#,##0\);_(&quot;$&quot;* &quot;-&quot;??_);_(@_)">
                  <c:v>54.52</c:v>
                </c:pt>
                <c:pt idx="28" formatCode="_(&quot;$&quot;* #,##0_);_(&quot;$&quot;* \(#,##0\);_(&quot;$&quot;* &quot;-&quot;??_);_(@_)">
                  <c:v>65.14</c:v>
                </c:pt>
                <c:pt idx="29" formatCode="_(&quot;$&quot;* #,##0_);_(&quot;$&quot;* \(#,##0\);_(&quot;$&quot;* &quot;-&quot;??_);_(@_)">
                  <c:v>72.39</c:v>
                </c:pt>
                <c:pt idx="30" formatCode="_(&quot;$&quot;* #,##0_);_(&quot;$&quot;* \(#,##0\);_(&quot;$&quot;* &quot;-&quot;??_);_(@_)">
                  <c:v>97.26</c:v>
                </c:pt>
                <c:pt idx="31" formatCode="_(&quot;$&quot;* #,##0_);_(&quot;$&quot;* \(#,##0\);_(&quot;$&quot;* &quot;-&quot;??_);_(@_)">
                  <c:v>61.67</c:v>
                </c:pt>
                <c:pt idx="32" formatCode="_(&quot;$&quot;* #,##0_);_(&quot;$&quot;* \(#,##0\);_(&quot;$&quot;* &quot;-&quot;??_);_(@_)">
                  <c:v>79.5</c:v>
                </c:pt>
                <c:pt idx="33" formatCode="_(&quot;$&quot;* #,##0_);_(&quot;$&quot;* \(#,##0\);_(&quot;$&quot;* &quot;-&quot;??_);_(@_)">
                  <c:v>107.6</c:v>
                </c:pt>
                <c:pt idx="34" formatCode="_(&quot;$&quot;* #,##0.0_);_(&quot;$&quot;* \(#,##0.0\);_(&quot;$&quot;* &quot;-&quot;??_);_(@_)">
                  <c:v>111.3429947750237</c:v>
                </c:pt>
                <c:pt idx="35" formatCode="_(&quot;$&quot;* #,##0.0_);_(&quot;$&quot;* \(#,##0.0\);_(&quot;$&quot;* &quot;-&quot;??_);_(@_)">
                  <c:v>113.53250635880779</c:v>
                </c:pt>
                <c:pt idx="36" formatCode="_(&quot;$&quot;* #,##0.0_);_(&quot;$&quot;* \(#,##0.0\);_(&quot;$&quot;* &quot;-&quot;??_);_(@_)">
                  <c:v>115.0859895500474</c:v>
                </c:pt>
                <c:pt idx="37" formatCode="_(&quot;$&quot;* #,##0.0_);_(&quot;$&quot;* \(#,##0.0\);_(&quot;$&quot;* &quot;-&quot;??_);_(@_)">
                  <c:v>116.29096472714414</c:v>
                </c:pt>
                <c:pt idx="38" formatCode="_(&quot;$&quot;* #,##0.0_);_(&quot;$&quot;* \(#,##0.0\);_(&quot;$&quot;* &quot;-&quot;??_);_(@_)">
                  <c:v>117.2755011338315</c:v>
                </c:pt>
                <c:pt idx="39" formatCode="_(&quot;$&quot;* #,##0.0_);_(&quot;$&quot;* \(#,##0.0\);_(&quot;$&quot;* &quot;-&quot;??_);_(@_)">
                  <c:v>118.10791480489868</c:v>
                </c:pt>
                <c:pt idx="40" formatCode="_(&quot;$&quot;* #,##0.0_);_(&quot;$&quot;* \(#,##0.0\);_(&quot;$&quot;* &quot;-&quot;??_);_(@_)">
                  <c:v>118.8289843250711</c:v>
                </c:pt>
                <c:pt idx="41" formatCode="_(&quot;$&quot;* #,##0.0_);_(&quot;$&quot;* \(#,##0.0\);_(&quot;$&quot;* &quot;-&quot;??_);_(@_)">
                  <c:v>119.46501271761558</c:v>
                </c:pt>
                <c:pt idx="42" formatCode="_(&quot;$&quot;* #,##0.0_);_(&quot;$&quot;* \(#,##0.0\);_(&quot;$&quot;* &quot;-&quot;??_);_(@_)">
                  <c:v>120.03395950216785</c:v>
                </c:pt>
                <c:pt idx="43" formatCode="_(&quot;$&quot;* #,##0.0_);_(&quot;$&quot;* \(#,##0.0\);_(&quot;$&quot;* &quot;-&quot;??_);_(@_)">
                  <c:v>120.54863447311119</c:v>
                </c:pt>
                <c:pt idx="44" formatCode="_(&quot;$&quot;* #,##0.0_);_(&quot;$&quot;* \(#,##0.0\);_(&quot;$&quot;* &quot;-&quot;??_);_(@_)">
                  <c:v>121.0184959088552</c:v>
                </c:pt>
                <c:pt idx="45" formatCode="_(&quot;$&quot;* #,##0.0_);_(&quot;$&quot;* \(#,##0.0\);_(&quot;$&quot;* &quot;-&quot;??_);_(@_)">
                  <c:v>121.45072653029229</c:v>
                </c:pt>
                <c:pt idx="46" formatCode="_(&quot;$&quot;* #,##0.0_);_(&quot;$&quot;* \(#,##0.0\);_(&quot;$&quot;* &quot;-&quot;??_);_(@_)">
                  <c:v>121.85090957992239</c:v>
                </c:pt>
                <c:pt idx="47" formatCode="_(&quot;$&quot;* #,##0.0_);_(&quot;$&quot;* \(#,##0.0\);_(&quot;$&quot;* &quot;-&quot;??_);_(@_)">
                  <c:v>122.22347108595193</c:v>
                </c:pt>
                <c:pt idx="48" formatCode="_(&quot;$&quot;* #,##0.0_);_(&quot;$&quot;* \(#,##0.0\);_(&quot;$&quot;* &quot;-&quot;??_);_(@_)">
                  <c:v>122.57197910009481</c:v>
                </c:pt>
                <c:pt idx="49" formatCode="_(&quot;$&quot;* #,##0.0_);_(&quot;$&quot;* \(#,##0.0\);_(&quot;$&quot;* &quot;-&quot;??_);_(@_)">
                  <c:v>122.89935205790357</c:v>
                </c:pt>
                <c:pt idx="50" formatCode="_(&quot;$&quot;* #,##0.0_);_(&quot;$&quot;* \(#,##0.0\);_(&quot;$&quot;* &quot;-&quot;??_);_(@_)">
                  <c:v>123.20800749263928</c:v>
                </c:pt>
                <c:pt idx="51" formatCode="_(&quot;$&quot;* #,##0.0_);_(&quot;$&quot;* \(#,##0.0\);_(&quot;$&quot;* &quot;-&quot;??_);_(@_)">
                  <c:v>123.49997048749877</c:v>
                </c:pt>
                <c:pt idx="52" formatCode="_(&quot;$&quot;* #,##0.0_);_(&quot;$&quot;* \(#,##0.0\);_(&quot;$&quot;* &quot;-&quot;??_);_(@_)">
                  <c:v>123.77695427719155</c:v>
                </c:pt>
                <c:pt idx="53" formatCode="_(&quot;$&quot;* #,##0.0_);_(&quot;$&quot;* \(#,##0.0\);_(&quot;$&quot;* &quot;-&quot;??_);_(@_)">
                  <c:v>124.04042116370648</c:v>
                </c:pt>
                <c:pt idx="54" formatCode="_(&quot;$&quot;* #,##0.0_);_(&quot;$&quot;* \(#,##0.0\);_(&quot;$&quot;* &quot;-&quot;??_);_(@_)">
                  <c:v>124.29162924813491</c:v>
                </c:pt>
                <c:pt idx="55" formatCode="_(&quot;$&quot;* #,##0.0_);_(&quot;$&quot;* \(#,##0.0\);_(&quot;$&quot;* &quot;-&quot;??_);_(@_)">
                  <c:v>124.5316687660174</c:v>
                </c:pt>
                <c:pt idx="56" formatCode="_(&quot;$&quot;* #,##0.0_);_(&quot;$&quot;* \(#,##0.0\);_(&quot;$&quot;* &quot;-&quot;??_);_(@_)">
                  <c:v>124.7614906838789</c:v>
                </c:pt>
                <c:pt idx="57" formatCode="_(&quot;$&quot;* #,##0_);_(&quot;$&quot;* \(#,##0\);_(&quot;$&quot;* &quot;-&quot;??_);_(@_)">
                  <c:v>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15-224A-BB6E-E0FFE8AC2C3A}"/>
            </c:ext>
          </c:extLst>
        </c:ser>
        <c:ser>
          <c:idx val="1"/>
          <c:order val="1"/>
          <c:spPr>
            <a:ln>
              <a:solidFill>
                <a:schemeClr val="accent3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'NR Kraftstoffpreisprognosen'!$A$4:$A$59</c:f>
              <c:numCache>
                <c:formatCode>General</c:formatCode>
                <c:ptCount val="5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</c:numCache>
            </c:numRef>
          </c:cat>
          <c:val>
            <c:numRef>
              <c:f>'NR Kraftstoffpreisprognosen'!$U$2:$U$59</c:f>
              <c:numCache>
                <c:formatCode>General</c:formatCode>
                <c:ptCount val="58"/>
                <c:pt idx="1">
                  <c:v>20</c:v>
                </c:pt>
                <c:pt idx="33" formatCode="_(&quot;$&quot;* #,##0_);_(&quot;$&quot;* \(#,##0\);_(&quot;$&quot;* &quot;-&quot;??_);_(@_)">
                  <c:v>107.6</c:v>
                </c:pt>
                <c:pt idx="34" formatCode="_(&quot;$&quot;* #,##0.0_);_(&quot;$&quot;* \(#,##0.0\);_(&quot;$&quot;* &quot;-&quot;??_);_(@_)">
                  <c:v>95.19266546797698</c:v>
                </c:pt>
                <c:pt idx="35" formatCode="_(&quot;$&quot;* #,##0.0_);_(&quot;$&quot;* \(#,##0.0\);_(&quot;$&quot;* &quot;-&quot;??_);_(@_)">
                  <c:v>87.934840032840839</c:v>
                </c:pt>
                <c:pt idx="36" formatCode="_(&quot;$&quot;* #,##0.0_);_(&quot;$&quot;* \(#,##0.0\);_(&quot;$&quot;* &quot;-&quot;??_);_(@_)">
                  <c:v>82.785330935953951</c:v>
                </c:pt>
                <c:pt idx="37" formatCode="_(&quot;$&quot;* #,##0.0_);_(&quot;$&quot;* \(#,##0.0\);_(&quot;$&quot;* &quot;-&quot;??_);_(@_)">
                  <c:v>78.791061367429606</c:v>
                </c:pt>
                <c:pt idx="38" formatCode="_(&quot;$&quot;* #,##0.0_);_(&quot;$&quot;* \(#,##0.0\);_(&quot;$&quot;* &quot;-&quot;??_);_(@_)">
                  <c:v>75.52750550081781</c:v>
                </c:pt>
                <c:pt idx="39" formatCode="_(&quot;$&quot;* #,##0.0_);_(&quot;$&quot;* \(#,##0.0\);_(&quot;$&quot;* &quot;-&quot;??_);_(@_)">
                  <c:v>72.768208331909889</c:v>
                </c:pt>
                <c:pt idx="40" formatCode="_(&quot;$&quot;* #,##0.0_);_(&quot;$&quot;* \(#,##0.0\);_(&quot;$&quot;* &quot;-&quot;??_);_(@_)">
                  <c:v>70.377996403930936</c:v>
                </c:pt>
                <c:pt idx="41" formatCode="_(&quot;$&quot;* #,##0.0_);_(&quot;$&quot;* \(#,##0.0\);_(&quot;$&quot;* &quot;-&quot;??_);_(@_)">
                  <c:v>68.269680065681669</c:v>
                </c:pt>
                <c:pt idx="42" formatCode="_(&quot;$&quot;* #,##0.0_);_(&quot;$&quot;* \(#,##0.0\);_(&quot;$&quot;* &quot;-&quot;??_);_(@_)">
                  <c:v>66.383726835406577</c:v>
                </c:pt>
                <c:pt idx="43" formatCode="_(&quot;$&quot;* #,##0.0_);_(&quot;$&quot;* \(#,##0.0\);_(&quot;$&quot;* &quot;-&quot;??_);_(@_)">
                  <c:v>64.677674616909172</c:v>
                </c:pt>
                <c:pt idx="44" formatCode="_(&quot;$&quot;* #,##0.0_);_(&quot;$&quot;* \(#,##0.0\);_(&quot;$&quot;* &quot;-&quot;??_);_(@_)">
                  <c:v>63.120170968794788</c:v>
                </c:pt>
                <c:pt idx="45" formatCode="_(&quot;$&quot;* #,##0.0_);_(&quot;$&quot;* \(#,##0.0\);_(&quot;$&quot;* &quot;-&quot;??_);_(@_)">
                  <c:v>61.687406501438488</c:v>
                </c:pt>
                <c:pt idx="46" formatCode="_(&quot;$&quot;* #,##0.0_);_(&quot;$&quot;* \(#,##0.0\);_(&quot;$&quot;* &quot;-&quot;??_);_(@_)">
                  <c:v>60.360873799886875</c:v>
                </c:pt>
                <c:pt idx="47" formatCode="_(&quot;$&quot;* #,##0.0_);_(&quot;$&quot;* \(#,##0.0\);_(&quot;$&quot;* &quot;-&quot;??_);_(@_)">
                  <c:v>59.125901400270436</c:v>
                </c:pt>
                <c:pt idx="48" formatCode="_(&quot;$&quot;* #,##0.0_);_(&quot;$&quot;* \(#,##0.0\);_(&quot;$&quot;* &quot;-&quot;??_);_(@_)">
                  <c:v>57.970661871907915</c:v>
                </c:pt>
                <c:pt idx="49" formatCode="_(&quot;$&quot;* #,##0.0_);_(&quot;$&quot;* \(#,##0.0\);_(&quot;$&quot;* &quot;-&quot;??_);_(@_)">
                  <c:v>56.885481141393726</c:v>
                </c:pt>
                <c:pt idx="50" formatCode="_(&quot;$&quot;* #,##0.0_);_(&quot;$&quot;* \(#,##0.0\);_(&quot;$&quot;* &quot;-&quot;??_);_(@_)">
                  <c:v>55.862345533658655</c:v>
                </c:pt>
                <c:pt idx="51" formatCode="_(&quot;$&quot;* #,##0.0_);_(&quot;$&quot;* \(#,##0.0\);_(&quot;$&quot;* &quot;-&quot;??_);_(@_)">
                  <c:v>54.894542272920717</c:v>
                </c:pt>
                <c:pt idx="52" formatCode="_(&quot;$&quot;* #,##0.0_);_(&quot;$&quot;* \(#,##0.0\);_(&quot;$&quot;* &quot;-&quot;??_);_(@_)">
                  <c:v>53.976392303383562</c:v>
                </c:pt>
                <c:pt idx="53" formatCode="_(&quot;$&quot;* #,##0.0_);_(&quot;$&quot;* \(#,##0.0\);_(&quot;$&quot;* &quot;-&quot;??_);_(@_)">
                  <c:v>53.103048364750727</c:v>
                </c:pt>
                <c:pt idx="54" formatCode="_(&quot;$&quot;* #,##0.0_);_(&quot;$&quot;* \(#,##0.0\);_(&quot;$&quot;* &quot;-&quot;??_);_(@_)">
                  <c:v>52.270340084886143</c:v>
                </c:pt>
                <c:pt idx="55" formatCode="_(&quot;$&quot;* #,##0.0_);_(&quot;$&quot;* \(#,##0.0\);_(&quot;$&quot;* &quot;-&quot;??_);_(@_)">
                  <c:v>51.474653534868217</c:v>
                </c:pt>
                <c:pt idx="56" formatCode="_(&quot;$&quot;* #,##0.0_);_(&quot;$&quot;* \(#,##0.0\);_(&quot;$&quot;* &quot;-&quot;??_);_(@_)">
                  <c:v>50.712836436771767</c:v>
                </c:pt>
                <c:pt idx="57">
                  <c:v>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15-224A-BB6E-E0FFE8AC2C3A}"/>
            </c:ext>
          </c:extLst>
        </c:ser>
        <c:ser>
          <c:idx val="2"/>
          <c:order val="2"/>
          <c:spPr>
            <a:ln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'NR Kraftstoffpreisprognosen'!$A$4:$A$59</c:f>
              <c:numCache>
                <c:formatCode>General</c:formatCode>
                <c:ptCount val="5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</c:numCache>
            </c:numRef>
          </c:cat>
          <c:val>
            <c:numRef>
              <c:f>'NR Kraftstoffpreisprognosen'!$V$2:$V$59</c:f>
              <c:numCache>
                <c:formatCode>General</c:formatCode>
                <c:ptCount val="58"/>
                <c:pt idx="1">
                  <c:v>21</c:v>
                </c:pt>
                <c:pt idx="33" formatCode="_(&quot;$&quot;* #,##0_);_(&quot;$&quot;* \(#,##0\);_(&quot;$&quot;* &quot;-&quot;??_);_(@_)">
                  <c:v>107.6</c:v>
                </c:pt>
                <c:pt idx="34" formatCode="_(&quot;$&quot;* #,##0.0_);_(&quot;$&quot;* \(#,##0.0\);_(&quot;$&quot;* &quot;-&quot;??_);_(@_)">
                  <c:v>106.00576148471212</c:v>
                </c:pt>
                <c:pt idx="35" formatCode="_(&quot;$&quot;* #,##0.0_);_(&quot;$&quot;* \(#,##0.0\);_(&quot;$&quot;* &quot;-&quot;??_);_(@_)">
                  <c:v>105.07319173606334</c:v>
                </c:pt>
                <c:pt idx="36" formatCode="_(&quot;$&quot;* #,##0.0_);_(&quot;$&quot;* \(#,##0.0\);_(&quot;$&quot;* &quot;-&quot;??_);_(@_)">
                  <c:v>104.41152296942424</c:v>
                </c:pt>
                <c:pt idx="37" formatCode="_(&quot;$&quot;* #,##0.0_);_(&quot;$&quot;* \(#,##0.0\);_(&quot;$&quot;* &quot;-&quot;??_);_(@_)">
                  <c:v>103.89829280140157</c:v>
                </c:pt>
                <c:pt idx="38" formatCode="_(&quot;$&quot;* #,##0.0_);_(&quot;$&quot;* \(#,##0.0\);_(&quot;$&quot;* &quot;-&quot;??_);_(@_)">
                  <c:v>103.47895322077547</c:v>
                </c:pt>
                <c:pt idx="39" formatCode="_(&quot;$&quot;* #,##0.0_);_(&quot;$&quot;* \(#,##0.0\);_(&quot;$&quot;* &quot;-&quot;??_);_(@_)">
                  <c:v>103.12440665717277</c:v>
                </c:pt>
                <c:pt idx="40" formatCode="_(&quot;$&quot;* #,##0.0_);_(&quot;$&quot;* \(#,##0.0\);_(&quot;$&quot;* &quot;-&quot;??_);_(@_)">
                  <c:v>102.81728445413637</c:v>
                </c:pt>
                <c:pt idx="41" formatCode="_(&quot;$&quot;* #,##0.0_);_(&quot;$&quot;* \(#,##0.0\);_(&quot;$&quot;* &quot;-&quot;??_);_(@_)">
                  <c:v>102.54638347212669</c:v>
                </c:pt>
                <c:pt idx="42" formatCode="_(&quot;$&quot;* #,##0.0_);_(&quot;$&quot;* \(#,##0.0\);_(&quot;$&quot;* &quot;-&quot;??_);_(@_)">
                  <c:v>102.30405428611368</c:v>
                </c:pt>
                <c:pt idx="43" formatCode="_(&quot;$&quot;* #,##0.0_);_(&quot;$&quot;* \(#,##0.0\);_(&quot;$&quot;* &quot;-&quot;??_);_(@_)">
                  <c:v>102.08484087256375</c:v>
                </c:pt>
                <c:pt idx="44" formatCode="_(&quot;$&quot;* #,##0.0_);_(&quot;$&quot;* \(#,##0.0\);_(&quot;$&quot;* &quot;-&quot;??_);_(@_)">
                  <c:v>101.8847147054876</c:v>
                </c:pt>
                <c:pt idx="45" formatCode="_(&quot;$&quot;* #,##0.0_);_(&quot;$&quot;* \(#,##0.0\);_(&quot;$&quot;* &quot;-&quot;??_);_(@_)">
                  <c:v>101.70061647783847</c:v>
                </c:pt>
                <c:pt idx="46" formatCode="_(&quot;$&quot;* #,##0.0_);_(&quot;$&quot;* \(#,##0.0\);_(&quot;$&quot;* &quot;-&quot;??_);_(@_)">
                  <c:v>101.5301681418849</c:v>
                </c:pt>
                <c:pt idx="47" formatCode="_(&quot;$&quot;* #,##0.0_);_(&quot;$&quot;* \(#,##0.0\);_(&quot;$&quot;* &quot;-&quot;??_);_(@_)">
                  <c:v>101.37148453746491</c:v>
                </c:pt>
                <c:pt idx="48" formatCode="_(&quot;$&quot;* #,##0.0_);_(&quot;$&quot;* \(#,##0.0\);_(&quot;$&quot;* &quot;-&quot;??_);_(@_)">
                  <c:v>101.2230459388485</c:v>
                </c:pt>
                <c:pt idx="49" formatCode="_(&quot;$&quot;* #,##0.0_);_(&quot;$&quot;* \(#,##0.0\);_(&quot;$&quot;* &quot;-&quot;??_);_(@_)">
                  <c:v>101.0836093086707</c:v>
                </c:pt>
                <c:pt idx="50" formatCode="_(&quot;$&quot;* #,##0.0_);_(&quot;$&quot;* \(#,##0.0\);_(&quot;$&quot;* &quot;-&quot;??_);_(@_)">
                  <c:v>100.95214495683882</c:v>
                </c:pt>
                <c:pt idx="51" formatCode="_(&quot;$&quot;* #,##0.0_);_(&quot;$&quot;* \(#,##0.0\);_(&quot;$&quot;* &quot;-&quot;??_);_(@_)">
                  <c:v>100.82779034791719</c:v>
                </c:pt>
                <c:pt idx="52" formatCode="_(&quot;$&quot;* #,##0.0_);_(&quot;$&quot;* \(#,##0.0\);_(&quot;$&quot;* &quot;-&quot;??_);_(@_)">
                  <c:v>100.70981577082581</c:v>
                </c:pt>
                <c:pt idx="53" formatCode="_(&quot;$&quot;* #,##0.0_);_(&quot;$&quot;* \(#,##0.0\);_(&quot;$&quot;* &quot;-&quot;??_);_(@_)">
                  <c:v>100.59759839323613</c:v>
                </c:pt>
                <c:pt idx="54" formatCode="_(&quot;$&quot;* #,##0.0_);_(&quot;$&quot;* \(#,##0.0\);_(&quot;$&quot;* &quot;-&quot;??_);_(@_)">
                  <c:v>100.49060235727586</c:v>
                </c:pt>
                <c:pt idx="55" formatCode="_(&quot;$&quot;* #,##0.0_);_(&quot;$&quot;* \(#,##0.0\);_(&quot;$&quot;* &quot;-&quot;??_);_(@_)">
                  <c:v>100.38836330336295</c:v>
                </c:pt>
                <c:pt idx="56" formatCode="_(&quot;$&quot;* #,##0.0_);_(&quot;$&quot;* \(#,##0.0\);_(&quot;$&quot;* &quot;-&quot;??_);_(@_)">
                  <c:v>100.29047619019973</c:v>
                </c:pt>
                <c:pt idx="57" formatCode="_-[$$-409]* #,##0_ ;_-[$$-409]* \-#,##0\ ;_-[$$-409]* &quot;-&quot;??_ ;_-@_ 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15-224A-BB6E-E0FFE8AC2C3A}"/>
            </c:ext>
          </c:extLst>
        </c:ser>
        <c:ser>
          <c:idx val="4"/>
          <c:order val="3"/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'NR Kraftstoffpreisprognosen'!$A$4:$A$59</c:f>
              <c:numCache>
                <c:formatCode>General</c:formatCode>
                <c:ptCount val="5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</c:numCache>
            </c:numRef>
          </c:cat>
          <c:val>
            <c:numRef>
              <c:f>'NR Kraftstoffpreisprognosen'!$X$2:$X$59</c:f>
              <c:numCache>
                <c:formatCode>General</c:formatCode>
                <c:ptCount val="58"/>
                <c:pt idx="1">
                  <c:v>23</c:v>
                </c:pt>
                <c:pt idx="33" formatCode="_(&quot;$&quot;* #,##0_);_(&quot;$&quot;* \(#,##0\);_(&quot;$&quot;* &quot;-&quot;??_);_(@_)">
                  <c:v>107.6</c:v>
                </c:pt>
                <c:pt idx="34" formatCode="_(&quot;$&quot;* #,##0.0_);_(&quot;$&quot;* \(#,##0.0\);_(&quot;$&quot;* &quot;-&quot;??_);_(@_)">
                  <c:v>115.64050729449536</c:v>
                </c:pt>
                <c:pt idx="35" formatCode="_(&quot;$&quot;* #,##0.0_);_(&quot;$&quot;* \(#,##0.0\);_(&quot;$&quot;* &quot;-&quot;??_);_(@_)">
                  <c:v>120.34390254855006</c:v>
                </c:pt>
                <c:pt idx="36" formatCode="_(&quot;$&quot;* #,##0.0_);_(&quot;$&quot;* \(#,##0.0\);_(&quot;$&quot;* &quot;-&quot;??_);_(@_)">
                  <c:v>123.68101458899072</c:v>
                </c:pt>
                <c:pt idx="37" formatCode="_(&quot;$&quot;* #,##0.0_);_(&quot;$&quot;* \(#,##0.0\);_(&quot;$&quot;* &quot;-&quot;??_);_(@_)">
                  <c:v>126.26947978423556</c:v>
                </c:pt>
                <c:pt idx="38" formatCode="_(&quot;$&quot;* #,##0.0_);_(&quot;$&quot;* \(#,##0.0\);_(&quot;$&quot;* &quot;-&quot;??_);_(@_)">
                  <c:v>128.38440984304543</c:v>
                </c:pt>
                <c:pt idx="39" formatCode="_(&quot;$&quot;* #,##0.0_);_(&quot;$&quot;* \(#,##0.0\);_(&quot;$&quot;* &quot;-&quot;??_);_(@_)">
                  <c:v>130.17255772904161</c:v>
                </c:pt>
                <c:pt idx="40" formatCode="_(&quot;$&quot;* #,##0.0_);_(&quot;$&quot;* \(#,##0.0\);_(&quot;$&quot;* &quot;-&quot;??_);_(@_)">
                  <c:v>131.72152188348608</c:v>
                </c:pt>
                <c:pt idx="41" formatCode="_(&quot;$&quot;* #,##0.0_);_(&quot;$&quot;* \(#,##0.0\);_(&quot;$&quot;* &quot;-&quot;??_);_(@_)">
                  <c:v>133.08780509710013</c:v>
                </c:pt>
                <c:pt idx="42" formatCode="_(&quot;$&quot;* #,##0.0_);_(&quot;$&quot;* \(#,##0.0\);_(&quot;$&quot;* &quot;-&quot;??_);_(@_)">
                  <c:v>134.30998707873093</c:v>
                </c:pt>
                <c:pt idx="43" formatCode="_(&quot;$&quot;* #,##0.0_);_(&quot;$&quot;* \(#,##0.0\);_(&quot;$&quot;* &quot;-&quot;??_);_(@_)">
                  <c:v>135.41558516446111</c:v>
                </c:pt>
                <c:pt idx="44" formatCode="_(&quot;$&quot;* #,##0.0_);_(&quot;$&quot;* \(#,##0.0\);_(&quot;$&quot;* &quot;-&quot;??_);_(@_)">
                  <c:v>136.4249171375408</c:v>
                </c:pt>
                <c:pt idx="45" formatCode="_(&quot;$&quot;* #,##0.0_);_(&quot;$&quot;* \(#,##0.0\);_(&quot;$&quot;* &quot;-&quot;??_);_(@_)">
                  <c:v>137.35341254655381</c:v>
                </c:pt>
                <c:pt idx="46" formatCode="_(&quot;$&quot;* #,##0.0_);_(&quot;$&quot;* \(#,##0.0\);_(&quot;$&quot;* &quot;-&quot;??_);_(@_)">
                  <c:v>138.21306502353698</c:v>
                </c:pt>
                <c:pt idx="47" formatCode="_(&quot;$&quot;* #,##0.0_);_(&quot;$&quot;* \(#,##0.0\);_(&quot;$&quot;* &quot;-&quot;??_);_(@_)">
                  <c:v>139.01338233278562</c:v>
                </c:pt>
                <c:pt idx="48" formatCode="_(&quot;$&quot;* #,##0.0_);_(&quot;$&quot;* \(#,##0.0\);_(&quot;$&quot;* &quot;-&quot;??_);_(@_)">
                  <c:v>139.76202917798145</c:v>
                </c:pt>
                <c:pt idx="49" formatCode="_(&quot;$&quot;* #,##0.0_);_(&quot;$&quot;* \(#,##0.0\);_(&quot;$&quot;* &quot;-&quot;??_);_(@_)">
                  <c:v>140.46527479105211</c:v>
                </c:pt>
                <c:pt idx="50" formatCode="_(&quot;$&quot;* #,##0.0_);_(&quot;$&quot;* \(#,##0.0\);_(&quot;$&quot;* &quot;-&quot;??_);_(@_)">
                  <c:v>141.1283123915955</c:v>
                </c:pt>
                <c:pt idx="51" formatCode="_(&quot;$&quot;* #,##0.0_);_(&quot;$&quot;* \(#,##0.0\);_(&quot;$&quot;* &quot;-&quot;??_);_(@_)">
                  <c:v>141.7554921583307</c:v>
                </c:pt>
                <c:pt idx="52" formatCode="_(&quot;$&quot;* #,##0.0_);_(&quot;$&quot;* \(#,##0.0\);_(&quot;$&quot;* &quot;-&quot;??_);_(@_)">
                  <c:v>142.3504943732263</c:v>
                </c:pt>
                <c:pt idx="53" formatCode="_(&quot;$&quot;* #,##0.0_);_(&quot;$&quot;* \(#,##0.0\);_(&quot;$&quot;* &quot;-&quot;??_);_(@_)">
                  <c:v>142.91646027759171</c:v>
                </c:pt>
                <c:pt idx="54" formatCode="_(&quot;$&quot;* #,##0.0_);_(&quot;$&quot;* \(#,##0.0\);_(&quot;$&quot;* &quot;-&quot;??_);_(@_)">
                  <c:v>143.45609245895645</c:v>
                </c:pt>
                <c:pt idx="55" formatCode="_(&quot;$&quot;* #,##0.0_);_(&quot;$&quot;* \(#,##0.0\);_(&quot;$&quot;* &quot;-&quot;??_);_(@_)">
                  <c:v>143.97173290477812</c:v>
                </c:pt>
                <c:pt idx="56" formatCode="_(&quot;$&quot;* #,##0.0_);_(&quot;$&quot;* \(#,##0.0\);_(&quot;$&quot;* &quot;-&quot;??_);_(@_)">
                  <c:v>144.46542443203617</c:v>
                </c:pt>
                <c:pt idx="57">
                  <c:v>145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15-224A-BB6E-E0FFE8AC2C3A}"/>
            </c:ext>
          </c:extLst>
        </c:ser>
        <c:ser>
          <c:idx val="5"/>
          <c:order val="4"/>
          <c:spPr>
            <a:ln>
              <a:solidFill>
                <a:schemeClr val="accent2"/>
              </a:solidFill>
            </a:ln>
          </c:spPr>
          <c:marker>
            <c:symbol val="none"/>
          </c:marker>
          <c:dLbls>
            <c:delete val="1"/>
          </c:dLbls>
          <c:cat>
            <c:numRef>
              <c:f>'NR Kraftstoffpreisprognosen'!$A$4:$A$59</c:f>
              <c:numCache>
                <c:formatCode>General</c:formatCode>
                <c:ptCount val="5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  <c:pt idx="36">
                  <c:v>2016</c:v>
                </c:pt>
                <c:pt idx="37">
                  <c:v>2017</c:v>
                </c:pt>
                <c:pt idx="38">
                  <c:v>2018</c:v>
                </c:pt>
                <c:pt idx="39">
                  <c:v>2019</c:v>
                </c:pt>
                <c:pt idx="40">
                  <c:v>2020</c:v>
                </c:pt>
                <c:pt idx="41">
                  <c:v>2021</c:v>
                </c:pt>
                <c:pt idx="42">
                  <c:v>2022</c:v>
                </c:pt>
                <c:pt idx="43">
                  <c:v>2023</c:v>
                </c:pt>
                <c:pt idx="44">
                  <c:v>2024</c:v>
                </c:pt>
                <c:pt idx="45">
                  <c:v>2025</c:v>
                </c:pt>
                <c:pt idx="46">
                  <c:v>2026</c:v>
                </c:pt>
                <c:pt idx="47">
                  <c:v>2027</c:v>
                </c:pt>
                <c:pt idx="48">
                  <c:v>2028</c:v>
                </c:pt>
                <c:pt idx="49">
                  <c:v>2029</c:v>
                </c:pt>
                <c:pt idx="50">
                  <c:v>2030</c:v>
                </c:pt>
                <c:pt idx="51">
                  <c:v>2031</c:v>
                </c:pt>
                <c:pt idx="52">
                  <c:v>2032</c:v>
                </c:pt>
                <c:pt idx="53">
                  <c:v>2033</c:v>
                </c:pt>
                <c:pt idx="54">
                  <c:v>2034</c:v>
                </c:pt>
                <c:pt idx="55">
                  <c:v>2035</c:v>
                </c:pt>
              </c:numCache>
            </c:numRef>
          </c:cat>
          <c:val>
            <c:numRef>
              <c:f>'NR Kraftstoffpreisprognosen'!$Y$2:$Y$59</c:f>
              <c:numCache>
                <c:formatCode>General</c:formatCode>
                <c:ptCount val="58"/>
                <c:pt idx="1">
                  <c:v>24</c:v>
                </c:pt>
                <c:pt idx="33" formatCode="_(&quot;$&quot;* #,##0_);_(&quot;$&quot;* \(#,##0\);_(&quot;$&quot;* &quot;-&quot;??_);_(@_)">
                  <c:v>107.6</c:v>
                </c:pt>
                <c:pt idx="34" formatCode="_(&quot;$&quot;* #,##0.0_);_(&quot;$&quot;* \(#,##0.0\);_(&quot;$&quot;* &quot;-&quot;??_);_(@_)">
                  <c:v>127.49332408207042</c:v>
                </c:pt>
                <c:pt idx="35" formatCode="_(&quot;$&quot;* #,##0.0_);_(&quot;$&quot;* \(#,##0.0\);_(&quot;$&quot;* &quot;-&quot;??_);_(@_)">
                  <c:v>139.13017268477475</c:v>
                </c:pt>
                <c:pt idx="36" formatCode="_(&quot;$&quot;* #,##0.0_);_(&quot;$&quot;* \(#,##0.0\);_(&quot;$&quot;* &quot;-&quot;??_);_(@_)">
                  <c:v>147.38664816414087</c:v>
                </c:pt>
                <c:pt idx="37" formatCode="_(&quot;$&quot;* #,##0.0_);_(&quot;$&quot;* \(#,##0.0\);_(&quot;$&quot;* &quot;-&quot;??_);_(@_)">
                  <c:v>153.79086808685867</c:v>
                </c:pt>
                <c:pt idx="38" formatCode="_(&quot;$&quot;* #,##0.0_);_(&quot;$&quot;* \(#,##0.0\);_(&quot;$&quot;* &quot;-&quot;??_);_(@_)">
                  <c:v>159.02349676684517</c:v>
                </c:pt>
                <c:pt idx="39" formatCode="_(&quot;$&quot;* #,##0.0_);_(&quot;$&quot;* \(#,##0.0\);_(&quot;$&quot;* &quot;-&quot;??_);_(@_)">
                  <c:v>163.44762127788749</c:v>
                </c:pt>
                <c:pt idx="40" formatCode="_(&quot;$&quot;* #,##0.0_);_(&quot;$&quot;* \(#,##0.0\);_(&quot;$&quot;* &quot;-&quot;??_);_(@_)">
                  <c:v>167.27997224621129</c:v>
                </c:pt>
                <c:pt idx="41" formatCode="_(&quot;$&quot;* #,##0.0_);_(&quot;$&quot;* \(#,##0.0\);_(&quot;$&quot;* &quot;-&quot;??_);_(@_)">
                  <c:v>170.6603453695495</c:v>
                </c:pt>
                <c:pt idx="42" formatCode="_(&quot;$&quot;* #,##0.0_);_(&quot;$&quot;* \(#,##0.0\);_(&quot;$&quot;* &quot;-&quot;??_);_(@_)">
                  <c:v>173.68419216892912</c:v>
                </c:pt>
                <c:pt idx="43" formatCode="_(&quot;$&quot;* #,##0.0_);_(&quot;$&quot;* \(#,##0.0\);_(&quot;$&quot;* &quot;-&quot;??_);_(@_)">
                  <c:v>176.41959432931321</c:v>
                </c:pt>
                <c:pt idx="44" formatCode="_(&quot;$&quot;* #,##0.0_);_(&quot;$&quot;* \(#,##0.0\);_(&quot;$&quot;* &quot;-&quot;??_);_(@_)">
                  <c:v>178.91682084891562</c:v>
                </c:pt>
                <c:pt idx="45" formatCode="_(&quot;$&quot;* #,##0.0_);_(&quot;$&quot;* \(#,##0.0\);_(&quot;$&quot;* &quot;-&quot;??_);_(@_)">
                  <c:v>181.21404655914608</c:v>
                </c:pt>
                <c:pt idx="46" formatCode="_(&quot;$&quot;* #,##0.0_);_(&quot;$&quot;* \(#,##0.0\);_(&quot;$&quot;* &quot;-&quot;??_);_(@_)">
                  <c:v>183.34094535995791</c:v>
                </c:pt>
                <c:pt idx="47" formatCode="_(&quot;$&quot;* #,##0.0_);_(&quot;$&quot;* \(#,##0.0\);_(&quot;$&quot;* &quot;-&quot;??_);_(@_)">
                  <c:v>185.32104077163342</c:v>
                </c:pt>
                <c:pt idx="48" formatCode="_(&quot;$&quot;* #,##0.0_);_(&quot;$&quot;* \(#,##0.0\);_(&quot;$&quot;* &quot;-&quot;??_);_(@_)">
                  <c:v>187.17329632828171</c:v>
                </c:pt>
                <c:pt idx="49" formatCode="_(&quot;$&quot;* #,##0.0_);_(&quot;$&quot;* \(#,##0.0\);_(&quot;$&quot;* &quot;-&quot;??_);_(@_)">
                  <c:v>188.9132229744134</c:v>
                </c:pt>
                <c:pt idx="50" formatCode="_(&quot;$&quot;* #,##0.0_);_(&quot;$&quot;* \(#,##0.0\);_(&quot;$&quot;* &quot;-&quot;??_);_(@_)">
                  <c:v>190.5536694516199</c:v>
                </c:pt>
                <c:pt idx="51" formatCode="_(&quot;$&quot;* #,##0.0_);_(&quot;$&quot;* \(#,##0.0\);_(&quot;$&quot;* &quot;-&quot;??_);_(@_)">
                  <c:v>192.10539870207683</c:v>
                </c:pt>
                <c:pt idx="52" formatCode="_(&quot;$&quot;* #,##0.0_);_(&quot;$&quot;* \(#,##0.0\);_(&quot;$&quot;* &quot;-&quot;??_);_(@_)">
                  <c:v>193.57751625099951</c:v>
                </c:pt>
                <c:pt idx="53" formatCode="_(&quot;$&quot;* #,##0.0_);_(&quot;$&quot;* \(#,##0.0\);_(&quot;$&quot;* &quot;-&quot;??_);_(@_)">
                  <c:v>194.97779396266225</c:v>
                </c:pt>
                <c:pt idx="54" formatCode="_(&quot;$&quot;* #,##0.0_);_(&quot;$&quot;* \(#,##0.0\);_(&quot;$&quot;* &quot;-&quot;??_);_(@_)">
                  <c:v>196.31291841138366</c:v>
                </c:pt>
                <c:pt idx="55" formatCode="_(&quot;$&quot;* #,##0.0_);_(&quot;$&quot;* \(#,##0.0\);_(&quot;$&quot;* &quot;-&quot;??_);_(@_)">
                  <c:v>197.58868399716658</c:v>
                </c:pt>
                <c:pt idx="56" formatCode="_(&quot;$&quot;* #,##0.0_);_(&quot;$&quot;* \(#,##0.0\);_(&quot;$&quot;* &quot;-&quot;??_);_(@_)">
                  <c:v>198.81014493098604</c:v>
                </c:pt>
                <c:pt idx="57">
                  <c:v>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15-224A-BB6E-E0FFE8AC2C3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73891488"/>
        <c:axId val="373893448"/>
      </c:lineChart>
      <c:catAx>
        <c:axId val="373891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3893448"/>
        <c:crosses val="autoZero"/>
        <c:auto val="1"/>
        <c:lblAlgn val="ctr"/>
        <c:lblOffset val="100"/>
        <c:tickLblSkip val="15"/>
        <c:tickMarkSkip val="5"/>
        <c:noMultiLvlLbl val="0"/>
      </c:catAx>
      <c:valAx>
        <c:axId val="373893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73891488"/>
        <c:crossesAt val="1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Benziner</a:t>
            </a:r>
          </a:p>
        </c:rich>
      </c:tx>
      <c:layout>
        <c:manualLayout>
          <c:xMode val="edge"/>
          <c:yMode val="edge"/>
          <c:x val="0.67876725911559921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920454853220577E-2"/>
          <c:y val="2.0521290885631045E-2"/>
          <c:w val="0.78217572535317059"/>
          <c:h val="0.72709729180103744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'Eingabe und Ausgabe'!$C$49:$K$49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Benzinkosten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Ausgabe'!$C$56:$K$56</c:f>
              <c:numCache>
                <c:formatCode>_-* #,##0\ [$€-407]_-;\-* #,##0\ [$€-407]_-;_-* "-"??\ [$€-407]_-;_-@_-</c:formatCode>
                <c:ptCount val="9"/>
                <c:pt idx="0">
                  <c:v>0</c:v>
                </c:pt>
                <c:pt idx="1">
                  <c:v>11315.821649999998</c:v>
                </c:pt>
                <c:pt idx="2">
                  <c:v>0</c:v>
                </c:pt>
                <c:pt idx="3">
                  <c:v>11315.821649999998</c:v>
                </c:pt>
                <c:pt idx="4">
                  <c:v>14246.977184012267</c:v>
                </c:pt>
                <c:pt idx="5">
                  <c:v>23960.235670329617</c:v>
                </c:pt>
                <c:pt idx="6">
                  <c:v>29392.82167032962</c:v>
                </c:pt>
                <c:pt idx="7">
                  <c:v>31611.00901034187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32-D148-A60B-2F87630F7395}"/>
            </c:ext>
          </c:extLst>
        </c:ser>
        <c:ser>
          <c:idx val="1"/>
          <c:order val="1"/>
          <c:spPr>
            <a:solidFill>
              <a:schemeClr val="accent3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2-F332-D148-A60B-2F87630F739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4-F332-D148-A60B-2F87630F739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6-F332-D148-A60B-2F87630F7395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8-F332-D148-A60B-2F87630F7395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A-F332-D148-A60B-2F87630F7395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C-F332-D148-A60B-2F87630F7395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E-F332-D148-A60B-2F87630F7395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0-F332-D148-A60B-2F87630F7395}"/>
              </c:ext>
            </c:extLst>
          </c:dPt>
          <c:dLbls>
            <c:dLbl>
              <c:idx val="0"/>
              <c:layout>
                <c:manualLayout>
                  <c:x val="-4.1005648040647597E-17"/>
                  <c:y val="5.8434287168905043E-4"/>
                </c:manualLayout>
              </c:layout>
              <c:spPr/>
              <c:txPr>
                <a:bodyPr rot="-5400000" vert="horz"/>
                <a:lstStyle/>
                <a:p>
                  <a:pPr>
                    <a:defRPr sz="1100" b="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332-D148-A60B-2F87630F7395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F332-D148-A60B-2F87630F7395}"/>
                </c:ext>
              </c:extLst>
            </c:dLbl>
            <c:dLbl>
              <c:idx val="2"/>
              <c:layout>
                <c:manualLayout>
                  <c:x val="0"/>
                  <c:y val="-0.15338356832421163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332-D148-A60B-2F87630F7395}"/>
                </c:ext>
              </c:extLst>
            </c:dLbl>
            <c:dLbl>
              <c:idx val="3"/>
              <c:layout>
                <c:manualLayout>
                  <c:x val="0"/>
                  <c:y val="-9.25795891866537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F332-D148-A60B-2F87630F7395}"/>
                </c:ext>
              </c:extLst>
            </c:dLbl>
            <c:dLbl>
              <c:idx val="4"/>
              <c:layout>
                <c:manualLayout>
                  <c:x val="0"/>
                  <c:y val="-0.1717135718851850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332-D148-A60B-2F87630F7395}"/>
                </c:ext>
              </c:extLst>
            </c:dLbl>
            <c:dLbl>
              <c:idx val="5"/>
              <c:layout>
                <c:manualLayout>
                  <c:x val="-3.5223583457173582E-7"/>
                  <c:y val="-0.120899481871212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332-D148-A60B-2F87630F7395}"/>
                </c:ext>
              </c:extLst>
            </c:dLbl>
            <c:dLbl>
              <c:idx val="6"/>
              <c:layout>
                <c:manualLayout>
                  <c:x val="-3.5223583457173582E-7"/>
                  <c:y val="-9.246089007174861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F332-D148-A60B-2F87630F7395}"/>
                </c:ext>
              </c:extLst>
            </c:dLbl>
            <c:dLbl>
              <c:idx val="8"/>
              <c:spPr/>
              <c:txPr>
                <a:bodyPr rot="-5400000" vert="horz"/>
                <a:lstStyle/>
                <a:p>
                  <a:pPr>
                    <a:defRPr sz="1100" b="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F332-D148-A60B-2F87630F73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110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'Eingabe und Ausgabe'!$C$49:$K$49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Benzinkosten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Ausgabe'!$C$57:$K$57</c:f>
              <c:numCache>
                <c:formatCode>_-* #,##0\ [$€-407]_-;\-* #,##0\ [$€-407]_-;_-* "-"??\ [$€-407]_-;_-@_-</c:formatCode>
                <c:ptCount val="9"/>
                <c:pt idx="0">
                  <c:v>18942</c:v>
                </c:pt>
                <c:pt idx="1">
                  <c:v>0</c:v>
                </c:pt>
                <c:pt idx="2">
                  <c:v>11315.821649999998</c:v>
                </c:pt>
                <c:pt idx="3">
                  <c:v>2931.1555340122686</c:v>
                </c:pt>
                <c:pt idx="4">
                  <c:v>9713.2584863173506</c:v>
                </c:pt>
                <c:pt idx="5">
                  <c:v>5432.586000000003</c:v>
                </c:pt>
                <c:pt idx="6">
                  <c:v>2218.1873400122495</c:v>
                </c:pt>
                <c:pt idx="7">
                  <c:v>295.68000000000029</c:v>
                </c:pt>
                <c:pt idx="8">
                  <c:v>31906.68901034187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F332-D148-A60B-2F87630F7395}"/>
            </c:ext>
          </c:extLst>
        </c:ser>
        <c:ser>
          <c:idx val="2"/>
          <c:order val="2"/>
          <c:spPr>
            <a:solidFill>
              <a:schemeClr val="accent3"/>
            </a:solidFill>
          </c:spPr>
          <c:invertIfNegative val="0"/>
          <c:cat>
            <c:strRef>
              <c:f>'Eingabe und Ausgabe'!$C$49:$K$49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Benzinkosten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Ausgabe'!$C$58:$K$58</c:f>
              <c:numCache>
                <c:formatCode>_-* #,##0\ [$€-407]_-;\-* #,##0\ [$€-407]_-;_-* "-"??\ [$€-407]_-;_-@_-</c:formatCode>
                <c:ptCount val="9"/>
                <c:pt idx="0">
                  <c:v>0</c:v>
                </c:pt>
                <c:pt idx="1">
                  <c:v>7626.178350000002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F332-D148-A60B-2F87630F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73890312"/>
        <c:axId val="373893840"/>
      </c:barChart>
      <c:scatterChart>
        <c:scatterStyle val="lineMarker"/>
        <c:varyColors val="0"/>
        <c:ser>
          <c:idx val="3"/>
          <c:order val="3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Ausgabe'!$C$62:$D$62</c:f>
              <c:numCache>
                <c:formatCode>General</c:formatCode>
                <c:ptCount val="2"/>
                <c:pt idx="0">
                  <c:v>0.65</c:v>
                </c:pt>
                <c:pt idx="1">
                  <c:v>2.35</c:v>
                </c:pt>
              </c:numCache>
            </c:numRef>
          </c:xVal>
          <c:yVal>
            <c:numRef>
              <c:f>'Eingabe und Ausgabe'!$C$61:$D$61</c:f>
              <c:numCache>
                <c:formatCode>_-* #,##0\ [$€-407]_-;\-* #,##0\ [$€-407]_-;_-* "-"??\ [$€-407]_-;_-@_-</c:formatCode>
                <c:ptCount val="2"/>
                <c:pt idx="0">
                  <c:v>18942</c:v>
                </c:pt>
                <c:pt idx="1">
                  <c:v>18942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F332-D148-A60B-2F87630F7395}"/>
            </c:ext>
          </c:extLst>
        </c:ser>
        <c:ser>
          <c:idx val="4"/>
          <c:order val="4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Ausgabe'!$D$64:$E$64</c:f>
              <c:numCache>
                <c:formatCode>General</c:formatCode>
                <c:ptCount val="2"/>
                <c:pt idx="0">
                  <c:v>1.65</c:v>
                </c:pt>
                <c:pt idx="1">
                  <c:v>3.35</c:v>
                </c:pt>
              </c:numCache>
            </c:numRef>
          </c:xVal>
          <c:yVal>
            <c:numRef>
              <c:f>'Eingabe und Ausgabe'!$D$63:$E$63</c:f>
              <c:numCache>
                <c:formatCode>_-* #,##0\ [$€-407]_-;\-* #,##0\ [$€-407]_-;_-* "-"??\ [$€-407]_-;_-@_-</c:formatCode>
                <c:ptCount val="2"/>
                <c:pt idx="0">
                  <c:v>11315.821649999998</c:v>
                </c:pt>
                <c:pt idx="1">
                  <c:v>11315.821649999998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F332-D148-A60B-2F87630F7395}"/>
            </c:ext>
          </c:extLst>
        </c:ser>
        <c:ser>
          <c:idx val="5"/>
          <c:order val="5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Ausgabe'!$E$66:$G$66</c:f>
              <c:numCache>
                <c:formatCode>General</c:formatCode>
                <c:ptCount val="3"/>
                <c:pt idx="0">
                  <c:v>2.65</c:v>
                </c:pt>
                <c:pt idx="1">
                  <c:v>4.3499999999999996</c:v>
                </c:pt>
              </c:numCache>
            </c:numRef>
          </c:xVal>
          <c:yVal>
            <c:numRef>
              <c:f>'Eingabe und Ausgabe'!$E$65:$G$65</c:f>
              <c:numCache>
                <c:formatCode>_-* #,##0\ [$€-407]_-;\-* #,##0\ [$€-407]_-;_-* "-"??\ [$€-407]_-;_-@_-</c:formatCode>
                <c:ptCount val="3"/>
                <c:pt idx="0">
                  <c:v>11315.821649999998</c:v>
                </c:pt>
                <c:pt idx="1">
                  <c:v>11315.821649999998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F332-D148-A60B-2F87630F7395}"/>
            </c:ext>
          </c:extLst>
        </c:ser>
        <c:ser>
          <c:idx val="6"/>
          <c:order val="6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Ausgabe'!$G$70:$H$70</c:f>
              <c:numCache>
                <c:formatCode>General</c:formatCode>
                <c:ptCount val="2"/>
                <c:pt idx="0">
                  <c:v>4.6500000000000004</c:v>
                </c:pt>
                <c:pt idx="1">
                  <c:v>6.35</c:v>
                </c:pt>
              </c:numCache>
            </c:numRef>
          </c:xVal>
          <c:yVal>
            <c:numRef>
              <c:f>'Eingabe und Ausgabe'!$G$69:$H$69</c:f>
              <c:numCache>
                <c:formatCode>_-* #,##0\ [$€-407]_-;\-* #,##0\ [$€-407]_-;_-* "-"??\ [$€-407]_-;_-@_-</c:formatCode>
                <c:ptCount val="2"/>
                <c:pt idx="0">
                  <c:v>23960.235670329617</c:v>
                </c:pt>
                <c:pt idx="1">
                  <c:v>23960.235670329617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F332-D148-A60B-2F87630F7395}"/>
            </c:ext>
          </c:extLst>
        </c:ser>
        <c:ser>
          <c:idx val="7"/>
          <c:order val="7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Ausgabe'!$H$72:$I$72</c:f>
              <c:numCache>
                <c:formatCode>General</c:formatCode>
                <c:ptCount val="2"/>
                <c:pt idx="0">
                  <c:v>5.65</c:v>
                </c:pt>
                <c:pt idx="1">
                  <c:v>7.35</c:v>
                </c:pt>
              </c:numCache>
            </c:numRef>
          </c:xVal>
          <c:yVal>
            <c:numRef>
              <c:f>'Eingabe und Ausgabe'!$H$71:$I$71</c:f>
              <c:numCache>
                <c:formatCode>_-* #,##0\ [$€-407]_-;\-* #,##0\ [$€-407]_-;_-* "-"??\ [$€-407]_-;_-@_-</c:formatCode>
                <c:ptCount val="2"/>
                <c:pt idx="0">
                  <c:v>29392.82167032962</c:v>
                </c:pt>
                <c:pt idx="1">
                  <c:v>29392.82167032962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F332-D148-A60B-2F87630F7395}"/>
            </c:ext>
          </c:extLst>
        </c:ser>
        <c:ser>
          <c:idx val="8"/>
          <c:order val="8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Ausgabe'!$J$76:$K$76</c:f>
              <c:numCache>
                <c:formatCode>General</c:formatCode>
                <c:ptCount val="2"/>
                <c:pt idx="0">
                  <c:v>7.65</c:v>
                </c:pt>
                <c:pt idx="1">
                  <c:v>9.35</c:v>
                </c:pt>
              </c:numCache>
            </c:numRef>
          </c:xVal>
          <c:yVal>
            <c:numRef>
              <c:f>'Eingabe und Ausgabe'!$J$75:$K$75</c:f>
              <c:numCache>
                <c:formatCode>_-* #,##0\ [$€-407]_-;\-* #,##0\ [$€-407]_-;_-* "-"??\ [$€-407]_-;_-@_-</c:formatCode>
                <c:ptCount val="2"/>
                <c:pt idx="0">
                  <c:v>31906.68901034187</c:v>
                </c:pt>
                <c:pt idx="1">
                  <c:v>31906.68901034187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F332-D148-A60B-2F87630F7395}"/>
            </c:ext>
          </c:extLst>
        </c:ser>
        <c:ser>
          <c:idx val="9"/>
          <c:order val="9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Ausgabe'!$I$74:$J$74</c:f>
              <c:numCache>
                <c:formatCode>General</c:formatCode>
                <c:ptCount val="2"/>
                <c:pt idx="0">
                  <c:v>6.65</c:v>
                </c:pt>
                <c:pt idx="1">
                  <c:v>8.35</c:v>
                </c:pt>
              </c:numCache>
            </c:numRef>
          </c:xVal>
          <c:yVal>
            <c:numRef>
              <c:f>'Eingabe und Ausgabe'!$I$73:$J$73</c:f>
              <c:numCache>
                <c:formatCode>_-* #,##0\ [$€-407]_-;\-* #,##0\ [$€-407]_-;_-* "-"??\ [$€-407]_-;_-@_-</c:formatCode>
                <c:ptCount val="2"/>
                <c:pt idx="0">
                  <c:v>31611.00901034187</c:v>
                </c:pt>
                <c:pt idx="1">
                  <c:v>31611.00901034187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F332-D148-A60B-2F87630F7395}"/>
            </c:ext>
          </c:extLst>
        </c:ser>
        <c:ser>
          <c:idx val="10"/>
          <c:order val="10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Ausgabe'!$E$66:$F$66</c:f>
              <c:numCache>
                <c:formatCode>General</c:formatCode>
                <c:ptCount val="2"/>
                <c:pt idx="0">
                  <c:v>2.65</c:v>
                </c:pt>
                <c:pt idx="1">
                  <c:v>4.3499999999999996</c:v>
                </c:pt>
              </c:numCache>
            </c:numRef>
          </c:xVal>
          <c:yVal>
            <c:numRef>
              <c:f>'Eingabe und Ausgabe'!$E$65:$F$65</c:f>
              <c:numCache>
                <c:formatCode>_-* #,##0\ [$€-407]_-;\-* #,##0\ [$€-407]_-;_-* "-"??\ [$€-407]_-;_-@_-</c:formatCode>
                <c:ptCount val="2"/>
                <c:pt idx="0">
                  <c:v>11315.821649999998</c:v>
                </c:pt>
                <c:pt idx="1">
                  <c:v>11315.821649999998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F332-D148-A60B-2F87630F7395}"/>
            </c:ext>
          </c:extLst>
        </c:ser>
        <c:ser>
          <c:idx val="11"/>
          <c:order val="11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Ausgabe'!$F$68:$G$68</c:f>
              <c:numCache>
                <c:formatCode>General</c:formatCode>
                <c:ptCount val="2"/>
                <c:pt idx="0">
                  <c:v>3.65</c:v>
                </c:pt>
                <c:pt idx="1">
                  <c:v>5.35</c:v>
                </c:pt>
              </c:numCache>
            </c:numRef>
          </c:xVal>
          <c:yVal>
            <c:numRef>
              <c:f>'Eingabe und Ausgabe'!$F$67:$G$67</c:f>
              <c:numCache>
                <c:formatCode>_-* #,##0\ [$€-407]_-;\-* #,##0\ [$€-407]_-;_-* "-"??\ [$€-407]_-;_-@_-</c:formatCode>
                <c:ptCount val="2"/>
                <c:pt idx="0">
                  <c:v>14246.977184012267</c:v>
                </c:pt>
                <c:pt idx="1">
                  <c:v>14246.977184012267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F332-D148-A60B-2F87630F73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3890312"/>
        <c:axId val="373893840"/>
      </c:scatterChart>
      <c:valAx>
        <c:axId val="373893840"/>
        <c:scaling>
          <c:orientation val="minMax"/>
          <c:max val="8000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-* #,##0\ [$€-407]_-;\-* #,##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373890312"/>
        <c:crosses val="autoZero"/>
        <c:crossBetween val="between"/>
        <c:majorUnit val="10000"/>
      </c:valAx>
      <c:catAx>
        <c:axId val="3738903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3738938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plotVisOnly val="1"/>
    <c:dispBlanksAs val="gap"/>
    <c:showDLblsOverMax val="0"/>
  </c:chart>
  <c:spPr>
    <a:ln w="0"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BEV</a:t>
            </a:r>
          </a:p>
        </c:rich>
      </c:tx>
      <c:layout>
        <c:manualLayout>
          <c:xMode val="edge"/>
          <c:yMode val="edge"/>
          <c:x val="3.1316850239337408E-3"/>
          <c:y val="0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9.2920454853220577E-2"/>
          <c:y val="2.0521290885631045E-2"/>
          <c:w val="0.78217572535317059"/>
          <c:h val="0.73100234967043121"/>
        </c:manualLayout>
      </c:layout>
      <c:barChart>
        <c:barDir val="col"/>
        <c:grouping val="stacked"/>
        <c:varyColors val="0"/>
        <c:ser>
          <c:idx val="0"/>
          <c:order val="0"/>
          <c:spPr>
            <a:noFill/>
            <a:ln>
              <a:noFill/>
            </a:ln>
          </c:spPr>
          <c:invertIfNegative val="0"/>
          <c:cat>
            <c:strRef>
              <c:f>'Eingabe und Ausgabe'!$C$80:$K$80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Stromkosten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Ausgabe'!$C$87:$K$87</c:f>
              <c:numCache>
                <c:formatCode>_-* #,##0\ [$€-407]_-;\-* #,##0\ [$€-407]_-;_-* "-"??\ [$€-407]_-;_-@_-</c:formatCode>
                <c:ptCount val="9"/>
                <c:pt idx="0">
                  <c:v>0</c:v>
                </c:pt>
                <c:pt idx="1">
                  <c:v>26553.235690886962</c:v>
                </c:pt>
                <c:pt idx="2">
                  <c:v>0</c:v>
                </c:pt>
                <c:pt idx="3">
                  <c:v>26553.235690886962</c:v>
                </c:pt>
                <c:pt idx="4">
                  <c:v>32036.957839436629</c:v>
                </c:pt>
                <c:pt idx="5">
                  <c:v>36422.0043977393</c:v>
                </c:pt>
                <c:pt idx="6">
                  <c:v>42866.124397739302</c:v>
                </c:pt>
                <c:pt idx="7">
                  <c:v>44364.900118064652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12-BF41-80F3-A1D7E288FB14}"/>
            </c:ext>
          </c:extLst>
        </c:ser>
        <c:ser>
          <c:idx val="1"/>
          <c:order val="1"/>
          <c:spPr>
            <a:solidFill>
              <a:schemeClr val="accent3">
                <a:lumMod val="75000"/>
              </a:schemeClr>
            </a:solidFill>
          </c:spPr>
          <c:invertIfNegative val="0"/>
          <c:dPt>
            <c:idx val="0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2-1412-BF41-80F3-A1D7E288FB1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4-1412-BF41-80F3-A1D7E288FB1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6-1412-BF41-80F3-A1D7E288FB14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8-1412-BF41-80F3-A1D7E288FB14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A-1412-BF41-80F3-A1D7E288FB14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C-1412-BF41-80F3-A1D7E288FB1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E-1412-BF41-80F3-A1D7E288FB14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10-1412-BF41-80F3-A1D7E288FB14}"/>
              </c:ext>
            </c:extLst>
          </c:dPt>
          <c:dLbls>
            <c:dLbl>
              <c:idx val="0"/>
              <c:spPr/>
              <c:txPr>
                <a:bodyPr rot="-5400000" vert="horz"/>
                <a:lstStyle/>
                <a:p>
                  <a:pPr>
                    <a:defRPr sz="1100" b="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1412-BF41-80F3-A1D7E288FB14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1412-BF41-80F3-A1D7E288FB14}"/>
                </c:ext>
              </c:extLst>
            </c:dLbl>
            <c:dLbl>
              <c:idx val="2"/>
              <c:layout>
                <c:manualLayout>
                  <c:x val="0"/>
                  <c:y val="-0.2322275247516256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1412-BF41-80F3-A1D7E288FB14}"/>
                </c:ext>
              </c:extLst>
            </c:dLbl>
            <c:dLbl>
              <c:idx val="3"/>
              <c:layout>
                <c:manualLayout>
                  <c:x val="0"/>
                  <c:y val="-0.10989192660104369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1412-BF41-80F3-A1D7E288FB14}"/>
                </c:ext>
              </c:extLst>
            </c:dLbl>
            <c:dLbl>
              <c:idx val="4"/>
              <c:layout>
                <c:manualLayout>
                  <c:x val="0"/>
                  <c:y val="-0.1166622891795093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1412-BF41-80F3-A1D7E288FB14}"/>
                </c:ext>
              </c:extLst>
            </c:dLbl>
            <c:dLbl>
              <c:idx val="5"/>
              <c:layout>
                <c:manualLayout>
                  <c:x val="0"/>
                  <c:y val="-0.12810237298122124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1412-BF41-80F3-A1D7E288FB14}"/>
                </c:ext>
              </c:extLst>
            </c:dLbl>
            <c:dLbl>
              <c:idx val="6"/>
              <c:layout>
                <c:manualLayout>
                  <c:x val="0"/>
                  <c:y val="-8.6142378873273681E-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1412-BF41-80F3-A1D7E288FB14}"/>
                </c:ext>
              </c:extLst>
            </c:dLbl>
            <c:dLbl>
              <c:idx val="8"/>
              <c:spPr/>
              <c:txPr>
                <a:bodyPr rot="-5400000" vert="horz"/>
                <a:lstStyle/>
                <a:p>
                  <a:pPr>
                    <a:defRPr sz="1100" b="0">
                      <a:solidFill>
                        <a:schemeClr val="bg1"/>
                      </a:solidFill>
                    </a:defRPr>
                  </a:pPr>
                  <a:endParaRPr lang="en-US"/>
                </a:p>
              </c:txPr>
              <c:dLblPos val="inBase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1412-BF41-80F3-A1D7E288FB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-5400000" vert="horz"/>
              <a:lstStyle/>
              <a:p>
                <a:pPr>
                  <a:defRPr sz="1100" b="0"/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'Eingabe und Ausgabe'!$C$80:$K$80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Stromkosten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Ausgabe'!$C$88:$K$88</c:f>
              <c:numCache>
                <c:formatCode>_-* #,##0\ [$€-407]_-;\-* #,##0\ [$€-407]_-;_-* "-"??\ [$€-407]_-;_-@_-</c:formatCode>
                <c:ptCount val="9"/>
                <c:pt idx="0">
                  <c:v>35437.445653265364</c:v>
                </c:pt>
                <c:pt idx="1">
                  <c:v>0</c:v>
                </c:pt>
                <c:pt idx="2">
                  <c:v>26553.235690886962</c:v>
                </c:pt>
                <c:pt idx="3">
                  <c:v>5483.7221485496666</c:v>
                </c:pt>
                <c:pt idx="4">
                  <c:v>4385.0465583026707</c:v>
                </c:pt>
                <c:pt idx="5">
                  <c:v>6444.1200000000026</c:v>
                </c:pt>
                <c:pt idx="6">
                  <c:v>1498.7757203253495</c:v>
                </c:pt>
                <c:pt idx="7">
                  <c:v>0</c:v>
                </c:pt>
                <c:pt idx="8">
                  <c:v>44364.900118064652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412-BF41-80F3-A1D7E288FB14}"/>
            </c:ext>
          </c:extLst>
        </c:ser>
        <c:ser>
          <c:idx val="2"/>
          <c:order val="2"/>
          <c:spPr>
            <a:solidFill>
              <a:schemeClr val="accent3"/>
            </a:solidFill>
          </c:spPr>
          <c:invertIfNegative val="0"/>
          <c:cat>
            <c:strRef>
              <c:f>'Eingabe und Ausgabe'!$C$80:$K$80</c:f>
              <c:strCache>
                <c:ptCount val="9"/>
                <c:pt idx="0">
                  <c:v>Kaufpreis</c:v>
                </c:pt>
                <c:pt idx="1">
                  <c:v>Restwert</c:v>
                </c:pt>
                <c:pt idx="2">
                  <c:v>Wertverlust</c:v>
                </c:pt>
                <c:pt idx="3">
                  <c:v>Zinsen</c:v>
                </c:pt>
                <c:pt idx="4">
                  <c:v>Stromkosten</c:v>
                </c:pt>
                <c:pt idx="5">
                  <c:v>Versicherung</c:v>
                </c:pt>
                <c:pt idx="6">
                  <c:v>Wartung</c:v>
                </c:pt>
                <c:pt idx="7">
                  <c:v>Kfz-Steuern</c:v>
                </c:pt>
                <c:pt idx="8">
                  <c:v>TCO</c:v>
                </c:pt>
              </c:strCache>
            </c:strRef>
          </c:cat>
          <c:val>
            <c:numRef>
              <c:f>'Eingabe und Ausgabe'!$C$89:$K$89</c:f>
              <c:numCache>
                <c:formatCode>_-* #,##0\ [$€-407]_-;\-* #,##0\ [$€-407]_-;_-* "-"??\ [$€-407]_-;_-@_-</c:formatCode>
                <c:ptCount val="9"/>
                <c:pt idx="0">
                  <c:v>0</c:v>
                </c:pt>
                <c:pt idx="1">
                  <c:v>8884.2099623784015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412-BF41-80F3-A1D7E288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370004160"/>
        <c:axId val="370007296"/>
      </c:barChart>
      <c:scatterChart>
        <c:scatterStyle val="lineMarker"/>
        <c:varyColors val="0"/>
        <c:ser>
          <c:idx val="3"/>
          <c:order val="3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Ausgabe'!$C$93:$D$93</c:f>
              <c:numCache>
                <c:formatCode>General</c:formatCode>
                <c:ptCount val="2"/>
                <c:pt idx="0">
                  <c:v>0.65</c:v>
                </c:pt>
                <c:pt idx="1">
                  <c:v>2.35</c:v>
                </c:pt>
              </c:numCache>
            </c:numRef>
          </c:xVal>
          <c:yVal>
            <c:numRef>
              <c:f>'Eingabe und Ausgabe'!$C$92:$D$92</c:f>
              <c:numCache>
                <c:formatCode>_-* #,##0\ [$€-407]_-;\-* #,##0\ [$€-407]_-;_-* "-"??\ [$€-407]_-;_-@_-</c:formatCode>
                <c:ptCount val="2"/>
                <c:pt idx="0">
                  <c:v>35437.445653265364</c:v>
                </c:pt>
                <c:pt idx="1">
                  <c:v>35437.445653265364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1412-BF41-80F3-A1D7E288FB14}"/>
            </c:ext>
          </c:extLst>
        </c:ser>
        <c:ser>
          <c:idx val="4"/>
          <c:order val="4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Ausgabe'!$D$95:$E$95</c:f>
              <c:numCache>
                <c:formatCode>General</c:formatCode>
                <c:ptCount val="2"/>
                <c:pt idx="0">
                  <c:v>1.65</c:v>
                </c:pt>
                <c:pt idx="1">
                  <c:v>3.35</c:v>
                </c:pt>
              </c:numCache>
            </c:numRef>
          </c:xVal>
          <c:yVal>
            <c:numRef>
              <c:f>'Eingabe und Ausgabe'!$D$94:$E$94</c:f>
              <c:numCache>
                <c:formatCode>_-* #,##0\ [$€-407]_-;\-* #,##0\ [$€-407]_-;_-* "-"??\ [$€-407]_-;_-@_-</c:formatCode>
                <c:ptCount val="2"/>
                <c:pt idx="0">
                  <c:v>26553.235690886962</c:v>
                </c:pt>
                <c:pt idx="1">
                  <c:v>26553.235690886962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1412-BF41-80F3-A1D7E288FB14}"/>
            </c:ext>
          </c:extLst>
        </c:ser>
        <c:ser>
          <c:idx val="5"/>
          <c:order val="5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Ausgabe'!$E$97:$G$97</c:f>
              <c:numCache>
                <c:formatCode>General</c:formatCode>
                <c:ptCount val="3"/>
                <c:pt idx="0">
                  <c:v>2.65</c:v>
                </c:pt>
                <c:pt idx="1">
                  <c:v>4.3499999999999996</c:v>
                </c:pt>
              </c:numCache>
            </c:numRef>
          </c:xVal>
          <c:yVal>
            <c:numRef>
              <c:f>'Eingabe und Ausgabe'!$E$96:$G$96</c:f>
              <c:numCache>
                <c:formatCode>_-* #,##0\ [$€-407]_-;\-* #,##0\ [$€-407]_-;_-* "-"??\ [$€-407]_-;_-@_-</c:formatCode>
                <c:ptCount val="3"/>
                <c:pt idx="0">
                  <c:v>26553.235690886962</c:v>
                </c:pt>
                <c:pt idx="1">
                  <c:v>26553.235690886962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1412-BF41-80F3-A1D7E288FB14}"/>
            </c:ext>
          </c:extLst>
        </c:ser>
        <c:ser>
          <c:idx val="6"/>
          <c:order val="6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Ausgabe'!$G$101:$H$101</c:f>
              <c:numCache>
                <c:formatCode>General</c:formatCode>
                <c:ptCount val="2"/>
                <c:pt idx="0">
                  <c:v>4.6500000000000004</c:v>
                </c:pt>
                <c:pt idx="1">
                  <c:v>6.35</c:v>
                </c:pt>
              </c:numCache>
            </c:numRef>
          </c:xVal>
          <c:yVal>
            <c:numRef>
              <c:f>'Eingabe und Ausgabe'!$G$100:$H$100</c:f>
              <c:numCache>
                <c:formatCode>_-* #,##0\ [$€-407]_-;\-* #,##0\ [$€-407]_-;_-* "-"??\ [$€-407]_-;_-@_-</c:formatCode>
                <c:ptCount val="2"/>
                <c:pt idx="0">
                  <c:v>36422.0043977393</c:v>
                </c:pt>
                <c:pt idx="1">
                  <c:v>36422.0043977393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1412-BF41-80F3-A1D7E288FB14}"/>
            </c:ext>
          </c:extLst>
        </c:ser>
        <c:ser>
          <c:idx val="7"/>
          <c:order val="7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Ausgabe'!$H$103:$I$103</c:f>
              <c:numCache>
                <c:formatCode>General</c:formatCode>
                <c:ptCount val="2"/>
                <c:pt idx="0">
                  <c:v>5.65</c:v>
                </c:pt>
                <c:pt idx="1">
                  <c:v>7.35</c:v>
                </c:pt>
              </c:numCache>
            </c:numRef>
          </c:xVal>
          <c:yVal>
            <c:numRef>
              <c:f>'Eingabe und Ausgabe'!$H$102:$I$102</c:f>
              <c:numCache>
                <c:formatCode>_-* #,##0\ [$€-407]_-;\-* #,##0\ [$€-407]_-;_-* "-"??\ [$€-407]_-;_-@_-</c:formatCode>
                <c:ptCount val="2"/>
                <c:pt idx="0">
                  <c:v>42866.124397739302</c:v>
                </c:pt>
                <c:pt idx="1">
                  <c:v>42866.124397739302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1412-BF41-80F3-A1D7E288FB14}"/>
            </c:ext>
          </c:extLst>
        </c:ser>
        <c:ser>
          <c:idx val="8"/>
          <c:order val="8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Ausgabe'!$J$107:$K$107</c:f>
              <c:numCache>
                <c:formatCode>General</c:formatCode>
                <c:ptCount val="2"/>
                <c:pt idx="0">
                  <c:v>7.65</c:v>
                </c:pt>
                <c:pt idx="1">
                  <c:v>9.35</c:v>
                </c:pt>
              </c:numCache>
            </c:numRef>
          </c:xVal>
          <c:yVal>
            <c:numRef>
              <c:f>'Eingabe und Ausgabe'!$J$106:$K$106</c:f>
              <c:numCache>
                <c:formatCode>_-* #,##0\ [$€-407]_-;\-* #,##0\ [$€-407]_-;_-* "-"??\ [$€-407]_-;_-@_-</c:formatCode>
                <c:ptCount val="2"/>
                <c:pt idx="0">
                  <c:v>44364.900118064652</c:v>
                </c:pt>
                <c:pt idx="1">
                  <c:v>44364.900118064652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1412-BF41-80F3-A1D7E288FB14}"/>
            </c:ext>
          </c:extLst>
        </c:ser>
        <c:ser>
          <c:idx val="9"/>
          <c:order val="9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Ausgabe'!$I$105:$J$105</c:f>
              <c:numCache>
                <c:formatCode>General</c:formatCode>
                <c:ptCount val="2"/>
                <c:pt idx="0">
                  <c:v>6.65</c:v>
                </c:pt>
                <c:pt idx="1">
                  <c:v>8.35</c:v>
                </c:pt>
              </c:numCache>
            </c:numRef>
          </c:xVal>
          <c:yVal>
            <c:numRef>
              <c:f>'Eingabe und Ausgabe'!$I$104:$J$104</c:f>
              <c:numCache>
                <c:formatCode>_-* #,##0\ [$€-407]_-;\-* #,##0\ [$€-407]_-;_-* "-"??\ [$€-407]_-;_-@_-</c:formatCode>
                <c:ptCount val="2"/>
                <c:pt idx="0">
                  <c:v>44364.900118064652</c:v>
                </c:pt>
                <c:pt idx="1">
                  <c:v>44364.900118064652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1412-BF41-80F3-A1D7E288FB14}"/>
            </c:ext>
          </c:extLst>
        </c:ser>
        <c:ser>
          <c:idx val="10"/>
          <c:order val="10"/>
          <c:spPr>
            <a:ln w="19050">
              <a:solidFill>
                <a:schemeClr val="bg1">
                  <a:lumMod val="50000"/>
                </a:schemeClr>
              </a:solidFill>
            </a:ln>
          </c:spPr>
          <c:marker>
            <c:symbol val="none"/>
          </c:marker>
          <c:xVal>
            <c:numRef>
              <c:f>'Eingabe und Ausgabe'!$F$99:$G$99</c:f>
              <c:numCache>
                <c:formatCode>General</c:formatCode>
                <c:ptCount val="2"/>
                <c:pt idx="0">
                  <c:v>3.65</c:v>
                </c:pt>
                <c:pt idx="1">
                  <c:v>5.35</c:v>
                </c:pt>
              </c:numCache>
            </c:numRef>
          </c:xVal>
          <c:yVal>
            <c:numRef>
              <c:f>'Eingabe und Ausgabe'!$F$98:$G$98</c:f>
              <c:numCache>
                <c:formatCode>_-* #,##0\ [$€-407]_-;\-* #,##0\ [$€-407]_-;_-* "-"??\ [$€-407]_-;_-@_-</c:formatCode>
                <c:ptCount val="2"/>
                <c:pt idx="0">
                  <c:v>32036.957839436629</c:v>
                </c:pt>
                <c:pt idx="1">
                  <c:v>32036.957839436629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1412-BF41-80F3-A1D7E288FB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004160"/>
        <c:axId val="370007296"/>
      </c:scatterChart>
      <c:valAx>
        <c:axId val="370007296"/>
        <c:scaling>
          <c:orientation val="minMax"/>
          <c:max val="80000"/>
        </c:scaling>
        <c:delete val="0"/>
        <c:axPos val="r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-* #,##0\ [$€-407]_-;\-* #,##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370004160"/>
        <c:crosses val="max"/>
        <c:crossBetween val="between"/>
        <c:majorUnit val="10000"/>
      </c:valAx>
      <c:catAx>
        <c:axId val="3700041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1100"/>
            </a:pPr>
            <a:endParaRPr lang="en-US"/>
          </a:p>
        </c:txPr>
        <c:crossAx val="37000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</c:plotArea>
    <c:plotVisOnly val="1"/>
    <c:dispBlanksAs val="gap"/>
    <c:showDLblsOverMax val="0"/>
  </c:chart>
  <c:spPr>
    <a:ln w="0">
      <a:solidFill>
        <a:schemeClr val="bg1">
          <a:lumMod val="50000"/>
        </a:schemeClr>
      </a:solidFill>
    </a:ln>
  </c:sp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Benziner</a:t>
            </a:r>
          </a:p>
        </c:rich>
      </c:tx>
      <c:layout>
        <c:manualLayout>
          <c:xMode val="edge"/>
          <c:yMode val="edge"/>
          <c:x val="0.80068744531933511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197513189639175E-2"/>
          <c:y val="4.0229885057471264E-2"/>
          <c:w val="0.53872053872053871"/>
          <c:h val="0.91954022988505746"/>
        </c:manualLayout>
      </c:layout>
      <c:pieChart>
        <c:varyColors val="1"/>
        <c:ser>
          <c:idx val="0"/>
          <c:order val="0"/>
          <c:dLbls>
            <c:dLbl>
              <c:idx val="5"/>
              <c:layout>
                <c:manualLayout>
                  <c:x val="6.8888358652137872E-3"/>
                  <c:y val="1.4367816091954023E-3"/>
                </c:manualLayout>
              </c:layout>
              <c:spPr>
                <a:solidFill>
                  <a:sysClr val="window" lastClr="FFFFFF"/>
                </a:solidFill>
              </c:spPr>
              <c:txPr>
                <a:bodyPr/>
                <a:lstStyle/>
                <a:p>
                  <a:pPr>
                    <a:defRPr b="1"/>
                  </a:pPr>
                  <a:endParaRPr lang="en-US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02B-CA43-81B9-E72570318D3F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2B-CA43-81B9-E72570318D3F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02B-CA43-81B9-E72570318D3F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2B-CA43-81B9-E72570318D3F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02B-CA43-81B9-E72570318D3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'Cost Allocation'!$A$3:$A$8</c:f>
              <c:strCache>
                <c:ptCount val="6"/>
                <c:pt idx="0">
                  <c:v> Wertverlust </c:v>
                </c:pt>
                <c:pt idx="1">
                  <c:v> Benzinkosten </c:v>
                </c:pt>
                <c:pt idx="2">
                  <c:v> Versicherung </c:v>
                </c:pt>
                <c:pt idx="3">
                  <c:v> Zinsen </c:v>
                </c:pt>
                <c:pt idx="4">
                  <c:v> Wartung </c:v>
                </c:pt>
                <c:pt idx="5">
                  <c:v> Kfz-Steuern </c:v>
                </c:pt>
              </c:strCache>
            </c:strRef>
          </c:cat>
          <c:val>
            <c:numRef>
              <c:f>'Cost Allocation'!$B$3:$B$8</c:f>
              <c:numCache>
                <c:formatCode>_-* #,##0\ [$€-407]_-;\-* #,##0\ [$€-407]_-;_-* "-"??\ [$€-407]_-;_-@_-</c:formatCode>
                <c:ptCount val="6"/>
                <c:pt idx="0">
                  <c:v>11315.821649999998</c:v>
                </c:pt>
                <c:pt idx="1">
                  <c:v>9713.2584863173506</c:v>
                </c:pt>
                <c:pt idx="2">
                  <c:v>5432.5860000000011</c:v>
                </c:pt>
                <c:pt idx="3">
                  <c:v>2931.1555340122695</c:v>
                </c:pt>
                <c:pt idx="4">
                  <c:v>2218.187340012249</c:v>
                </c:pt>
                <c:pt idx="5">
                  <c:v>295.68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2B-CA43-81B9-E72570318D3F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2664495751590377"/>
          <c:y val="0.3919114852022807"/>
          <c:w val="0.37335504248409629"/>
          <c:h val="0.6080885147977193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BEV</a:t>
            </a:r>
          </a:p>
        </c:rich>
      </c:tx>
      <c:layout>
        <c:manualLayout>
          <c:xMode val="edge"/>
          <c:yMode val="edge"/>
          <c:x val="6.7366579177606425E-4"/>
          <c:y val="0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41196108062249792"/>
          <c:y val="4.005722460658083E-2"/>
          <c:w val="0.5412457912457912"/>
          <c:h val="0.91988555078683831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'Cost Allocation'!$A$18:$A$22</c:f>
              <c:strCache>
                <c:ptCount val="5"/>
                <c:pt idx="0">
                  <c:v> Wertverlust </c:v>
                </c:pt>
                <c:pt idx="1">
                  <c:v> Versicherung </c:v>
                </c:pt>
                <c:pt idx="2">
                  <c:v> Zinsen </c:v>
                </c:pt>
                <c:pt idx="3">
                  <c:v> Stromkosten </c:v>
                </c:pt>
                <c:pt idx="4">
                  <c:v> Wartung </c:v>
                </c:pt>
              </c:strCache>
            </c:strRef>
          </c:cat>
          <c:val>
            <c:numRef>
              <c:f>'Cost Allocation'!$B$18:$B$22</c:f>
              <c:numCache>
                <c:formatCode>_-* #,##0\ [$€-407]_-;\-* #,##0\ [$€-407]_-;_-* "-"??\ [$€-407]_-;_-@_-</c:formatCode>
                <c:ptCount val="5"/>
                <c:pt idx="0">
                  <c:v>26553.235690886962</c:v>
                </c:pt>
                <c:pt idx="1">
                  <c:v>6444.12</c:v>
                </c:pt>
                <c:pt idx="2">
                  <c:v>5483.7221485496666</c:v>
                </c:pt>
                <c:pt idx="3">
                  <c:v>4385.0465583026689</c:v>
                </c:pt>
                <c:pt idx="4">
                  <c:v>1498.7757203253518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6D-0443-9236-020AB68B287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3.350566027731382E-3"/>
          <c:y val="0.37570928097507122"/>
          <c:w val="0.33900511588593796"/>
          <c:h val="0.51739380216957864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ICE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23407521844579554"/>
          <c:y val="6.7595249223983994E-2"/>
          <c:w val="0.7659247815542044"/>
          <c:h val="0.7978384208823212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'Cash Flows'!$W$23</c:f>
              <c:strCache>
                <c:ptCount val="1"/>
                <c:pt idx="0">
                  <c:v>Wertverlust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CF3C-304F-B2B3-09B2922F47ED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CF3C-304F-B2B3-09B2922F47ED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CF3C-304F-B2B3-09B2922F47E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'Cash Flows'!$W$23:$W$24</c:f>
              <c:strCache>
                <c:ptCount val="2"/>
                <c:pt idx="0">
                  <c:v>Wertverlust</c:v>
                </c:pt>
                <c:pt idx="1">
                  <c:v>Wiederkehrende Kosten</c:v>
                </c:pt>
              </c:strCache>
            </c:strRef>
          </c:cat>
          <c:val>
            <c:numRef>
              <c:f>'Cash Flows'!$Y$23:$Y$24</c:f>
              <c:numCache>
                <c:formatCode>_-* #,##0\ [$€-407]_-;\-* #,##0\ [$€-407]_-;_-* "-"??\ [$€-407]_-;_-@_-</c:formatCode>
                <c:ptCount val="2"/>
                <c:pt idx="0">
                  <c:v>-7626.178350000001</c:v>
                </c:pt>
                <c:pt idx="1">
                  <c:v>20590.867360341872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3C-304F-B2B3-09B2922F47E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axId val="370004944"/>
        <c:axId val="370005336"/>
      </c:barChart>
      <c:barChart>
        <c:barDir val="col"/>
        <c:grouping val="clustered"/>
        <c:varyColors val="0"/>
        <c:ser>
          <c:idx val="1"/>
          <c:order val="1"/>
          <c:tx>
            <c:strRef>
              <c:f>'Cash Flows'!$W$24</c:f>
              <c:strCache>
                <c:ptCount val="1"/>
                <c:pt idx="0">
                  <c:v>Wiederkehrende Kosten</c:v>
                </c:pt>
              </c:strCache>
            </c:strRef>
          </c:tx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'Cash Flows'!$AA$23:$AA$24</c:f>
              <c:numCache>
                <c:formatCode>0%</c:formatCode>
                <c:ptCount val="2"/>
                <c:pt idx="0">
                  <c:v>-0.58822686328354157</c:v>
                </c:pt>
                <c:pt idx="1">
                  <c:v>1.5882268632835417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3C-304F-B2B3-09B2922F4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70006120"/>
        <c:axId val="370005728"/>
      </c:barChart>
      <c:catAx>
        <c:axId val="37000494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370005336"/>
        <c:crosses val="autoZero"/>
        <c:auto val="1"/>
        <c:lblAlgn val="ctr"/>
        <c:lblOffset val="100"/>
        <c:noMultiLvlLbl val="0"/>
      </c:catAx>
      <c:valAx>
        <c:axId val="370005336"/>
        <c:scaling>
          <c:orientation val="minMax"/>
          <c:max val="30000"/>
        </c:scaling>
        <c:delete val="0"/>
        <c:axPos val="l"/>
        <c:numFmt formatCode="_-* #,##0\ [$€-407]_-;\-* #,##0\ [$€-407]_-;_-* &quot;-&quot;??\ [$€-407]_-;_-@_-" sourceLinked="1"/>
        <c:majorTickMark val="out"/>
        <c:minorTickMark val="none"/>
        <c:tickLblPos val="nextTo"/>
        <c:crossAx val="370004944"/>
        <c:crosses val="autoZero"/>
        <c:crossBetween val="between"/>
      </c:valAx>
      <c:valAx>
        <c:axId val="370005728"/>
        <c:scaling>
          <c:orientation val="minMax"/>
        </c:scaling>
        <c:delete val="1"/>
        <c:axPos val="r"/>
        <c:numFmt formatCode="0%" sourceLinked="1"/>
        <c:majorTickMark val="out"/>
        <c:minorTickMark val="none"/>
        <c:tickLblPos val="nextTo"/>
        <c:crossAx val="370006120"/>
        <c:crosses val="max"/>
        <c:crossBetween val="between"/>
      </c:valAx>
      <c:catAx>
        <c:axId val="370006120"/>
        <c:scaling>
          <c:orientation val="minMax"/>
        </c:scaling>
        <c:delete val="1"/>
        <c:axPos val="b"/>
        <c:majorTickMark val="out"/>
        <c:minorTickMark val="none"/>
        <c:tickLblPos val="nextTo"/>
        <c:crossAx val="370005728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BEV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"/>
          <c:y val="6.7595249223983994E-2"/>
          <c:w val="0.78702182796770659"/>
          <c:h val="0.79783842088232126"/>
        </c:manualLayout>
      </c:layout>
      <c:barChart>
        <c:barDir val="col"/>
        <c:grouping val="clustered"/>
        <c:varyColors val="0"/>
        <c:ser>
          <c:idx val="0"/>
          <c:order val="0"/>
          <c:tx>
            <c:v>BEV</c:v>
          </c:tx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052B-0D44-9D5F-3449C54CB17C}"/>
              </c:ext>
            </c:extLst>
          </c:dPt>
          <c:dLbls>
            <c:dLbl>
              <c:idx val="0"/>
              <c:spPr/>
              <c:txPr>
                <a:bodyPr/>
                <a:lstStyle/>
                <a:p>
                  <a:pPr>
                    <a:defRPr b="1">
                      <a:solidFill>
                        <a:schemeClr val="tx2">
                          <a:lumMod val="75000"/>
                        </a:schemeClr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052B-0D44-9D5F-3449C54CB17C}"/>
                </c:ext>
              </c:extLst>
            </c:dLbl>
            <c:dLbl>
              <c:idx val="1"/>
              <c:spPr/>
              <c:txPr>
                <a:bodyPr/>
                <a:lstStyle/>
                <a:p>
                  <a:pPr>
                    <a:defRPr b="1">
                      <a:solidFill>
                        <a:srgbClr val="C00000"/>
                      </a:solidFill>
                    </a:defRPr>
                  </a:pPr>
                  <a:endParaRPr lang="en-US"/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052B-0D44-9D5F-3449C54CB17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'Cash Flows'!$W$23:$W$24</c:f>
              <c:strCache>
                <c:ptCount val="2"/>
                <c:pt idx="0">
                  <c:v>Wertverlust</c:v>
                </c:pt>
                <c:pt idx="1">
                  <c:v>Wiederkehrende Kosten</c:v>
                </c:pt>
              </c:strCache>
            </c:strRef>
          </c:cat>
          <c:val>
            <c:numRef>
              <c:f>'Cash Flows'!$Z$23:$Z$24</c:f>
              <c:numCache>
                <c:formatCode>_-* #,##0\ [$€-407]_-;\-* #,##0\ [$€-407]_-;_-* "-"??\ [$€-407]_-;_-@_-</c:formatCode>
                <c:ptCount val="2"/>
                <c:pt idx="0">
                  <c:v>26553.235690886962</c:v>
                </c:pt>
                <c:pt idx="1">
                  <c:v>17811.664427177686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52B-0D44-9D5F-3449C54C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9668824"/>
        <c:axId val="369669216"/>
      </c:barChart>
      <c:barChart>
        <c:barDir val="col"/>
        <c:grouping val="clustered"/>
        <c:varyColors val="0"/>
        <c:ser>
          <c:idx val="1"/>
          <c:order val="1"/>
          <c:tx>
            <c:strRef>
              <c:f>'Cash Flows'!$AB$22</c:f>
              <c:strCache>
                <c:ptCount val="1"/>
                <c:pt idx="0">
                  <c:v>BEV</c:v>
                </c:pt>
              </c:strCache>
            </c:strRef>
          </c:tx>
          <c:spPr>
            <a:noFill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'Cash Flows'!$W$23:$W$24</c:f>
              <c:strCache>
                <c:ptCount val="2"/>
                <c:pt idx="0">
                  <c:v>Wertverlust</c:v>
                </c:pt>
                <c:pt idx="1">
                  <c:v>Wiederkehrende Kosten</c:v>
                </c:pt>
              </c:strCache>
            </c:strRef>
          </c:cat>
          <c:val>
            <c:numRef>
              <c:f>'Cash Flows'!$AB$23:$AB$24</c:f>
              <c:numCache>
                <c:formatCode>0%</c:formatCode>
                <c:ptCount val="2"/>
                <c:pt idx="0">
                  <c:v>0.59851900083676579</c:v>
                </c:pt>
                <c:pt idx="1">
                  <c:v>0.40148099916323432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52B-0D44-9D5F-3449C54CB1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369667648"/>
        <c:axId val="369667256"/>
      </c:barChart>
      <c:catAx>
        <c:axId val="36966882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369669216"/>
        <c:crosses val="autoZero"/>
        <c:auto val="1"/>
        <c:lblAlgn val="ctr"/>
        <c:lblOffset val="100"/>
        <c:noMultiLvlLbl val="0"/>
      </c:catAx>
      <c:valAx>
        <c:axId val="369669216"/>
        <c:scaling>
          <c:orientation val="minMax"/>
        </c:scaling>
        <c:delete val="0"/>
        <c:axPos val="r"/>
        <c:numFmt formatCode="_-* #,##0\ [$€-407]_-;\-* #,##0\ [$€-407]_-;_-* &quot;-&quot;??\ [$€-407]_-;_-@_-" sourceLinked="1"/>
        <c:majorTickMark val="out"/>
        <c:minorTickMark val="none"/>
        <c:tickLblPos val="nextTo"/>
        <c:crossAx val="369668824"/>
        <c:crosses val="max"/>
        <c:crossBetween val="between"/>
      </c:valAx>
      <c:valAx>
        <c:axId val="369667256"/>
        <c:scaling>
          <c:orientation val="minMax"/>
        </c:scaling>
        <c:delete val="1"/>
        <c:axPos val="l"/>
        <c:numFmt formatCode="0%" sourceLinked="1"/>
        <c:majorTickMark val="out"/>
        <c:minorTickMark val="none"/>
        <c:tickLblPos val="nextTo"/>
        <c:crossAx val="369667648"/>
        <c:crosses val="autoZero"/>
        <c:crossBetween val="between"/>
      </c:valAx>
      <c:catAx>
        <c:axId val="36966764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69667256"/>
        <c:crosses val="autoZero"/>
        <c:auto val="1"/>
        <c:lblAlgn val="ctr"/>
        <c:lblOffset val="100"/>
        <c:noMultiLvlLbl val="0"/>
      </c:catAx>
      <c:spPr>
        <a:noFill/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val>
            <c:numRef>
              <c:f>'Cash Flows'!$Y$23:$Y$24</c:f>
              <c:numCache>
                <c:formatCode>_-* #,##0\ [$€-407]_-;\-* #,##0\ [$€-407]_-;_-* "-"??\ [$€-407]_-;_-@_-</c:formatCode>
                <c:ptCount val="2"/>
                <c:pt idx="0">
                  <c:v>-7626.178350000001</c:v>
                </c:pt>
                <c:pt idx="1">
                  <c:v>20590.867360341872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E5-0943-9DB5-5637D8A199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'Cash Flows'!$R$38:$R$39</c:f>
              <c:strCache>
                <c:ptCount val="2"/>
              </c:strCache>
            </c:strRef>
          </c:tx>
          <c:val>
            <c:numRef>
              <c:f>'Cash Flows'!$Z$23:$Z$24</c:f>
              <c:numCache>
                <c:formatCode>_-* #,##0\ [$€-407]_-;\-* #,##0\ [$€-407]_-;_-* "-"??\ [$€-407]_-;_-@_-</c:formatCode>
                <c:ptCount val="2"/>
                <c:pt idx="0">
                  <c:v>26553.235690886962</c:v>
                </c:pt>
                <c:pt idx="1">
                  <c:v>17811.664427177686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F5-C541-A4B6-088A888031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8740157499999996" l="0.7" r="0.7" t="0.78740157499999996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840439375847199"/>
          <c:y val="6.7595249223983994E-2"/>
          <c:w val="0.71159560624152807"/>
          <c:h val="0.8648095015520320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'Cash Flows'!$A$11</c:f>
              <c:strCache>
                <c:ptCount val="1"/>
                <c:pt idx="0">
                  <c:v>Kfz-Steuern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Flows'!$C$11:$D$11</c:f>
              <c:numCache>
                <c:formatCode>_-* #,##0\ [$€-407]_-;\-* #,##0\ [$€-407]_-;_-* "-"??\ [$€-407]_-;_-@_-</c:formatCode>
                <c:ptCount val="2"/>
                <c:pt idx="0">
                  <c:v>49.28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20F-A943-AEA6-2C1A557E072F}"/>
            </c:ext>
          </c:extLst>
        </c:ser>
        <c:ser>
          <c:idx val="6"/>
          <c:order val="1"/>
          <c:tx>
            <c:strRef>
              <c:f>'Cash Flows'!$A$8</c:f>
              <c:strCache>
                <c:ptCount val="1"/>
                <c:pt idx="0">
                  <c:v>Zinsen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Flows'!$C$8:$D$8</c:f>
              <c:numCache>
                <c:formatCode>_-* #,##0\ [$€-407]_-;\-* #,##0\ [$€-407]_-;_-* "-"??\ [$€-407]_-;_-@_-</c:formatCode>
                <c:ptCount val="2"/>
                <c:pt idx="0">
                  <c:v>488.52592233537825</c:v>
                </c:pt>
                <c:pt idx="1">
                  <c:v>913.95369142494451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0F-A943-AEA6-2C1A557E072F}"/>
            </c:ext>
          </c:extLst>
        </c:ser>
        <c:ser>
          <c:idx val="3"/>
          <c:order val="2"/>
          <c:tx>
            <c:strRef>
              <c:f>'Cash Flows'!$A$13</c:f>
              <c:strCache>
                <c:ptCount val="1"/>
                <c:pt idx="0">
                  <c:v>Versicherung</c:v>
                </c:pt>
              </c:strCache>
            </c:strRef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Flows'!$C$13:$D$13</c:f>
              <c:numCache>
                <c:formatCode>_-* #,##0\ [$€-407]_-;\-* #,##0\ [$€-407]_-;_-* "-"??\ [$€-407]_-;_-@_-</c:formatCode>
                <c:ptCount val="2"/>
                <c:pt idx="0">
                  <c:v>905.43100000000027</c:v>
                </c:pt>
                <c:pt idx="1">
                  <c:v>1074.02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20F-A943-AEA6-2C1A557E072F}"/>
            </c:ext>
          </c:extLst>
        </c:ser>
        <c:ser>
          <c:idx val="0"/>
          <c:order val="3"/>
          <c:tx>
            <c:strRef>
              <c:f>'Cash Flows'!$A$12</c:f>
              <c:strCache>
                <c:ptCount val="1"/>
                <c:pt idx="0">
                  <c:v>Wartung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Flows'!$C$12:$D$12</c:f>
              <c:numCache>
                <c:formatCode>_-* #,##0\ [$€-407]_-;\-* #,##0\ [$€-407]_-;_-* "-"??\ [$€-407]_-;_-@_-</c:formatCode>
                <c:ptCount val="2"/>
                <c:pt idx="0">
                  <c:v>369.6978900020415</c:v>
                </c:pt>
                <c:pt idx="1">
                  <c:v>249.79595338755863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0F-A943-AEA6-2C1A557E072F}"/>
            </c:ext>
          </c:extLst>
        </c:ser>
        <c:ser>
          <c:idx val="4"/>
          <c:order val="4"/>
          <c:tx>
            <c:strRef>
              <c:f>'Cash Flows'!$A$10</c:f>
              <c:strCache>
                <c:ptCount val="1"/>
                <c:pt idx="0">
                  <c:v>Stromkosten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Flows'!$C$10:$D$10</c:f>
              <c:numCache>
                <c:formatCode>_-* #,##0\ [$€-407]_-;\-* #,##0\ [$€-407]_-;_-* "-"??\ [$€-407]_-;_-@_-</c:formatCode>
                <c:ptCount val="2"/>
                <c:pt idx="0">
                  <c:v>0</c:v>
                </c:pt>
                <c:pt idx="1">
                  <c:v>730.8410930504449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20F-A943-AEA6-2C1A557E072F}"/>
            </c:ext>
          </c:extLst>
        </c:ser>
        <c:ser>
          <c:idx val="5"/>
          <c:order val="5"/>
          <c:tx>
            <c:strRef>
              <c:f>'Cash Flows'!$A$9</c:f>
              <c:strCache>
                <c:ptCount val="1"/>
                <c:pt idx="0">
                  <c:v>Benzinkosten</c:v>
                </c:pt>
              </c:strCache>
            </c:strRef>
          </c:tx>
          <c:spPr>
            <a:solidFill>
              <a:schemeClr val="tx2">
                <a:lumMod val="50000"/>
              </a:schemeClr>
            </a:solidFill>
          </c:spPr>
          <c:invertIfNegative val="0"/>
          <c:cat>
            <c:strRef>
              <c:f>'Cash Flows'!$C$3:$D$3</c:f>
              <c:strCache>
                <c:ptCount val="2"/>
                <c:pt idx="0">
                  <c:v> ICE </c:v>
                </c:pt>
                <c:pt idx="1">
                  <c:v> BEV </c:v>
                </c:pt>
              </c:strCache>
            </c:strRef>
          </c:cat>
          <c:val>
            <c:numRef>
              <c:f>'Cash Flows'!$C$9:$D$9</c:f>
              <c:numCache>
                <c:formatCode>_-* #,##0\ [$€-407]_-;\-* #,##0\ [$€-407]_-;_-* "-"??\ [$€-407]_-;_-@_-</c:formatCode>
                <c:ptCount val="2"/>
                <c:pt idx="0">
                  <c:v>1618.8764143862252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0F-A943-AEA6-2C1A557E07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369669608"/>
        <c:axId val="369666864"/>
      </c:barChart>
      <c:catAx>
        <c:axId val="36966960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369666864"/>
        <c:crosses val="autoZero"/>
        <c:auto val="1"/>
        <c:lblAlgn val="ctr"/>
        <c:lblOffset val="100"/>
        <c:noMultiLvlLbl val="0"/>
      </c:catAx>
      <c:valAx>
        <c:axId val="369666864"/>
        <c:scaling>
          <c:orientation val="minMax"/>
        </c:scaling>
        <c:delete val="0"/>
        <c:axPos val="l"/>
        <c:numFmt formatCode="_-* #,##0\ [$€-407]_-;\-* #,##0\ [$€-407]_-;_-* &quot;-&quot;??\ [$€-407]_-;_-@_-" sourceLinked="1"/>
        <c:majorTickMark val="out"/>
        <c:minorTickMark val="none"/>
        <c:tickLblPos val="nextTo"/>
        <c:crossAx val="36966960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Ergebnis!$N$13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Ergebnis!$L$14:$L$20</c:f>
              <c:strCache>
                <c:ptCount val="7"/>
                <c:pt idx="0">
                  <c:v>TtW</c:v>
                </c:pt>
                <c:pt idx="1">
                  <c:v>WtT eco</c:v>
                </c:pt>
                <c:pt idx="2">
                  <c:v>WtT</c:v>
                </c:pt>
                <c:pt idx="3">
                  <c:v>WtW eco</c:v>
                </c:pt>
                <c:pt idx="4">
                  <c:v>WtW</c:v>
                </c:pt>
                <c:pt idx="5">
                  <c:v>LCA eco</c:v>
                </c:pt>
                <c:pt idx="6">
                  <c:v>LCA</c:v>
                </c:pt>
              </c:strCache>
            </c:strRef>
          </c:cat>
          <c:val>
            <c:numRef>
              <c:f>Ergebnis!$N$14:$N$20</c:f>
              <c:numCache>
                <c:formatCode>_(* #,##0.0_);_(* \(#,##0.0\);_(* "-"??_);_(@_)</c:formatCode>
                <c:ptCount val="7"/>
                <c:pt idx="0">
                  <c:v>154.94800393425311</c:v>
                </c:pt>
                <c:pt idx="1">
                  <c:v>29.513905511286307</c:v>
                </c:pt>
                <c:pt idx="2">
                  <c:v>29.513905511286307</c:v>
                </c:pt>
                <c:pt idx="3">
                  <c:v>184.46190944553942</c:v>
                </c:pt>
                <c:pt idx="4">
                  <c:v>184.46190944553942</c:v>
                </c:pt>
                <c:pt idx="5">
                  <c:v>212.36468722331722</c:v>
                </c:pt>
                <c:pt idx="6">
                  <c:v>212.36468722331722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7C-4448-ABCC-AD51742354BD}"/>
            </c:ext>
          </c:extLst>
        </c:ser>
        <c:ser>
          <c:idx val="1"/>
          <c:order val="1"/>
          <c:tx>
            <c:strRef>
              <c:f>Ergebnis!$O$13</c:f>
              <c:strCache>
                <c:ptCount val="1"/>
                <c:pt idx="0">
                  <c:v>BEV</c:v>
                </c:pt>
              </c:strCache>
            </c:strRef>
          </c:tx>
          <c:invertIfNegative val="0"/>
          <c:cat>
            <c:strRef>
              <c:f>Ergebnis!$L$14:$L$20</c:f>
              <c:strCache>
                <c:ptCount val="7"/>
                <c:pt idx="0">
                  <c:v>TtW</c:v>
                </c:pt>
                <c:pt idx="1">
                  <c:v>WtT eco</c:v>
                </c:pt>
                <c:pt idx="2">
                  <c:v>WtT</c:v>
                </c:pt>
                <c:pt idx="3">
                  <c:v>WtW eco</c:v>
                </c:pt>
                <c:pt idx="4">
                  <c:v>WtW</c:v>
                </c:pt>
                <c:pt idx="5">
                  <c:v>LCA eco</c:v>
                </c:pt>
                <c:pt idx="6">
                  <c:v>LCA</c:v>
                </c:pt>
              </c:strCache>
            </c:strRef>
          </c:cat>
          <c:val>
            <c:numRef>
              <c:f>Ergebnis!$O$14:$O$20</c:f>
              <c:numCache>
                <c:formatCode>_(* #,##0.0_);_(* \(#,##0.0\);_(* "-"??_);_(@_)</c:formatCode>
                <c:ptCount val="7"/>
                <c:pt idx="0">
                  <c:v>0</c:v>
                </c:pt>
                <c:pt idx="1">
                  <c:v>7.3140000000000001</c:v>
                </c:pt>
                <c:pt idx="2">
                  <c:v>70.565298719994146</c:v>
                </c:pt>
                <c:pt idx="3">
                  <c:v>7.3140000000000001</c:v>
                </c:pt>
                <c:pt idx="4">
                  <c:v>70.565298719994146</c:v>
                </c:pt>
                <c:pt idx="5">
                  <c:v>57.300111111111114</c:v>
                </c:pt>
                <c:pt idx="6">
                  <c:v>120.55140983110526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7C-4448-ABCC-AD5174235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789184"/>
        <c:axId val="369787224"/>
      </c:barChart>
      <c:catAx>
        <c:axId val="36978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787224"/>
        <c:crosses val="autoZero"/>
        <c:auto val="1"/>
        <c:lblAlgn val="ctr"/>
        <c:lblOffset val="100"/>
        <c:noMultiLvlLbl val="0"/>
      </c:catAx>
      <c:valAx>
        <c:axId val="369787224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.0_);_(* \(#,##0.0\);_(* &quot;-&quot;??_);_(@_)" sourceLinked="1"/>
        <c:majorTickMark val="out"/>
        <c:minorTickMark val="none"/>
        <c:tickLblPos val="nextTo"/>
        <c:crossAx val="369789184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Ergebnis!$N$23</c:f>
              <c:strCache>
                <c:ptCount val="1"/>
                <c:pt idx="0">
                  <c:v>ICE</c:v>
                </c:pt>
              </c:strCache>
            </c:strRef>
          </c:tx>
          <c:invertIfNegative val="0"/>
          <c:cat>
            <c:strRef>
              <c:f>Ergebnis!$L$25:$L$30</c:f>
              <c:strCache>
                <c:ptCount val="6"/>
                <c:pt idx="0">
                  <c:v>WtT eco</c:v>
                </c:pt>
                <c:pt idx="1">
                  <c:v>WtT</c:v>
                </c:pt>
                <c:pt idx="2">
                  <c:v>WtW eco</c:v>
                </c:pt>
                <c:pt idx="3">
                  <c:v>WtW</c:v>
                </c:pt>
                <c:pt idx="4">
                  <c:v>LCA eco</c:v>
                </c:pt>
                <c:pt idx="5">
                  <c:v>LCA</c:v>
                </c:pt>
              </c:strCache>
            </c:strRef>
          </c:cat>
          <c:val>
            <c:numRef>
              <c:f>Ergebnis!$N$25:$N$30</c:f>
              <c:numCache>
                <c:formatCode>_(* #,##0.00_);_(* \(#,##0.00\);_(* "-"??_);_(@_)</c:formatCode>
                <c:ptCount val="6"/>
                <c:pt idx="0">
                  <c:v>0.44270858266929464</c:v>
                </c:pt>
                <c:pt idx="1">
                  <c:v>0.44270858266929464</c:v>
                </c:pt>
                <c:pt idx="2">
                  <c:v>2.7669286416830912</c:v>
                </c:pt>
                <c:pt idx="3">
                  <c:v>2.7669286416830912</c:v>
                </c:pt>
                <c:pt idx="4">
                  <c:v>3.1854703083497582</c:v>
                </c:pt>
                <c:pt idx="5">
                  <c:v>3.1854703083497582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60-8048-9D4A-BD7B27820D4E}"/>
            </c:ext>
          </c:extLst>
        </c:ser>
        <c:ser>
          <c:idx val="1"/>
          <c:order val="1"/>
          <c:tx>
            <c:strRef>
              <c:f>Ergebnis!$O$23</c:f>
              <c:strCache>
                <c:ptCount val="1"/>
                <c:pt idx="0">
                  <c:v>BEV</c:v>
                </c:pt>
              </c:strCache>
            </c:strRef>
          </c:tx>
          <c:invertIfNegative val="0"/>
          <c:cat>
            <c:strRef>
              <c:f>Ergebnis!$L$25:$L$30</c:f>
              <c:strCache>
                <c:ptCount val="6"/>
                <c:pt idx="0">
                  <c:v>WtT eco</c:v>
                </c:pt>
                <c:pt idx="1">
                  <c:v>WtT</c:v>
                </c:pt>
                <c:pt idx="2">
                  <c:v>WtW eco</c:v>
                </c:pt>
                <c:pt idx="3">
                  <c:v>WtW</c:v>
                </c:pt>
                <c:pt idx="4">
                  <c:v>LCA eco</c:v>
                </c:pt>
                <c:pt idx="5">
                  <c:v>LCA</c:v>
                </c:pt>
              </c:strCache>
            </c:strRef>
          </c:cat>
          <c:val>
            <c:numRef>
              <c:f>Ergebnis!$O$25:$O$30</c:f>
              <c:numCache>
                <c:formatCode>_(* #,##0.00_);_(* \(#,##0.00\);_(* "-"??_);_(@_)</c:formatCode>
                <c:ptCount val="6"/>
                <c:pt idx="0">
                  <c:v>0.10971</c:v>
                </c:pt>
                <c:pt idx="1">
                  <c:v>1.0584794807999123</c:v>
                </c:pt>
                <c:pt idx="2">
                  <c:v>0.10971</c:v>
                </c:pt>
                <c:pt idx="3">
                  <c:v>1.0584794807999123</c:v>
                </c:pt>
                <c:pt idx="4">
                  <c:v>0.85950166666666672</c:v>
                </c:pt>
                <c:pt idx="5">
                  <c:v>1.8082711474665789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60-8048-9D4A-BD7B27820D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788400"/>
        <c:axId val="369785656"/>
      </c:barChart>
      <c:catAx>
        <c:axId val="3697884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69785656"/>
        <c:crosses val="autoZero"/>
        <c:auto val="1"/>
        <c:lblAlgn val="ctr"/>
        <c:lblOffset val="100"/>
        <c:noMultiLvlLbl val="0"/>
      </c:catAx>
      <c:valAx>
        <c:axId val="36978565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crossAx val="369788400"/>
        <c:crosses val="autoZero"/>
        <c:crossBetween val="between"/>
      </c:valAx>
      <c:dTable>
        <c:showHorzBorder val="1"/>
        <c:showVertBorder val="1"/>
        <c:showOutline val="1"/>
        <c:showKeys val="0"/>
      </c:dTable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6678463834554617E-2"/>
          <c:y val="7.3102991321605568E-2"/>
          <c:w val="0.81195235210983241"/>
          <c:h val="0.642046392212299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Ergebnis!$L$66</c:f>
              <c:strCache>
                <c:ptCount val="1"/>
                <c:pt idx="0">
                  <c:v>CO2 Einsparungen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Ergebnis!$K$68:$K$72</c:f>
              <c:strCache>
                <c:ptCount val="5"/>
                <c:pt idx="0">
                  <c:v>TtW</c:v>
                </c:pt>
                <c:pt idx="1">
                  <c:v>WtW eco</c:v>
                </c:pt>
                <c:pt idx="2">
                  <c:v>WtW</c:v>
                </c:pt>
                <c:pt idx="3">
                  <c:v>LCA eco</c:v>
                </c:pt>
                <c:pt idx="4">
                  <c:v>LCA</c:v>
                </c:pt>
              </c:strCache>
            </c:strRef>
          </c:cat>
          <c:val>
            <c:numRef>
              <c:f>Ergebnis!$L$68:$L$72</c:f>
              <c:numCache>
                <c:formatCode>_(* #,##0.00_);_(* \(#,##0.00\);_(* "-"??_);_(@_)</c:formatCode>
                <c:ptCount val="5"/>
                <c:pt idx="0">
                  <c:v>13.945320354082778</c:v>
                </c:pt>
                <c:pt idx="1">
                  <c:v>15.943311850098548</c:v>
                </c:pt>
                <c:pt idx="2">
                  <c:v>10.250694965299074</c:v>
                </c:pt>
                <c:pt idx="3">
                  <c:v>13.955811850098549</c:v>
                </c:pt>
                <c:pt idx="4">
                  <c:v>7.865694965299074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89-9441-912B-C89E76A09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69788792"/>
        <c:axId val="371163384"/>
      </c:barChart>
      <c:lineChart>
        <c:grouping val="standard"/>
        <c:varyColors val="0"/>
        <c:ser>
          <c:idx val="1"/>
          <c:order val="1"/>
          <c:tx>
            <c:strRef>
              <c:f>Ergebnis!$M$66</c:f>
              <c:strCache>
                <c:ptCount val="1"/>
                <c:pt idx="0">
                  <c:v>CO2 Vermeidungskosten</c:v>
                </c:pt>
              </c:strCache>
            </c:strRef>
          </c:tx>
          <c:dLbls>
            <c:dLbl>
              <c:idx val="0"/>
              <c:layout>
                <c:manualLayout>
                  <c:x val="-4.6053609814610277E-2"/>
                  <c:y val="-9.884205566194682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089-9441-912B-C89E76A092C6}"/>
                </c:ext>
              </c:extLst>
            </c:dLbl>
            <c:dLbl>
              <c:idx val="1"/>
              <c:layout>
                <c:manualLayout>
                  <c:x val="-4.9723558310867284E-2"/>
                  <c:y val="-0.107937631540693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089-9441-912B-C89E76A092C6}"/>
                </c:ext>
              </c:extLst>
            </c:dLbl>
            <c:dLbl>
              <c:idx val="2"/>
              <c:layout>
                <c:manualLayout>
                  <c:x val="-3.8210155857216154E-3"/>
                  <c:y val="-3.698624076450028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089-9441-912B-C89E76A092C6}"/>
                </c:ext>
              </c:extLst>
            </c:dLbl>
            <c:dLbl>
              <c:idx val="4"/>
              <c:layout>
                <c:manualLayout>
                  <c:x val="-3.7657193303325773E-2"/>
                  <c:y val="8.827174929019816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089-9441-912B-C89E76A092C6}"/>
                </c:ext>
              </c:extLst>
            </c:dLbl>
            <c:spPr>
              <a:noFill/>
            </c:spPr>
            <c:txPr>
              <a:bodyPr/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Ergebnis!$K$68:$K$72</c:f>
              <c:strCache>
                <c:ptCount val="5"/>
                <c:pt idx="0">
                  <c:v>TtW</c:v>
                </c:pt>
                <c:pt idx="1">
                  <c:v>WtW eco</c:v>
                </c:pt>
                <c:pt idx="2">
                  <c:v>WtW</c:v>
                </c:pt>
                <c:pt idx="3">
                  <c:v>LCA eco</c:v>
                </c:pt>
                <c:pt idx="4">
                  <c:v>LCA</c:v>
                </c:pt>
              </c:strCache>
            </c:strRef>
          </c:cat>
          <c:val>
            <c:numRef>
              <c:f>Ergebnis!$M$68:$M$72</c:f>
              <c:numCache>
                <c:formatCode>_-* #,##0\ [$€-407]_-;\-* #,##0\ [$€-407]_-;_-* "-"??\ [$€-407]_-;_-@_-</c:formatCode>
                <c:ptCount val="5"/>
                <c:pt idx="0">
                  <c:v>893.36141382190488</c:v>
                </c:pt>
                <c:pt idx="1">
                  <c:v>781.40672558228687</c:v>
                </c:pt>
                <c:pt idx="2">
                  <c:v>1215.3528272860178</c:v>
                </c:pt>
                <c:pt idx="3">
                  <c:v>892.68981565087563</c:v>
                </c:pt>
                <c:pt idx="4">
                  <c:v>1583.8665448742183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089-9441-912B-C89E76A092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61816"/>
        <c:axId val="371165344"/>
      </c:lineChart>
      <c:catAx>
        <c:axId val="369788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163384"/>
        <c:crosses val="autoZero"/>
        <c:auto val="1"/>
        <c:lblAlgn val="ctr"/>
        <c:lblOffset val="100"/>
        <c:noMultiLvlLbl val="0"/>
      </c:catAx>
      <c:valAx>
        <c:axId val="371163384"/>
        <c:scaling>
          <c:orientation val="minMax"/>
          <c:max val="20"/>
        </c:scaling>
        <c:delete val="0"/>
        <c:axPos val="l"/>
        <c:majorGridlines>
          <c:spPr>
            <a:ln>
              <a:solidFill>
                <a:schemeClr val="bg1">
                  <a:lumMod val="85000"/>
                </a:schemeClr>
              </a:solidFill>
            </a:ln>
          </c:spPr>
        </c:majorGridlines>
        <c:numFmt formatCode="_(* #,##0.00_);_(* \(#,##0.0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>
                    <a:lumMod val="75000"/>
                  </a:schemeClr>
                </a:solidFill>
              </a:defRPr>
            </a:pPr>
            <a:endParaRPr lang="en-US"/>
          </a:p>
        </c:txPr>
        <c:crossAx val="369788792"/>
        <c:crosses val="autoZero"/>
        <c:crossBetween val="between"/>
        <c:majorUnit val="5"/>
      </c:valAx>
      <c:valAx>
        <c:axId val="371165344"/>
        <c:scaling>
          <c:orientation val="minMax"/>
          <c:max val="2000"/>
          <c:min val="0"/>
        </c:scaling>
        <c:delete val="0"/>
        <c:axPos val="r"/>
        <c:numFmt formatCode="_-* #,##0\ [$€-407]_-;\-* #,##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  <c:crossAx val="371161816"/>
        <c:crosses val="max"/>
        <c:crossBetween val="between"/>
        <c:majorUnit val="500"/>
      </c:valAx>
      <c:catAx>
        <c:axId val="3711618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165344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3096115248037435"/>
          <c:y val="0.88093558058764643"/>
          <c:w val="0.53807753668800451"/>
          <c:h val="0.11906441941235361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21459350291494"/>
          <c:y val="7.2922953596317702E-2"/>
          <c:w val="0.78010040800974645"/>
          <c:h val="0.7160125673945929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Ergebnis!$L$3</c:f>
              <c:strCache>
                <c:ptCount val="1"/>
                <c:pt idx="0">
                  <c:v>TCO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Ergebnis!$N$2:$O$2</c:f>
              <c:strCache>
                <c:ptCount val="2"/>
                <c:pt idx="0">
                  <c:v>ICE</c:v>
                </c:pt>
                <c:pt idx="1">
                  <c:v>BEV</c:v>
                </c:pt>
              </c:strCache>
            </c:strRef>
          </c:cat>
          <c:val>
            <c:numRef>
              <c:f>Ergebnis!$N$3:$O$3</c:f>
              <c:numCache>
                <c:formatCode>_-* #,##0\ [$€-407]_-;\-* #,##0\ [$€-407]_-;_-* "-"??\ [$€-407]_-;_-@_-</c:formatCode>
                <c:ptCount val="2"/>
                <c:pt idx="0">
                  <c:v>31906.689010341874</c:v>
                </c:pt>
                <c:pt idx="1">
                  <c:v>44364.900118064652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85-E140-848E-DF393290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160248"/>
        <c:axId val="371164952"/>
      </c:barChart>
      <c:lineChart>
        <c:grouping val="standard"/>
        <c:varyColors val="0"/>
        <c:ser>
          <c:idx val="1"/>
          <c:order val="1"/>
          <c:tx>
            <c:strRef>
              <c:f>Ergebnis!$L$4</c:f>
              <c:strCache>
                <c:ptCount val="1"/>
                <c:pt idx="0">
                  <c:v>TCO/j</c:v>
                </c:pt>
              </c:strCache>
            </c:strRef>
          </c:tx>
          <c:dLbls>
            <c:dLbl>
              <c:idx val="0"/>
              <c:layout>
                <c:manualLayout>
                  <c:x val="-7.2118461827785543E-2"/>
                  <c:y val="-9.621670708882913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85-E140-848E-DF3932909D82}"/>
                </c:ext>
              </c:extLst>
            </c:dLbl>
            <c:spPr>
              <a:solidFill>
                <a:sysClr val="window" lastClr="FFFFFF"/>
              </a:solidFill>
            </c:spPr>
            <c:txPr>
              <a:bodyPr/>
              <a:lstStyle/>
              <a:p>
                <a:pPr>
                  <a:defRPr b="1">
                    <a:solidFill>
                      <a:srgbClr val="C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Ergebnis!$N$2:$O$2</c:f>
              <c:strCache>
                <c:ptCount val="2"/>
                <c:pt idx="0">
                  <c:v>ICE</c:v>
                </c:pt>
                <c:pt idx="1">
                  <c:v>BEV</c:v>
                </c:pt>
              </c:strCache>
            </c:strRef>
          </c:cat>
          <c:val>
            <c:numRef>
              <c:f>Ergebnis!$N$4:$O$4</c:f>
              <c:numCache>
                <c:formatCode>_-* #,##0\ [$€-407]_-;\-* #,##0\ [$€-407]_-;_-* "-"??\ [$€-407]_-;_-@_-</c:formatCode>
                <c:ptCount val="2"/>
                <c:pt idx="0">
                  <c:v>5317.7815017236453</c:v>
                </c:pt>
                <c:pt idx="1">
                  <c:v>7394.1500196774423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E85-E140-848E-DF3932909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62208"/>
        <c:axId val="371165736"/>
      </c:lineChart>
      <c:catAx>
        <c:axId val="3711602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371164952"/>
        <c:crosses val="autoZero"/>
        <c:auto val="1"/>
        <c:lblAlgn val="ctr"/>
        <c:lblOffset val="100"/>
        <c:noMultiLvlLbl val="0"/>
      </c:catAx>
      <c:valAx>
        <c:axId val="371164952"/>
        <c:scaling>
          <c:orientation val="minMax"/>
          <c:max val="45000"/>
          <c:min val="30000"/>
        </c:scaling>
        <c:delete val="0"/>
        <c:axPos val="l"/>
        <c:majorGridlines/>
        <c:numFmt formatCode="_-* #,##0\ [$€-407]_-;\-* #,##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tx2">
                    <a:lumMod val="50000"/>
                  </a:schemeClr>
                </a:solidFill>
              </a:defRPr>
            </a:pPr>
            <a:endParaRPr lang="en-US"/>
          </a:p>
        </c:txPr>
        <c:crossAx val="371160248"/>
        <c:crosses val="autoZero"/>
        <c:crossBetween val="between"/>
      </c:valAx>
      <c:valAx>
        <c:axId val="371165736"/>
        <c:scaling>
          <c:orientation val="minMax"/>
          <c:max val="7000"/>
          <c:min val="4500"/>
        </c:scaling>
        <c:delete val="0"/>
        <c:axPos val="r"/>
        <c:numFmt formatCode="_-* #,##0\ [$€-407]_-;\-* #,##0\ [$€-407]_-;_-* &quot;-&quot;??\ [$€-407]_-;_-@_-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rgbClr val="C00000"/>
                </a:solidFill>
              </a:defRPr>
            </a:pPr>
            <a:endParaRPr lang="en-US"/>
          </a:p>
        </c:txPr>
        <c:crossAx val="371162208"/>
        <c:crosses val="max"/>
        <c:crossBetween val="between"/>
      </c:valAx>
      <c:catAx>
        <c:axId val="37116220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16573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3"/>
          <c:order val="0"/>
          <c:tx>
            <c:strRef>
              <c:f>'NR Kraftstoffpreisprognosen'!$BD$1</c:f>
              <c:strCache>
                <c:ptCount val="1"/>
                <c:pt idx="0">
                  <c:v>Konzessionsabgabe</c:v>
                </c:pt>
              </c:strCache>
            </c:strRef>
          </c:tx>
          <c:spPr>
            <a:solidFill>
              <a:schemeClr val="tx2">
                <a:lumMod val="75000"/>
              </a:schemeClr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Kraftstoffpreisprognosen'!$BD$22:$BD$37</c:f>
              <c:numCache>
                <c:formatCode>_(* #,##0.00_);_(* \(#,##0.00\);_(* "-"??_);_(@_)</c:formatCode>
                <c:ptCount val="16"/>
                <c:pt idx="0">
                  <c:v>1.79</c:v>
                </c:pt>
                <c:pt idx="1">
                  <c:v>1.79</c:v>
                </c:pt>
                <c:pt idx="2">
                  <c:v>1.79</c:v>
                </c:pt>
                <c:pt idx="3">
                  <c:v>1.79</c:v>
                </c:pt>
                <c:pt idx="4">
                  <c:v>1.79</c:v>
                </c:pt>
                <c:pt idx="5">
                  <c:v>1.79</c:v>
                </c:pt>
                <c:pt idx="6">
                  <c:v>1.79</c:v>
                </c:pt>
                <c:pt idx="7">
                  <c:v>1.79</c:v>
                </c:pt>
                <c:pt idx="8">
                  <c:v>1.79</c:v>
                </c:pt>
                <c:pt idx="9">
                  <c:v>1.79</c:v>
                </c:pt>
                <c:pt idx="10">
                  <c:v>1.79</c:v>
                </c:pt>
                <c:pt idx="11">
                  <c:v>1.79</c:v>
                </c:pt>
                <c:pt idx="12">
                  <c:v>1.79</c:v>
                </c:pt>
                <c:pt idx="13">
                  <c:v>1.79</c:v>
                </c:pt>
                <c:pt idx="14">
                  <c:v>1.79</c:v>
                </c:pt>
                <c:pt idx="15">
                  <c:v>1.79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07-E145-829A-C8E036644B3F}"/>
            </c:ext>
          </c:extLst>
        </c:ser>
        <c:ser>
          <c:idx val="2"/>
          <c:order val="1"/>
          <c:tx>
            <c:strRef>
              <c:f>'NR Kraftstoffpreisprognosen'!$BE$1</c:f>
              <c:strCache>
                <c:ptCount val="1"/>
                <c:pt idx="0">
                  <c:v>Stromsteuer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Kraftstoffpreisprognosen'!$BE$22:$BE$37</c:f>
              <c:numCache>
                <c:formatCode>_(* #,##0.00_);_(* \(#,##0.00\);_(* "-"??_);_(@_)</c:formatCode>
                <c:ptCount val="16"/>
                <c:pt idx="0">
                  <c:v>0</c:v>
                </c:pt>
                <c:pt idx="1">
                  <c:v>0.77</c:v>
                </c:pt>
                <c:pt idx="2">
                  <c:v>1.28</c:v>
                </c:pt>
                <c:pt idx="3">
                  <c:v>1.53</c:v>
                </c:pt>
                <c:pt idx="4">
                  <c:v>1.79</c:v>
                </c:pt>
                <c:pt idx="5">
                  <c:v>2.0499999999999998</c:v>
                </c:pt>
                <c:pt idx="6">
                  <c:v>2.0499999999999998</c:v>
                </c:pt>
                <c:pt idx="7">
                  <c:v>2.0499999999999998</c:v>
                </c:pt>
                <c:pt idx="8">
                  <c:v>2.0499999999999998</c:v>
                </c:pt>
                <c:pt idx="9">
                  <c:v>2.0499999999999998</c:v>
                </c:pt>
                <c:pt idx="10">
                  <c:v>2.0499999999999998</c:v>
                </c:pt>
                <c:pt idx="11">
                  <c:v>2.0499999999999998</c:v>
                </c:pt>
                <c:pt idx="12">
                  <c:v>2.0499999999999998</c:v>
                </c:pt>
                <c:pt idx="13">
                  <c:v>2.0499999999999998</c:v>
                </c:pt>
                <c:pt idx="14">
                  <c:v>2.0499999999999998</c:v>
                </c:pt>
                <c:pt idx="15">
                  <c:v>2.0499999999999998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07-E145-829A-C8E036644B3F}"/>
            </c:ext>
          </c:extLst>
        </c:ser>
        <c:ser>
          <c:idx val="0"/>
          <c:order val="2"/>
          <c:tx>
            <c:strRef>
              <c:f>'NR Kraftstoffpreisprognosen'!$BF$1</c:f>
              <c:strCache>
                <c:ptCount val="1"/>
                <c:pt idx="0">
                  <c:v>Erzeugung, Transport, Vertrieb</c:v>
                </c:pt>
              </c:strCache>
            </c:strRef>
          </c:tx>
          <c:spPr>
            <a:solidFill>
              <a:schemeClr val="accent1"/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Kraftstoffpreisprognosen'!$BF$22:$BF$37</c:f>
              <c:numCache>
                <c:formatCode>_(* #,##0.00_);_(* \(#,##0.00\);_(* "-"??_);_(@_)</c:formatCode>
                <c:ptCount val="16"/>
                <c:pt idx="0">
                  <c:v>12.91</c:v>
                </c:pt>
                <c:pt idx="1">
                  <c:v>11.6</c:v>
                </c:pt>
                <c:pt idx="2">
                  <c:v>8.6199999999999992</c:v>
                </c:pt>
                <c:pt idx="3">
                  <c:v>8.58</c:v>
                </c:pt>
                <c:pt idx="4">
                  <c:v>9.7100000000000009</c:v>
                </c:pt>
                <c:pt idx="5">
                  <c:v>10.23</c:v>
                </c:pt>
                <c:pt idx="6">
                  <c:v>10.82</c:v>
                </c:pt>
                <c:pt idx="7">
                  <c:v>11.22</c:v>
                </c:pt>
                <c:pt idx="8">
                  <c:v>11.75</c:v>
                </c:pt>
                <c:pt idx="9">
                  <c:v>12.19</c:v>
                </c:pt>
                <c:pt idx="10">
                  <c:v>13</c:v>
                </c:pt>
                <c:pt idx="11">
                  <c:v>14.11</c:v>
                </c:pt>
                <c:pt idx="12">
                  <c:v>13.89</c:v>
                </c:pt>
                <c:pt idx="13">
                  <c:v>13.8</c:v>
                </c:pt>
                <c:pt idx="14">
                  <c:v>14.17</c:v>
                </c:pt>
                <c:pt idx="15">
                  <c:v>12.16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07-E145-829A-C8E036644B3F}"/>
            </c:ext>
          </c:extLst>
        </c:ser>
        <c:ser>
          <c:idx val="1"/>
          <c:order val="3"/>
          <c:tx>
            <c:strRef>
              <c:f>'NR Kraftstoffpreisprognosen'!$BG$1</c:f>
              <c:strCache>
                <c:ptCount val="1"/>
                <c:pt idx="0">
                  <c:v>EEG-Umlage*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Kraftstoffpreisprognosen'!$BG$22:$BG$37</c:f>
              <c:numCache>
                <c:formatCode>_(* #,##0.00_);_(* \(#,##0.00\);_(* "-"??_);_(@_)</c:formatCode>
                <c:ptCount val="16"/>
                <c:pt idx="0">
                  <c:v>0.08</c:v>
                </c:pt>
                <c:pt idx="1">
                  <c:v>0.09</c:v>
                </c:pt>
                <c:pt idx="2">
                  <c:v>0.2</c:v>
                </c:pt>
                <c:pt idx="3">
                  <c:v>0.25</c:v>
                </c:pt>
                <c:pt idx="4">
                  <c:v>0.35</c:v>
                </c:pt>
                <c:pt idx="5">
                  <c:v>0.42</c:v>
                </c:pt>
                <c:pt idx="6">
                  <c:v>0.51</c:v>
                </c:pt>
                <c:pt idx="7">
                  <c:v>0.69</c:v>
                </c:pt>
                <c:pt idx="8">
                  <c:v>0.88</c:v>
                </c:pt>
                <c:pt idx="9">
                  <c:v>1.02</c:v>
                </c:pt>
                <c:pt idx="10">
                  <c:v>1.1599999999999999</c:v>
                </c:pt>
                <c:pt idx="11">
                  <c:v>1.31</c:v>
                </c:pt>
                <c:pt idx="12">
                  <c:v>2.0499999999999998</c:v>
                </c:pt>
                <c:pt idx="13">
                  <c:v>3.53</c:v>
                </c:pt>
                <c:pt idx="14">
                  <c:v>3.59</c:v>
                </c:pt>
                <c:pt idx="15">
                  <c:v>5.28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07-E145-829A-C8E036644B3F}"/>
            </c:ext>
          </c:extLst>
        </c:ser>
        <c:ser>
          <c:idx val="4"/>
          <c:order val="4"/>
          <c:tx>
            <c:strRef>
              <c:f>'NR Kraftstoffpreisprognosen'!$BH$1</c:f>
              <c:strCache>
                <c:ptCount val="1"/>
                <c:pt idx="0">
                  <c:v>KWK-Gesetz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Kraftstoffpreisprognosen'!$BH$22:$BH$37</c:f>
              <c:numCache>
                <c:formatCode>_(* #,##0.00_);_(* \(#,##0.00\);_(*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0.13</c:v>
                </c:pt>
                <c:pt idx="3">
                  <c:v>0.2</c:v>
                </c:pt>
                <c:pt idx="4">
                  <c:v>0.25</c:v>
                </c:pt>
                <c:pt idx="5">
                  <c:v>0.33</c:v>
                </c:pt>
                <c:pt idx="6">
                  <c:v>0.31</c:v>
                </c:pt>
                <c:pt idx="7">
                  <c:v>0.34</c:v>
                </c:pt>
                <c:pt idx="8">
                  <c:v>0.31</c:v>
                </c:pt>
                <c:pt idx="9">
                  <c:v>0.28999999999999998</c:v>
                </c:pt>
                <c:pt idx="10">
                  <c:v>0.19</c:v>
                </c:pt>
                <c:pt idx="11">
                  <c:v>0.24</c:v>
                </c:pt>
                <c:pt idx="12">
                  <c:v>0.13</c:v>
                </c:pt>
                <c:pt idx="13">
                  <c:v>0.03</c:v>
                </c:pt>
                <c:pt idx="14">
                  <c:v>0</c:v>
                </c:pt>
                <c:pt idx="15">
                  <c:v>0.13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07-E145-829A-C8E036644B3F}"/>
            </c:ext>
          </c:extLst>
        </c:ser>
        <c:ser>
          <c:idx val="5"/>
          <c:order val="5"/>
          <c:tx>
            <c:strRef>
              <c:f>'NR Kraftstoffpreisprognosen'!$BI$1</c:f>
              <c:strCache>
                <c:ptCount val="1"/>
                <c:pt idx="0">
                  <c:v>§19-Umlage</c:v>
                </c:pt>
              </c:strCache>
            </c:strRef>
          </c:tx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Kraftstoffpreisprognosen'!$BI$22:$BI$37</c:f>
              <c:numCache>
                <c:formatCode>_(* #,##0.00_);_(* \(#,##0.00\);_(*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0.15</c:v>
                </c:pt>
                <c:pt idx="15">
                  <c:v>0.33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E07-E145-829A-C8E036644B3F}"/>
            </c:ext>
          </c:extLst>
        </c:ser>
        <c:ser>
          <c:idx val="6"/>
          <c:order val="6"/>
          <c:tx>
            <c:strRef>
              <c:f>'NR Kraftstoffpreisprognosen'!$BJ$1</c:f>
              <c:strCache>
                <c:ptCount val="1"/>
                <c:pt idx="0">
                  <c:v>Offshore-Haftungsumlage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Kraftstoffpreisprognosen'!$BJ$22:$BJ$37</c:f>
              <c:numCache>
                <c:formatCode>_(* #,##0.00_);_(* \(#,##0.00\);_(* "-"??_);_(@_)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07-E145-829A-C8E036644B3F}"/>
            </c:ext>
          </c:extLst>
        </c:ser>
        <c:ser>
          <c:idx val="7"/>
          <c:order val="7"/>
          <c:tx>
            <c:strRef>
              <c:f>'NR Kraftstoffpreisprognosen'!$BK$1</c:f>
              <c:strCache>
                <c:ptCount val="1"/>
                <c:pt idx="0">
                  <c:v>Mehrwertsteuer</c:v>
                </c:pt>
              </c:strCache>
            </c:strRef>
          </c:tx>
          <c:spPr>
            <a:solidFill>
              <a:schemeClr val="tx2">
                <a:lumMod val="20000"/>
                <a:lumOff val="80000"/>
              </a:schemeClr>
            </a:solidFill>
          </c:spPr>
          <c:invertIfNegative val="0"/>
          <c:cat>
            <c:numRef>
              <c:f>'NR Kraftstoffpreisprognosen'!$A$22:$A$37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'NR Kraftstoffpreisprognosen'!$BK$22:$BK$37</c:f>
              <c:numCache>
                <c:formatCode>_(* #,##0.00_);_(* \(#,##0.00\);_(* "-"??_);_(@_)</c:formatCode>
                <c:ptCount val="16"/>
                <c:pt idx="0">
                  <c:v>2.3647999999999998</c:v>
                </c:pt>
                <c:pt idx="1">
                  <c:v>2.2800000000000002</c:v>
                </c:pt>
                <c:pt idx="2">
                  <c:v>1.9232</c:v>
                </c:pt>
                <c:pt idx="3">
                  <c:v>1.976</c:v>
                </c:pt>
                <c:pt idx="4">
                  <c:v>2.2223999999999999</c:v>
                </c:pt>
                <c:pt idx="5">
                  <c:v>2.3712</c:v>
                </c:pt>
                <c:pt idx="6">
                  <c:v>2.4768000000000003</c:v>
                </c:pt>
                <c:pt idx="7">
                  <c:v>2.5744000000000002</c:v>
                </c:pt>
                <c:pt idx="8">
                  <c:v>2.6847999999999996</c:v>
                </c:pt>
                <c:pt idx="9">
                  <c:v>3.2946</c:v>
                </c:pt>
                <c:pt idx="10">
                  <c:v>3.4561000000000002</c:v>
                </c:pt>
                <c:pt idx="11">
                  <c:v>3.7049999999999992</c:v>
                </c:pt>
                <c:pt idx="12">
                  <c:v>3.7829000000000002</c:v>
                </c:pt>
                <c:pt idx="13">
                  <c:v>4.0280000000000005</c:v>
                </c:pt>
                <c:pt idx="14">
                  <c:v>4.1324999999999994</c:v>
                </c:pt>
                <c:pt idx="15">
                  <c:v>4.1780999999999997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E07-E145-829A-C8E036644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371162600"/>
        <c:axId val="371158288"/>
      </c:barChart>
      <c:lineChart>
        <c:grouping val="standard"/>
        <c:varyColors val="0"/>
        <c:ser>
          <c:idx val="8"/>
          <c:order val="8"/>
          <c:tx>
            <c:strRef>
              <c:f>'NR Kraftstoffpreisprognosen'!$BL$1</c:f>
              <c:strCache>
                <c:ptCount val="1"/>
                <c:pt idx="0">
                  <c:v>Strom Verbraucherpreis</c:v>
                </c:pt>
              </c:strCache>
            </c:strRef>
          </c:tx>
          <c:spPr>
            <a:ln>
              <a:solidFill>
                <a:schemeClr val="tx2">
                  <a:lumMod val="75000"/>
                </a:schemeClr>
              </a:solidFill>
            </a:ln>
          </c:spPr>
          <c:marker>
            <c:symbol val="none"/>
          </c:marker>
          <c:cat>
            <c:numRef>
              <c:f>'NR Kraftstoffpreisprognosen'!$BR$22:$BR$37</c:f>
              <c:numCache>
                <c:formatCode>General</c:formatCode>
                <c:ptCount val="16"/>
              </c:numCache>
            </c:numRef>
          </c:cat>
          <c:val>
            <c:numRef>
              <c:f>'NR Kraftstoffpreisprognosen'!$BL$22:$BL$37</c:f>
              <c:numCache>
                <c:formatCode>_(* #,##0.00_);_(* \(#,##0.00\);_(* "-"??_);_(@_)</c:formatCode>
                <c:ptCount val="16"/>
                <c:pt idx="0">
                  <c:v>17.1448</c:v>
                </c:pt>
                <c:pt idx="1">
                  <c:v>16.53</c:v>
                </c:pt>
                <c:pt idx="2">
                  <c:v>13.943199999999999</c:v>
                </c:pt>
                <c:pt idx="3">
                  <c:v>14.326000000000001</c:v>
                </c:pt>
                <c:pt idx="4">
                  <c:v>16.112400000000001</c:v>
                </c:pt>
                <c:pt idx="5">
                  <c:v>17.191200000000002</c:v>
                </c:pt>
                <c:pt idx="6">
                  <c:v>17.956800000000001</c:v>
                </c:pt>
                <c:pt idx="7">
                  <c:v>18.664400000000001</c:v>
                </c:pt>
                <c:pt idx="8">
                  <c:v>19.464799999999997</c:v>
                </c:pt>
                <c:pt idx="9">
                  <c:v>20.634599999999999</c:v>
                </c:pt>
                <c:pt idx="10">
                  <c:v>21.646100000000001</c:v>
                </c:pt>
                <c:pt idx="11">
                  <c:v>23.204999999999995</c:v>
                </c:pt>
                <c:pt idx="12">
                  <c:v>23.692900000000002</c:v>
                </c:pt>
                <c:pt idx="13">
                  <c:v>25.228000000000002</c:v>
                </c:pt>
                <c:pt idx="14">
                  <c:v>25.882499999999997</c:v>
                </c:pt>
                <c:pt idx="15">
                  <c:v>26.168099999999999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E07-E145-829A-C8E036644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63776"/>
        <c:axId val="371164560"/>
      </c:lineChart>
      <c:catAx>
        <c:axId val="3711626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158288"/>
        <c:crosses val="autoZero"/>
        <c:auto val="1"/>
        <c:lblAlgn val="ctr"/>
        <c:lblOffset val="100"/>
        <c:noMultiLvlLbl val="0"/>
      </c:catAx>
      <c:valAx>
        <c:axId val="371158288"/>
        <c:scaling>
          <c:orientation val="minMax"/>
        </c:scaling>
        <c:delete val="0"/>
        <c:axPos val="l"/>
        <c:majorGridlines/>
        <c:numFmt formatCode="_(* #,##0.00_);_(* \(#,##0.00\);_(* &quot;-&quot;??_);_(@_)" sourceLinked="1"/>
        <c:majorTickMark val="out"/>
        <c:minorTickMark val="none"/>
        <c:tickLblPos val="nextTo"/>
        <c:crossAx val="371162600"/>
        <c:crosses val="autoZero"/>
        <c:crossBetween val="between"/>
      </c:valAx>
      <c:valAx>
        <c:axId val="371164560"/>
        <c:scaling>
          <c:orientation val="minMax"/>
        </c:scaling>
        <c:delete val="0"/>
        <c:axPos val="r"/>
        <c:numFmt formatCode="_(* #,##0.00_);_(* \(#,##0.00\);_(* &quot;-&quot;??_);_(@_)" sourceLinked="1"/>
        <c:majorTickMark val="out"/>
        <c:minorTickMark val="none"/>
        <c:tickLblPos val="nextTo"/>
        <c:crossAx val="371163776"/>
        <c:crosses val="max"/>
        <c:crossBetween val="between"/>
      </c:valAx>
      <c:catAx>
        <c:axId val="371163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164560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68082359608843457"/>
          <c:y val="5.7132748292585613E-2"/>
          <c:w val="0.30561706981366593"/>
          <c:h val="0.76964403673276582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98840769903762"/>
          <c:y val="2.8252405949256341E-2"/>
          <c:w val="0.8023005249343832"/>
          <c:h val="0.87891586468358118"/>
        </c:manualLayout>
      </c:layout>
      <c:barChart>
        <c:barDir val="col"/>
        <c:grouping val="clustered"/>
        <c:varyColors val="0"/>
        <c:ser>
          <c:idx val="2"/>
          <c:order val="2"/>
          <c:tx>
            <c:v>A</c:v>
          </c:tx>
          <c:spPr>
            <a:solidFill>
              <a:schemeClr val="tx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1-6FC0-2B4C-8D54-8EA8AC28555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6FC0-2B4C-8D54-8EA8AC28555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5-6FC0-2B4C-8D54-8EA8AC28555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7-6FC0-2B4C-8D54-8EA8AC285557}"/>
              </c:ext>
            </c:extLst>
          </c:dPt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TCO'!$E$6:$J$6</c:f>
              <c:numCache>
                <c:formatCode>General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FC0-2B4C-8D54-8EA8AC285557}"/>
            </c:ext>
          </c:extLst>
        </c:ser>
        <c:ser>
          <c:idx val="3"/>
          <c:order val="3"/>
          <c:tx>
            <c:v>B</c:v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A-6FC0-2B4C-8D54-8EA8AC285557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C-6FC0-2B4C-8D54-8EA8AC285557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E-6FC0-2B4C-8D54-8EA8AC285557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0-6FC0-2B4C-8D54-8EA8AC285557}"/>
              </c:ext>
            </c:extLst>
          </c:dPt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TCO'!$E$7:$J$7</c:f>
              <c:numCache>
                <c:formatCode>General</c:formatCode>
                <c:ptCount val="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FC0-2B4C-8D54-8EA8AC285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1159464"/>
        <c:axId val="371162992"/>
      </c:barChart>
      <c:lineChart>
        <c:grouping val="standard"/>
        <c:varyColors val="0"/>
        <c:ser>
          <c:idx val="0"/>
          <c:order val="0"/>
          <c:tx>
            <c:v> 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TCO'!$E$4:$J$4</c:f>
              <c:numCache>
                <c:formatCode>General</c:formatCode>
                <c:ptCount val="6"/>
                <c:pt idx="0">
                  <c:v>20</c:v>
                </c:pt>
                <c:pt idx="1">
                  <c:v>25</c:v>
                </c:pt>
                <c:pt idx="2">
                  <c:v>30</c:v>
                </c:pt>
                <c:pt idx="3">
                  <c:v>35</c:v>
                </c:pt>
                <c:pt idx="4">
                  <c:v>40</c:v>
                </c:pt>
                <c:pt idx="5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FC0-2B4C-8D54-8EA8AC285557}"/>
            </c:ext>
          </c:extLst>
        </c:ser>
        <c:ser>
          <c:idx val="1"/>
          <c:order val="1"/>
          <c:tx>
            <c:v> 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TCO'!$E$5:$J$5</c:f>
              <c:numCache>
                <c:formatCode>General</c:formatCode>
                <c:ptCount val="6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FC0-2B4C-8D54-8EA8AC285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164168"/>
        <c:axId val="371158680"/>
      </c:lineChart>
      <c:catAx>
        <c:axId val="371164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158680"/>
        <c:crosses val="autoZero"/>
        <c:auto val="1"/>
        <c:lblAlgn val="ctr"/>
        <c:lblOffset val="100"/>
        <c:noMultiLvlLbl val="0"/>
      </c:catAx>
      <c:valAx>
        <c:axId val="371158680"/>
        <c:scaling>
          <c:orientation val="minMax"/>
          <c:max val="60"/>
        </c:scaling>
        <c:delete val="0"/>
        <c:axPos val="l"/>
        <c:numFmt formatCode="General" sourceLinked="1"/>
        <c:majorTickMark val="out"/>
        <c:minorTickMark val="none"/>
        <c:tickLblPos val="nextTo"/>
        <c:crossAx val="371164168"/>
        <c:crosses val="autoZero"/>
        <c:crossBetween val="between"/>
      </c:valAx>
      <c:valAx>
        <c:axId val="371162992"/>
        <c:scaling>
          <c:orientation val="minMax"/>
          <c:max val="80"/>
        </c:scaling>
        <c:delete val="1"/>
        <c:axPos val="r"/>
        <c:numFmt formatCode="General" sourceLinked="1"/>
        <c:majorTickMark val="out"/>
        <c:minorTickMark val="none"/>
        <c:tickLblPos val="nextTo"/>
        <c:crossAx val="371159464"/>
        <c:crosses val="max"/>
        <c:crossBetween val="between"/>
      </c:valAx>
      <c:catAx>
        <c:axId val="37115946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162992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6170822397200346"/>
          <c:y val="2.7010061242344712E-2"/>
          <c:w val="0.19384733158355208"/>
          <c:h val="6.1720618256051338E-2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698840769903762"/>
          <c:y val="2.8252405949256341E-2"/>
          <c:w val="0.8023005249343832"/>
          <c:h val="0.87891586468358118"/>
        </c:manualLayout>
      </c:layout>
      <c:barChart>
        <c:barDir val="col"/>
        <c:grouping val="clustered"/>
        <c:varyColors val="0"/>
        <c:ser>
          <c:idx val="2"/>
          <c:order val="2"/>
          <c:tx>
            <c:v>A</c:v>
          </c:tx>
          <c:spPr>
            <a:solidFill>
              <a:schemeClr val="tx2"/>
            </a:solidFill>
          </c:spPr>
          <c:invertIfNegative val="0"/>
          <c:dPt>
            <c:idx val="1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1-5CA2-AC43-9FE3-8CDB554C9FE7}"/>
              </c:ext>
            </c:extLst>
          </c:dPt>
          <c:dPt>
            <c:idx val="2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3-5CA2-AC43-9FE3-8CDB554C9FE7}"/>
              </c:ext>
            </c:extLst>
          </c:dPt>
          <c:dPt>
            <c:idx val="3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5-5CA2-AC43-9FE3-8CDB554C9FE7}"/>
              </c:ext>
            </c:extLst>
          </c:dPt>
          <c:dPt>
            <c:idx val="4"/>
            <c:invertIfNegative val="0"/>
            <c:bubble3D val="0"/>
            <c:spPr>
              <a:solidFill>
                <a:schemeClr val="tx2"/>
              </a:solidFill>
            </c:spPr>
            <c:extLst>
              <c:ext xmlns:c16="http://schemas.microsoft.com/office/drawing/2014/chart" uri="{C3380CC4-5D6E-409C-BE32-E72D297353CC}">
                <c16:uniqueId val="{00000007-5CA2-AC43-9FE3-8CDB554C9FE7}"/>
              </c:ext>
            </c:extLst>
          </c:dPt>
          <c:dPt>
            <c:idx val="6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9-5CA2-AC43-9FE3-8CDB554C9FE7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B-5CA2-AC43-9FE3-8CDB554C9FE7}"/>
              </c:ext>
            </c:extLst>
          </c:dPt>
          <c:dPt>
            <c:idx val="8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D-5CA2-AC43-9FE3-8CDB554C9FE7}"/>
              </c:ext>
            </c:extLst>
          </c:dPt>
          <c:dPt>
            <c:idx val="9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F-5CA2-AC43-9FE3-8CDB554C9FE7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1-5CA2-AC43-9FE3-8CDB554C9FE7}"/>
              </c:ext>
            </c:extLst>
          </c:dPt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TCO'!$E$21:$O$21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5CA2-AC43-9FE3-8CDB554C9FE7}"/>
            </c:ext>
          </c:extLst>
        </c:ser>
        <c:ser>
          <c:idx val="3"/>
          <c:order val="3"/>
          <c:tx>
            <c:v>B</c:v>
          </c:tx>
          <c:spPr>
            <a:solidFill>
              <a:schemeClr val="accent2"/>
            </a:solidFill>
          </c:spPr>
          <c:invertIfNegative val="0"/>
          <c:dPt>
            <c:idx val="1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3-5CA2-AC43-9FE3-8CDB554C9FE7}"/>
              </c:ext>
            </c:extLst>
          </c:dPt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4-5CA2-AC43-9FE3-8CDB554C9FE7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5-5CA2-AC43-9FE3-8CDB554C9FE7}"/>
              </c:ext>
            </c:extLst>
          </c:dPt>
          <c:dPt>
            <c:idx val="4"/>
            <c:invertIfNegative val="0"/>
            <c:bubble3D val="0"/>
            <c:extLst>
              <c:ext xmlns:c16="http://schemas.microsoft.com/office/drawing/2014/chart" uri="{C3380CC4-5D6E-409C-BE32-E72D297353CC}">
                <c16:uniqueId val="{00000016-5CA2-AC43-9FE3-8CDB554C9FE7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8-5CA2-AC43-9FE3-8CDB554C9FE7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A-5CA2-AC43-9FE3-8CDB554C9FE7}"/>
              </c:ext>
            </c:extLst>
          </c:dPt>
          <c:dPt>
            <c:idx val="8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C-5CA2-AC43-9FE3-8CDB554C9FE7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1E-5CA2-AC43-9FE3-8CDB554C9FE7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20-5CA2-AC43-9FE3-8CDB554C9FE7}"/>
              </c:ext>
            </c:extLst>
          </c:dPt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TCO'!$E$22:$O$22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5CA2-AC43-9FE3-8CDB554C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2205360"/>
        <c:axId val="372206928"/>
      </c:barChart>
      <c:lineChart>
        <c:grouping val="standard"/>
        <c:varyColors val="0"/>
        <c:ser>
          <c:idx val="0"/>
          <c:order val="0"/>
          <c:tx>
            <c:v> </c:v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TCO'!$E$19:$O$19</c:f>
              <c:numCache>
                <c:formatCode>General</c:formatCode>
                <c:ptCount val="11"/>
                <c:pt idx="0">
                  <c:v>20</c:v>
                </c:pt>
                <c:pt idx="1">
                  <c:v>22</c:v>
                </c:pt>
                <c:pt idx="2">
                  <c:v>24</c:v>
                </c:pt>
                <c:pt idx="3">
                  <c:v>26</c:v>
                </c:pt>
                <c:pt idx="4">
                  <c:v>28</c:v>
                </c:pt>
                <c:pt idx="5">
                  <c:v>30</c:v>
                </c:pt>
                <c:pt idx="6">
                  <c:v>32</c:v>
                </c:pt>
                <c:pt idx="7">
                  <c:v>34</c:v>
                </c:pt>
                <c:pt idx="8">
                  <c:v>36</c:v>
                </c:pt>
                <c:pt idx="9">
                  <c:v>38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2-5CA2-AC43-9FE3-8CDB554C9FE7}"/>
            </c:ext>
          </c:extLst>
        </c:ser>
        <c:ser>
          <c:idx val="1"/>
          <c:order val="1"/>
          <c:tx>
            <c:v> </c:v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cat>
            <c:numRef>
              <c:f>'BSP TCO'!$E$3:$J$3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'BSP TCO'!$E$20:$O$20</c:f>
              <c:numCache>
                <c:formatCode>General</c:formatCode>
                <c:ptCount val="11"/>
                <c:pt idx="0">
                  <c:v>30</c:v>
                </c:pt>
                <c:pt idx="1">
                  <c:v>31</c:v>
                </c:pt>
                <c:pt idx="2">
                  <c:v>32</c:v>
                </c:pt>
                <c:pt idx="3">
                  <c:v>33</c:v>
                </c:pt>
                <c:pt idx="4">
                  <c:v>34</c:v>
                </c:pt>
                <c:pt idx="5">
                  <c:v>35</c:v>
                </c:pt>
                <c:pt idx="6">
                  <c:v>36</c:v>
                </c:pt>
                <c:pt idx="7">
                  <c:v>37</c:v>
                </c:pt>
                <c:pt idx="8">
                  <c:v>38</c:v>
                </c:pt>
                <c:pt idx="9">
                  <c:v>39</c:v>
                </c:pt>
                <c:pt idx="10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3-5CA2-AC43-9FE3-8CDB554C9F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07712"/>
        <c:axId val="372209672"/>
      </c:lineChart>
      <c:catAx>
        <c:axId val="3722077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209672"/>
        <c:crosses val="autoZero"/>
        <c:auto val="1"/>
        <c:lblAlgn val="ctr"/>
        <c:lblOffset val="100"/>
        <c:noMultiLvlLbl val="0"/>
      </c:catAx>
      <c:valAx>
        <c:axId val="372209672"/>
        <c:scaling>
          <c:orientation val="minMax"/>
          <c:max val="60"/>
        </c:scaling>
        <c:delete val="0"/>
        <c:axPos val="l"/>
        <c:numFmt formatCode="General" sourceLinked="1"/>
        <c:majorTickMark val="out"/>
        <c:minorTickMark val="none"/>
        <c:tickLblPos val="nextTo"/>
        <c:crossAx val="372207712"/>
        <c:crosses val="autoZero"/>
        <c:crossBetween val="between"/>
      </c:valAx>
      <c:valAx>
        <c:axId val="372206928"/>
        <c:scaling>
          <c:orientation val="minMax"/>
          <c:max val="80"/>
        </c:scaling>
        <c:delete val="1"/>
        <c:axPos val="r"/>
        <c:numFmt formatCode="General" sourceLinked="1"/>
        <c:majorTickMark val="out"/>
        <c:minorTickMark val="none"/>
        <c:tickLblPos val="nextTo"/>
        <c:crossAx val="372205360"/>
        <c:crosses val="max"/>
        <c:crossBetween val="between"/>
      </c:valAx>
      <c:catAx>
        <c:axId val="37220536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2206928"/>
        <c:crosses val="autoZero"/>
        <c:auto val="1"/>
        <c:lblAlgn val="ctr"/>
        <c:lblOffset val="100"/>
        <c:noMultiLvlLbl val="0"/>
      </c:catAx>
    </c:plotArea>
    <c:legend>
      <c:legendPos val="r"/>
      <c:layout>
        <c:manualLayout>
          <c:xMode val="edge"/>
          <c:yMode val="edge"/>
          <c:x val="0.16170822397200346"/>
          <c:y val="2.7010061242344712E-2"/>
          <c:w val="0.19384733158355208"/>
          <c:h val="6.1720618256051338E-2"/>
        </c:manualLayout>
      </c:layout>
      <c:overlay val="1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11920384951879"/>
          <c:y val="2.8252405949256341E-2"/>
          <c:w val="0.81891251093613293"/>
          <c:h val="0.69726815398075237"/>
        </c:manualLayout>
      </c:layout>
      <c:barChart>
        <c:barDir val="col"/>
        <c:grouping val="stacked"/>
        <c:varyColors val="0"/>
        <c:ser>
          <c:idx val="1"/>
          <c:order val="0"/>
          <c:tx>
            <c:strRef>
              <c:f>'Benzinpreise Historie'!$G$1:$G$1</c:f>
              <c:strCache>
                <c:ptCount val="1"/>
                <c:pt idx="0">
                  <c:v>MinÖlSt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numRef>
              <c:f>'Benzinpreise Historie'!$B$50:$B$100</c:f>
              <c:numCache>
                <c:formatCode>General</c:formatCode>
                <c:ptCount val="51"/>
                <c:pt idx="0">
                  <c:v>2009</c:v>
                </c:pt>
                <c:pt idx="1">
                  <c:v>2009</c:v>
                </c:pt>
                <c:pt idx="2">
                  <c:v>2009</c:v>
                </c:pt>
                <c:pt idx="3">
                  <c:v>2009</c:v>
                </c:pt>
                <c:pt idx="4">
                  <c:v>2009</c:v>
                </c:pt>
                <c:pt idx="5">
                  <c:v>2009</c:v>
                </c:pt>
                <c:pt idx="6">
                  <c:v>2009</c:v>
                </c:pt>
                <c:pt idx="7">
                  <c:v>2009</c:v>
                </c:pt>
                <c:pt idx="8">
                  <c:v>2009</c:v>
                </c:pt>
                <c:pt idx="9">
                  <c:v>2009</c:v>
                </c:pt>
                <c:pt idx="10">
                  <c:v>2009</c:v>
                </c:pt>
                <c:pt idx="11">
                  <c:v>2009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2010</c:v>
                </c:pt>
                <c:pt idx="17">
                  <c:v>2010</c:v>
                </c:pt>
                <c:pt idx="18">
                  <c:v>2010</c:v>
                </c:pt>
                <c:pt idx="19">
                  <c:v>2010</c:v>
                </c:pt>
                <c:pt idx="20">
                  <c:v>2010</c:v>
                </c:pt>
                <c:pt idx="21">
                  <c:v>2010</c:v>
                </c:pt>
                <c:pt idx="22">
                  <c:v>2010</c:v>
                </c:pt>
                <c:pt idx="23">
                  <c:v>2010</c:v>
                </c:pt>
                <c:pt idx="24">
                  <c:v>2011</c:v>
                </c:pt>
                <c:pt idx="25">
                  <c:v>2011</c:v>
                </c:pt>
                <c:pt idx="26">
                  <c:v>2011</c:v>
                </c:pt>
                <c:pt idx="27">
                  <c:v>2011</c:v>
                </c:pt>
                <c:pt idx="28">
                  <c:v>2011</c:v>
                </c:pt>
                <c:pt idx="29">
                  <c:v>2011</c:v>
                </c:pt>
                <c:pt idx="30">
                  <c:v>2011</c:v>
                </c:pt>
                <c:pt idx="31">
                  <c:v>2011</c:v>
                </c:pt>
                <c:pt idx="32">
                  <c:v>2011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2012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2013</c:v>
                </c:pt>
                <c:pt idx="49">
                  <c:v>2013</c:v>
                </c:pt>
                <c:pt idx="50">
                  <c:v>2013</c:v>
                </c:pt>
              </c:numCache>
            </c:numRef>
          </c:cat>
          <c:val>
            <c:numRef>
              <c:f>'Benzinpreise Historie'!$G$50:$G$100</c:f>
              <c:numCache>
                <c:formatCode>0.0</c:formatCode>
                <c:ptCount val="51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  <c:pt idx="3">
                  <c:v>65.5</c:v>
                </c:pt>
                <c:pt idx="4">
                  <c:v>65.5</c:v>
                </c:pt>
                <c:pt idx="5">
                  <c:v>65.5</c:v>
                </c:pt>
                <c:pt idx="6">
                  <c:v>65.5</c:v>
                </c:pt>
                <c:pt idx="7">
                  <c:v>65.5</c:v>
                </c:pt>
                <c:pt idx="8">
                  <c:v>65.5</c:v>
                </c:pt>
                <c:pt idx="9">
                  <c:v>65.5</c:v>
                </c:pt>
                <c:pt idx="10">
                  <c:v>65.5</c:v>
                </c:pt>
                <c:pt idx="11">
                  <c:v>65.5</c:v>
                </c:pt>
                <c:pt idx="12">
                  <c:v>65.5</c:v>
                </c:pt>
                <c:pt idx="13">
                  <c:v>65.5</c:v>
                </c:pt>
                <c:pt idx="14">
                  <c:v>65.5</c:v>
                </c:pt>
                <c:pt idx="15">
                  <c:v>65.5</c:v>
                </c:pt>
                <c:pt idx="16">
                  <c:v>65.5</c:v>
                </c:pt>
                <c:pt idx="17">
                  <c:v>65.5</c:v>
                </c:pt>
                <c:pt idx="18">
                  <c:v>65.5</c:v>
                </c:pt>
                <c:pt idx="19">
                  <c:v>65.5</c:v>
                </c:pt>
                <c:pt idx="20">
                  <c:v>65.5</c:v>
                </c:pt>
                <c:pt idx="21">
                  <c:v>65.5</c:v>
                </c:pt>
                <c:pt idx="22">
                  <c:v>65.5</c:v>
                </c:pt>
                <c:pt idx="23">
                  <c:v>65.5</c:v>
                </c:pt>
                <c:pt idx="24">
                  <c:v>65.5</c:v>
                </c:pt>
                <c:pt idx="25">
                  <c:v>65.5</c:v>
                </c:pt>
                <c:pt idx="26">
                  <c:v>65.5</c:v>
                </c:pt>
                <c:pt idx="27">
                  <c:v>65.5</c:v>
                </c:pt>
                <c:pt idx="28">
                  <c:v>65.5</c:v>
                </c:pt>
                <c:pt idx="29">
                  <c:v>65.5</c:v>
                </c:pt>
                <c:pt idx="30">
                  <c:v>65.5</c:v>
                </c:pt>
                <c:pt idx="31">
                  <c:v>65.5</c:v>
                </c:pt>
                <c:pt idx="32">
                  <c:v>65.5</c:v>
                </c:pt>
                <c:pt idx="33">
                  <c:v>65.5</c:v>
                </c:pt>
                <c:pt idx="34">
                  <c:v>65.5</c:v>
                </c:pt>
                <c:pt idx="35">
                  <c:v>65.5</c:v>
                </c:pt>
                <c:pt idx="36">
                  <c:v>65.5</c:v>
                </c:pt>
                <c:pt idx="37">
                  <c:v>65.5</c:v>
                </c:pt>
                <c:pt idx="38">
                  <c:v>65.5</c:v>
                </c:pt>
                <c:pt idx="39">
                  <c:v>65.5</c:v>
                </c:pt>
                <c:pt idx="40">
                  <c:v>65.5</c:v>
                </c:pt>
                <c:pt idx="41">
                  <c:v>65.5</c:v>
                </c:pt>
                <c:pt idx="42">
                  <c:v>65.5</c:v>
                </c:pt>
                <c:pt idx="43">
                  <c:v>65.5</c:v>
                </c:pt>
                <c:pt idx="44">
                  <c:v>65.5</c:v>
                </c:pt>
                <c:pt idx="45">
                  <c:v>65.5</c:v>
                </c:pt>
                <c:pt idx="46">
                  <c:v>65.5</c:v>
                </c:pt>
                <c:pt idx="47">
                  <c:v>65.5</c:v>
                </c:pt>
                <c:pt idx="48">
                  <c:v>65.5</c:v>
                </c:pt>
                <c:pt idx="49">
                  <c:v>65.5</c:v>
                </c:pt>
                <c:pt idx="50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B5-F149-933F-DC822A46048C}"/>
            </c:ext>
          </c:extLst>
        </c:ser>
        <c:ser>
          <c:idx val="5"/>
          <c:order val="1"/>
          <c:tx>
            <c:strRef>
              <c:f>'Benzinpreise Historie'!$E$1</c:f>
              <c:strCache>
                <c:ptCount val="1"/>
                <c:pt idx="0">
                  <c:v>Produktenpreis</c:v>
                </c:pt>
              </c:strCache>
            </c:strRef>
          </c:tx>
          <c:spPr>
            <a:solidFill>
              <a:schemeClr val="tx1">
                <a:lumMod val="65000"/>
                <a:lumOff val="35000"/>
              </a:schemeClr>
            </a:solidFill>
          </c:spPr>
          <c:invertIfNegative val="0"/>
          <c:cat>
            <c:numRef>
              <c:f>'Benzinpreise Historie'!$B$50:$B$100</c:f>
              <c:numCache>
                <c:formatCode>General</c:formatCode>
                <c:ptCount val="51"/>
                <c:pt idx="0">
                  <c:v>2009</c:v>
                </c:pt>
                <c:pt idx="1">
                  <c:v>2009</c:v>
                </c:pt>
                <c:pt idx="2">
                  <c:v>2009</c:v>
                </c:pt>
                <c:pt idx="3">
                  <c:v>2009</c:v>
                </c:pt>
                <c:pt idx="4">
                  <c:v>2009</c:v>
                </c:pt>
                <c:pt idx="5">
                  <c:v>2009</c:v>
                </c:pt>
                <c:pt idx="6">
                  <c:v>2009</c:v>
                </c:pt>
                <c:pt idx="7">
                  <c:v>2009</c:v>
                </c:pt>
                <c:pt idx="8">
                  <c:v>2009</c:v>
                </c:pt>
                <c:pt idx="9">
                  <c:v>2009</c:v>
                </c:pt>
                <c:pt idx="10">
                  <c:v>2009</c:v>
                </c:pt>
                <c:pt idx="11">
                  <c:v>2009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2010</c:v>
                </c:pt>
                <c:pt idx="17">
                  <c:v>2010</c:v>
                </c:pt>
                <c:pt idx="18">
                  <c:v>2010</c:v>
                </c:pt>
                <c:pt idx="19">
                  <c:v>2010</c:v>
                </c:pt>
                <c:pt idx="20">
                  <c:v>2010</c:v>
                </c:pt>
                <c:pt idx="21">
                  <c:v>2010</c:v>
                </c:pt>
                <c:pt idx="22">
                  <c:v>2010</c:v>
                </c:pt>
                <c:pt idx="23">
                  <c:v>2010</c:v>
                </c:pt>
                <c:pt idx="24">
                  <c:v>2011</c:v>
                </c:pt>
                <c:pt idx="25">
                  <c:v>2011</c:v>
                </c:pt>
                <c:pt idx="26">
                  <c:v>2011</c:v>
                </c:pt>
                <c:pt idx="27">
                  <c:v>2011</c:v>
                </c:pt>
                <c:pt idx="28">
                  <c:v>2011</c:v>
                </c:pt>
                <c:pt idx="29">
                  <c:v>2011</c:v>
                </c:pt>
                <c:pt idx="30">
                  <c:v>2011</c:v>
                </c:pt>
                <c:pt idx="31">
                  <c:v>2011</c:v>
                </c:pt>
                <c:pt idx="32">
                  <c:v>2011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2012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2013</c:v>
                </c:pt>
                <c:pt idx="49">
                  <c:v>2013</c:v>
                </c:pt>
                <c:pt idx="50">
                  <c:v>2013</c:v>
                </c:pt>
              </c:numCache>
            </c:numRef>
          </c:cat>
          <c:val>
            <c:numRef>
              <c:f>'Benzinpreise Historie'!$E$50:$E$100</c:f>
              <c:numCache>
                <c:formatCode>0.0</c:formatCode>
                <c:ptCount val="51"/>
                <c:pt idx="0">
                  <c:v>22</c:v>
                </c:pt>
                <c:pt idx="1">
                  <c:v>23.9</c:v>
                </c:pt>
                <c:pt idx="2">
                  <c:v>25.1</c:v>
                </c:pt>
                <c:pt idx="3">
                  <c:v>27.5</c:v>
                </c:pt>
                <c:pt idx="4">
                  <c:v>32.299999999999997</c:v>
                </c:pt>
                <c:pt idx="5">
                  <c:v>36.1</c:v>
                </c:pt>
                <c:pt idx="6">
                  <c:v>32.299999999999997</c:v>
                </c:pt>
                <c:pt idx="7">
                  <c:v>36.1</c:v>
                </c:pt>
                <c:pt idx="8">
                  <c:v>32</c:v>
                </c:pt>
                <c:pt idx="9">
                  <c:v>33.1</c:v>
                </c:pt>
                <c:pt idx="10">
                  <c:v>34.700000000000003</c:v>
                </c:pt>
                <c:pt idx="11">
                  <c:v>33.9</c:v>
                </c:pt>
                <c:pt idx="12">
                  <c:v>36.799999999999997</c:v>
                </c:pt>
                <c:pt idx="13">
                  <c:v>37.700000000000003</c:v>
                </c:pt>
                <c:pt idx="14">
                  <c:v>42.2</c:v>
                </c:pt>
                <c:pt idx="15">
                  <c:v>44</c:v>
                </c:pt>
                <c:pt idx="16">
                  <c:v>42.4</c:v>
                </c:pt>
                <c:pt idx="17">
                  <c:v>42.6</c:v>
                </c:pt>
                <c:pt idx="18">
                  <c:v>40.200000000000003</c:v>
                </c:pt>
                <c:pt idx="19">
                  <c:v>39.799999999999997</c:v>
                </c:pt>
                <c:pt idx="20">
                  <c:v>39.9</c:v>
                </c:pt>
                <c:pt idx="21">
                  <c:v>40.700000000000003</c:v>
                </c:pt>
                <c:pt idx="22">
                  <c:v>42</c:v>
                </c:pt>
                <c:pt idx="23">
                  <c:v>47</c:v>
                </c:pt>
                <c:pt idx="24">
                  <c:v>48</c:v>
                </c:pt>
                <c:pt idx="25">
                  <c:v>49.1</c:v>
                </c:pt>
                <c:pt idx="26">
                  <c:v>52.8</c:v>
                </c:pt>
                <c:pt idx="27">
                  <c:v>57.3</c:v>
                </c:pt>
                <c:pt idx="28">
                  <c:v>55.6</c:v>
                </c:pt>
                <c:pt idx="29">
                  <c:v>52.1</c:v>
                </c:pt>
                <c:pt idx="30">
                  <c:v>55.1</c:v>
                </c:pt>
                <c:pt idx="31">
                  <c:v>52.4</c:v>
                </c:pt>
                <c:pt idx="32">
                  <c:v>55</c:v>
                </c:pt>
                <c:pt idx="33">
                  <c:v>52</c:v>
                </c:pt>
                <c:pt idx="34">
                  <c:v>50.6</c:v>
                </c:pt>
                <c:pt idx="35">
                  <c:v>51.9</c:v>
                </c:pt>
                <c:pt idx="36">
                  <c:v>56.1</c:v>
                </c:pt>
                <c:pt idx="37">
                  <c:v>59.23</c:v>
                </c:pt>
                <c:pt idx="38">
                  <c:v>64.89</c:v>
                </c:pt>
                <c:pt idx="39">
                  <c:v>65.16</c:v>
                </c:pt>
                <c:pt idx="40">
                  <c:v>59.34</c:v>
                </c:pt>
                <c:pt idx="41">
                  <c:v>54.9</c:v>
                </c:pt>
                <c:pt idx="42">
                  <c:v>59.77</c:v>
                </c:pt>
                <c:pt idx="43">
                  <c:v>65.290000000000006</c:v>
                </c:pt>
                <c:pt idx="44">
                  <c:v>65.06</c:v>
                </c:pt>
                <c:pt idx="45">
                  <c:v>59.26</c:v>
                </c:pt>
                <c:pt idx="46">
                  <c:v>55.54</c:v>
                </c:pt>
                <c:pt idx="47">
                  <c:v>55.47</c:v>
                </c:pt>
                <c:pt idx="48">
                  <c:v>57.3</c:v>
                </c:pt>
                <c:pt idx="49">
                  <c:v>61.13</c:v>
                </c:pt>
                <c:pt idx="50">
                  <c:v>60.01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BB5-F149-933F-DC822A46048C}"/>
            </c:ext>
          </c:extLst>
        </c:ser>
        <c:ser>
          <c:idx val="6"/>
          <c:order val="2"/>
          <c:tx>
            <c:strRef>
              <c:f>'Benzinpreise Historie'!$F$1</c:f>
              <c:strCache>
                <c:ptCount val="1"/>
                <c:pt idx="0">
                  <c:v>Deckungsbeitrag</c:v>
                </c:pt>
              </c:strCache>
            </c:strRef>
          </c:tx>
          <c:spPr>
            <a:solidFill>
              <a:schemeClr val="bg1">
                <a:lumMod val="65000"/>
              </a:schemeClr>
            </a:solidFill>
          </c:spPr>
          <c:invertIfNegative val="0"/>
          <c:cat>
            <c:numRef>
              <c:f>'Benzinpreise Historie'!$B$50:$B$100</c:f>
              <c:numCache>
                <c:formatCode>General</c:formatCode>
                <c:ptCount val="51"/>
                <c:pt idx="0">
                  <c:v>2009</c:v>
                </c:pt>
                <c:pt idx="1">
                  <c:v>2009</c:v>
                </c:pt>
                <c:pt idx="2">
                  <c:v>2009</c:v>
                </c:pt>
                <c:pt idx="3">
                  <c:v>2009</c:v>
                </c:pt>
                <c:pt idx="4">
                  <c:v>2009</c:v>
                </c:pt>
                <c:pt idx="5">
                  <c:v>2009</c:v>
                </c:pt>
                <c:pt idx="6">
                  <c:v>2009</c:v>
                </c:pt>
                <c:pt idx="7">
                  <c:v>2009</c:v>
                </c:pt>
                <c:pt idx="8">
                  <c:v>2009</c:v>
                </c:pt>
                <c:pt idx="9">
                  <c:v>2009</c:v>
                </c:pt>
                <c:pt idx="10">
                  <c:v>2009</c:v>
                </c:pt>
                <c:pt idx="11">
                  <c:v>2009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2010</c:v>
                </c:pt>
                <c:pt idx="17">
                  <c:v>2010</c:v>
                </c:pt>
                <c:pt idx="18">
                  <c:v>2010</c:v>
                </c:pt>
                <c:pt idx="19">
                  <c:v>2010</c:v>
                </c:pt>
                <c:pt idx="20">
                  <c:v>2010</c:v>
                </c:pt>
                <c:pt idx="21">
                  <c:v>2010</c:v>
                </c:pt>
                <c:pt idx="22">
                  <c:v>2010</c:v>
                </c:pt>
                <c:pt idx="23">
                  <c:v>2010</c:v>
                </c:pt>
                <c:pt idx="24">
                  <c:v>2011</c:v>
                </c:pt>
                <c:pt idx="25">
                  <c:v>2011</c:v>
                </c:pt>
                <c:pt idx="26">
                  <c:v>2011</c:v>
                </c:pt>
                <c:pt idx="27">
                  <c:v>2011</c:v>
                </c:pt>
                <c:pt idx="28">
                  <c:v>2011</c:v>
                </c:pt>
                <c:pt idx="29">
                  <c:v>2011</c:v>
                </c:pt>
                <c:pt idx="30">
                  <c:v>2011</c:v>
                </c:pt>
                <c:pt idx="31">
                  <c:v>2011</c:v>
                </c:pt>
                <c:pt idx="32">
                  <c:v>2011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2012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2013</c:v>
                </c:pt>
                <c:pt idx="49">
                  <c:v>2013</c:v>
                </c:pt>
                <c:pt idx="50">
                  <c:v>2013</c:v>
                </c:pt>
              </c:numCache>
            </c:numRef>
          </c:cat>
          <c:val>
            <c:numRef>
              <c:f>'Benzinpreise Historie'!$F$50:$F$100</c:f>
              <c:numCache>
                <c:formatCode>0.0</c:formatCode>
                <c:ptCount val="51"/>
                <c:pt idx="0">
                  <c:v>11</c:v>
                </c:pt>
                <c:pt idx="1">
                  <c:v>12.3</c:v>
                </c:pt>
                <c:pt idx="2">
                  <c:v>9.8000000000000007</c:v>
                </c:pt>
                <c:pt idx="3">
                  <c:v>11.7</c:v>
                </c:pt>
                <c:pt idx="4">
                  <c:v>9.6999999999999993</c:v>
                </c:pt>
                <c:pt idx="5">
                  <c:v>11.4</c:v>
                </c:pt>
                <c:pt idx="6">
                  <c:v>10.1</c:v>
                </c:pt>
                <c:pt idx="7">
                  <c:v>11.3</c:v>
                </c:pt>
                <c:pt idx="8">
                  <c:v>12.2</c:v>
                </c:pt>
                <c:pt idx="9">
                  <c:v>10.7</c:v>
                </c:pt>
                <c:pt idx="10">
                  <c:v>12.1</c:v>
                </c:pt>
                <c:pt idx="11">
                  <c:v>11.7</c:v>
                </c:pt>
                <c:pt idx="12">
                  <c:v>12.8</c:v>
                </c:pt>
                <c:pt idx="13">
                  <c:v>10.199999999999999</c:v>
                </c:pt>
                <c:pt idx="14">
                  <c:v>12.1</c:v>
                </c:pt>
                <c:pt idx="15">
                  <c:v>12.1</c:v>
                </c:pt>
                <c:pt idx="16">
                  <c:v>13.4</c:v>
                </c:pt>
                <c:pt idx="17">
                  <c:v>12.7</c:v>
                </c:pt>
                <c:pt idx="18">
                  <c:v>13.2</c:v>
                </c:pt>
                <c:pt idx="19">
                  <c:v>12.5</c:v>
                </c:pt>
                <c:pt idx="20">
                  <c:v>12.6</c:v>
                </c:pt>
                <c:pt idx="21">
                  <c:v>11.7</c:v>
                </c:pt>
                <c:pt idx="22">
                  <c:v>11.2</c:v>
                </c:pt>
                <c:pt idx="23">
                  <c:v>11.1</c:v>
                </c:pt>
                <c:pt idx="24">
                  <c:v>11.9</c:v>
                </c:pt>
                <c:pt idx="25">
                  <c:v>9.5</c:v>
                </c:pt>
                <c:pt idx="26">
                  <c:v>12.5</c:v>
                </c:pt>
                <c:pt idx="27">
                  <c:v>11.7</c:v>
                </c:pt>
                <c:pt idx="28">
                  <c:v>13.9</c:v>
                </c:pt>
                <c:pt idx="29">
                  <c:v>13.7</c:v>
                </c:pt>
                <c:pt idx="30">
                  <c:v>11.8</c:v>
                </c:pt>
                <c:pt idx="31">
                  <c:v>12</c:v>
                </c:pt>
                <c:pt idx="32">
                  <c:v>13</c:v>
                </c:pt>
                <c:pt idx="33">
                  <c:v>14.2</c:v>
                </c:pt>
                <c:pt idx="34">
                  <c:v>14.3</c:v>
                </c:pt>
                <c:pt idx="35">
                  <c:v>11.2</c:v>
                </c:pt>
                <c:pt idx="36">
                  <c:v>10.89</c:v>
                </c:pt>
                <c:pt idx="37">
                  <c:v>11.08</c:v>
                </c:pt>
                <c:pt idx="38">
                  <c:v>11</c:v>
                </c:pt>
                <c:pt idx="39">
                  <c:v>13.17</c:v>
                </c:pt>
                <c:pt idx="40">
                  <c:v>14.06</c:v>
                </c:pt>
                <c:pt idx="41">
                  <c:v>14.59</c:v>
                </c:pt>
                <c:pt idx="42">
                  <c:v>11.37</c:v>
                </c:pt>
                <c:pt idx="43">
                  <c:v>11.6</c:v>
                </c:pt>
                <c:pt idx="44">
                  <c:v>15.43</c:v>
                </c:pt>
                <c:pt idx="45">
                  <c:v>14.65</c:v>
                </c:pt>
                <c:pt idx="46">
                  <c:v>13.64</c:v>
                </c:pt>
                <c:pt idx="47">
                  <c:v>12.27</c:v>
                </c:pt>
                <c:pt idx="48">
                  <c:v>10.55</c:v>
                </c:pt>
                <c:pt idx="49">
                  <c:v>10.41</c:v>
                </c:pt>
                <c:pt idx="50">
                  <c:v>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BB5-F149-933F-DC822A46048C}"/>
            </c:ext>
          </c:extLst>
        </c:ser>
        <c:ser>
          <c:idx val="2"/>
          <c:order val="3"/>
          <c:tx>
            <c:strRef>
              <c:f>'Benzinpreise Historie'!$H$1:$H$1</c:f>
              <c:strCache>
                <c:ptCount val="1"/>
                <c:pt idx="0">
                  <c:v>MwSt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</c:spPr>
          <c:invertIfNegative val="0"/>
          <c:cat>
            <c:numRef>
              <c:f>'Benzinpreise Historie'!$B$50:$B$100</c:f>
              <c:numCache>
                <c:formatCode>General</c:formatCode>
                <c:ptCount val="51"/>
                <c:pt idx="0">
                  <c:v>2009</c:v>
                </c:pt>
                <c:pt idx="1">
                  <c:v>2009</c:v>
                </c:pt>
                <c:pt idx="2">
                  <c:v>2009</c:v>
                </c:pt>
                <c:pt idx="3">
                  <c:v>2009</c:v>
                </c:pt>
                <c:pt idx="4">
                  <c:v>2009</c:v>
                </c:pt>
                <c:pt idx="5">
                  <c:v>2009</c:v>
                </c:pt>
                <c:pt idx="6">
                  <c:v>2009</c:v>
                </c:pt>
                <c:pt idx="7">
                  <c:v>2009</c:v>
                </c:pt>
                <c:pt idx="8">
                  <c:v>2009</c:v>
                </c:pt>
                <c:pt idx="9">
                  <c:v>2009</c:v>
                </c:pt>
                <c:pt idx="10">
                  <c:v>2009</c:v>
                </c:pt>
                <c:pt idx="11">
                  <c:v>2009</c:v>
                </c:pt>
                <c:pt idx="12">
                  <c:v>2010</c:v>
                </c:pt>
                <c:pt idx="13">
                  <c:v>2010</c:v>
                </c:pt>
                <c:pt idx="14">
                  <c:v>2010</c:v>
                </c:pt>
                <c:pt idx="15">
                  <c:v>2010</c:v>
                </c:pt>
                <c:pt idx="16">
                  <c:v>2010</c:v>
                </c:pt>
                <c:pt idx="17">
                  <c:v>2010</c:v>
                </c:pt>
                <c:pt idx="18">
                  <c:v>2010</c:v>
                </c:pt>
                <c:pt idx="19">
                  <c:v>2010</c:v>
                </c:pt>
                <c:pt idx="20">
                  <c:v>2010</c:v>
                </c:pt>
                <c:pt idx="21">
                  <c:v>2010</c:v>
                </c:pt>
                <c:pt idx="22">
                  <c:v>2010</c:v>
                </c:pt>
                <c:pt idx="23">
                  <c:v>2010</c:v>
                </c:pt>
                <c:pt idx="24">
                  <c:v>2011</c:v>
                </c:pt>
                <c:pt idx="25">
                  <c:v>2011</c:v>
                </c:pt>
                <c:pt idx="26">
                  <c:v>2011</c:v>
                </c:pt>
                <c:pt idx="27">
                  <c:v>2011</c:v>
                </c:pt>
                <c:pt idx="28">
                  <c:v>2011</c:v>
                </c:pt>
                <c:pt idx="29">
                  <c:v>2011</c:v>
                </c:pt>
                <c:pt idx="30">
                  <c:v>2011</c:v>
                </c:pt>
                <c:pt idx="31">
                  <c:v>2011</c:v>
                </c:pt>
                <c:pt idx="32">
                  <c:v>2011</c:v>
                </c:pt>
                <c:pt idx="33">
                  <c:v>2011</c:v>
                </c:pt>
                <c:pt idx="34">
                  <c:v>2011</c:v>
                </c:pt>
                <c:pt idx="35">
                  <c:v>2011</c:v>
                </c:pt>
                <c:pt idx="36">
                  <c:v>2012</c:v>
                </c:pt>
                <c:pt idx="37">
                  <c:v>2012</c:v>
                </c:pt>
                <c:pt idx="38">
                  <c:v>2012</c:v>
                </c:pt>
                <c:pt idx="39">
                  <c:v>2012</c:v>
                </c:pt>
                <c:pt idx="40">
                  <c:v>2012</c:v>
                </c:pt>
                <c:pt idx="41">
                  <c:v>2012</c:v>
                </c:pt>
                <c:pt idx="42">
                  <c:v>2012</c:v>
                </c:pt>
                <c:pt idx="43">
                  <c:v>2012</c:v>
                </c:pt>
                <c:pt idx="44">
                  <c:v>2012</c:v>
                </c:pt>
                <c:pt idx="45">
                  <c:v>2012</c:v>
                </c:pt>
                <c:pt idx="46">
                  <c:v>2012</c:v>
                </c:pt>
                <c:pt idx="47">
                  <c:v>2012</c:v>
                </c:pt>
                <c:pt idx="48">
                  <c:v>2013</c:v>
                </c:pt>
                <c:pt idx="49">
                  <c:v>2013</c:v>
                </c:pt>
                <c:pt idx="50">
                  <c:v>2013</c:v>
                </c:pt>
              </c:numCache>
            </c:numRef>
          </c:cat>
          <c:val>
            <c:numRef>
              <c:f>'Benzinpreise Historie'!$H$50:$H$100</c:f>
              <c:numCache>
                <c:formatCode>0.0</c:formatCode>
                <c:ptCount val="51"/>
                <c:pt idx="0">
                  <c:v>18.715</c:v>
                </c:pt>
                <c:pt idx="1">
                  <c:v>19.323</c:v>
                </c:pt>
                <c:pt idx="2">
                  <c:v>19.076000000000001</c:v>
                </c:pt>
                <c:pt idx="3">
                  <c:v>19.893000000000001</c:v>
                </c:pt>
                <c:pt idx="4">
                  <c:v>20.425000000000001</c:v>
                </c:pt>
                <c:pt idx="5">
                  <c:v>21.47</c:v>
                </c:pt>
                <c:pt idx="6">
                  <c:v>20.501000000000001</c:v>
                </c:pt>
                <c:pt idx="7">
                  <c:v>21.451000000000001</c:v>
                </c:pt>
                <c:pt idx="8">
                  <c:v>20.843</c:v>
                </c:pt>
                <c:pt idx="9">
                  <c:v>20.766999999999999</c:v>
                </c:pt>
                <c:pt idx="10">
                  <c:v>21.337000000000003</c:v>
                </c:pt>
                <c:pt idx="11">
                  <c:v>21.108999999999998</c:v>
                </c:pt>
                <c:pt idx="12">
                  <c:v>21.869</c:v>
                </c:pt>
                <c:pt idx="13">
                  <c:v>21.546000000000003</c:v>
                </c:pt>
                <c:pt idx="14">
                  <c:v>22.762000000000004</c:v>
                </c:pt>
                <c:pt idx="15">
                  <c:v>23.103999999999999</c:v>
                </c:pt>
                <c:pt idx="16">
                  <c:v>23.047000000000001</c:v>
                </c:pt>
                <c:pt idx="17">
                  <c:v>22.951999999999998</c:v>
                </c:pt>
                <c:pt idx="18">
                  <c:v>22.591000000000001</c:v>
                </c:pt>
                <c:pt idx="19">
                  <c:v>22.382000000000001</c:v>
                </c:pt>
                <c:pt idx="20">
                  <c:v>22.42</c:v>
                </c:pt>
                <c:pt idx="21">
                  <c:v>22.401</c:v>
                </c:pt>
                <c:pt idx="22">
                  <c:v>22.553000000000001</c:v>
                </c:pt>
                <c:pt idx="23">
                  <c:v>23.483999999999998</c:v>
                </c:pt>
                <c:pt idx="24">
                  <c:v>23.826000000000001</c:v>
                </c:pt>
                <c:pt idx="25">
                  <c:v>23.579000000000001</c:v>
                </c:pt>
                <c:pt idx="26">
                  <c:v>24.852000000000004</c:v>
                </c:pt>
                <c:pt idx="27">
                  <c:v>25.555</c:v>
                </c:pt>
                <c:pt idx="28">
                  <c:v>25.65</c:v>
                </c:pt>
                <c:pt idx="29">
                  <c:v>24.947000000000003</c:v>
                </c:pt>
                <c:pt idx="30">
                  <c:v>25.156000000000002</c:v>
                </c:pt>
                <c:pt idx="31">
                  <c:v>24.681000000000001</c:v>
                </c:pt>
                <c:pt idx="32">
                  <c:v>25.365000000000002</c:v>
                </c:pt>
                <c:pt idx="33">
                  <c:v>25.023</c:v>
                </c:pt>
                <c:pt idx="34">
                  <c:v>24.776</c:v>
                </c:pt>
                <c:pt idx="35">
                  <c:v>24.433999999999997</c:v>
                </c:pt>
                <c:pt idx="36">
                  <c:v>25.173100000000002</c:v>
                </c:pt>
                <c:pt idx="37">
                  <c:v>25.803900000000002</c:v>
                </c:pt>
                <c:pt idx="38">
                  <c:v>26.864099999999997</c:v>
                </c:pt>
                <c:pt idx="39">
                  <c:v>27.327699999999997</c:v>
                </c:pt>
                <c:pt idx="40">
                  <c:v>26.391000000000002</c:v>
                </c:pt>
                <c:pt idx="41">
                  <c:v>25.648100000000003</c:v>
                </c:pt>
                <c:pt idx="42">
                  <c:v>25.961599999999997</c:v>
                </c:pt>
                <c:pt idx="43">
                  <c:v>27.054099999999998</c:v>
                </c:pt>
                <c:pt idx="44">
                  <c:v>27.738100000000003</c:v>
                </c:pt>
                <c:pt idx="45">
                  <c:v>26.4879</c:v>
                </c:pt>
                <c:pt idx="46">
                  <c:v>25.589200000000002</c:v>
                </c:pt>
                <c:pt idx="47">
                  <c:v>25.315600000000003</c:v>
                </c:pt>
                <c:pt idx="48">
                  <c:v>25.336500000000001</c:v>
                </c:pt>
                <c:pt idx="49">
                  <c:v>26.037600000000005</c:v>
                </c:pt>
                <c:pt idx="50">
                  <c:v>25.155999999999995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BB5-F149-933F-DC822A460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372207320"/>
        <c:axId val="372210064"/>
      </c:barChart>
      <c:lineChart>
        <c:grouping val="standard"/>
        <c:varyColors val="0"/>
        <c:ser>
          <c:idx val="3"/>
          <c:order val="4"/>
          <c:tx>
            <c:strRef>
              <c:f>'Benzinpreise Historie'!$I$1</c:f>
              <c:strCache>
                <c:ptCount val="1"/>
                <c:pt idx="0">
                  <c:v>Bruttopreis</c:v>
                </c:pt>
              </c:strCache>
            </c:strRef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multiLvlStrRef>
              <c:f>'Benzinpreise Historie'!$B$50:$C$100</c:f>
              <c:multiLvlStrCache>
                <c:ptCount val="51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</c:lvl>
                <c:lvl>
                  <c:pt idx="0">
                    <c:v>2009</c:v>
                  </c:pt>
                  <c:pt idx="1">
                    <c:v>2009</c:v>
                  </c:pt>
                  <c:pt idx="2">
                    <c:v>2009</c:v>
                  </c:pt>
                  <c:pt idx="3">
                    <c:v>2009</c:v>
                  </c:pt>
                  <c:pt idx="4">
                    <c:v>2009</c:v>
                  </c:pt>
                  <c:pt idx="5">
                    <c:v>2009</c:v>
                  </c:pt>
                  <c:pt idx="6">
                    <c:v>2009</c:v>
                  </c:pt>
                  <c:pt idx="7">
                    <c:v>2009</c:v>
                  </c:pt>
                  <c:pt idx="8">
                    <c:v>2009</c:v>
                  </c:pt>
                  <c:pt idx="9">
                    <c:v>2009</c:v>
                  </c:pt>
                  <c:pt idx="10">
                    <c:v>2009</c:v>
                  </c:pt>
                  <c:pt idx="11">
                    <c:v>2009</c:v>
                  </c:pt>
                  <c:pt idx="12">
                    <c:v>2010</c:v>
                  </c:pt>
                  <c:pt idx="13">
                    <c:v>2010</c:v>
                  </c:pt>
                  <c:pt idx="14">
                    <c:v>2010</c:v>
                  </c:pt>
                  <c:pt idx="15">
                    <c:v>2010</c:v>
                  </c:pt>
                  <c:pt idx="16">
                    <c:v>2010</c:v>
                  </c:pt>
                  <c:pt idx="17">
                    <c:v>2010</c:v>
                  </c:pt>
                  <c:pt idx="18">
                    <c:v>2010</c:v>
                  </c:pt>
                  <c:pt idx="19">
                    <c:v>2010</c:v>
                  </c:pt>
                  <c:pt idx="20">
                    <c:v>2010</c:v>
                  </c:pt>
                  <c:pt idx="21">
                    <c:v>2010</c:v>
                  </c:pt>
                  <c:pt idx="22">
                    <c:v>2010</c:v>
                  </c:pt>
                  <c:pt idx="23">
                    <c:v>2010</c:v>
                  </c:pt>
                  <c:pt idx="24">
                    <c:v>2011</c:v>
                  </c:pt>
                  <c:pt idx="25">
                    <c:v>2011</c:v>
                  </c:pt>
                  <c:pt idx="26">
                    <c:v>2011</c:v>
                  </c:pt>
                  <c:pt idx="27">
                    <c:v>2011</c:v>
                  </c:pt>
                  <c:pt idx="28">
                    <c:v>2011</c:v>
                  </c:pt>
                  <c:pt idx="29">
                    <c:v>2011</c:v>
                  </c:pt>
                  <c:pt idx="30">
                    <c:v>2011</c:v>
                  </c:pt>
                  <c:pt idx="31">
                    <c:v>2011</c:v>
                  </c:pt>
                  <c:pt idx="32">
                    <c:v>2011</c:v>
                  </c:pt>
                  <c:pt idx="33">
                    <c:v>2011</c:v>
                  </c:pt>
                  <c:pt idx="34">
                    <c:v>2011</c:v>
                  </c:pt>
                  <c:pt idx="35">
                    <c:v>2011</c:v>
                  </c:pt>
                  <c:pt idx="36">
                    <c:v>2012</c:v>
                  </c:pt>
                  <c:pt idx="37">
                    <c:v>2012</c:v>
                  </c:pt>
                  <c:pt idx="38">
                    <c:v>2012</c:v>
                  </c:pt>
                  <c:pt idx="39">
                    <c:v>2012</c:v>
                  </c:pt>
                  <c:pt idx="40">
                    <c:v>2012</c:v>
                  </c:pt>
                  <c:pt idx="41">
                    <c:v>2012</c:v>
                  </c:pt>
                  <c:pt idx="42">
                    <c:v>2012</c:v>
                  </c:pt>
                  <c:pt idx="43">
                    <c:v>2012</c:v>
                  </c:pt>
                  <c:pt idx="44">
                    <c:v>2012</c:v>
                  </c:pt>
                  <c:pt idx="45">
                    <c:v>2012</c:v>
                  </c:pt>
                  <c:pt idx="46">
                    <c:v>2012</c:v>
                  </c:pt>
                  <c:pt idx="47">
                    <c:v>2012</c:v>
                  </c:pt>
                  <c:pt idx="48">
                    <c:v>2013</c:v>
                  </c:pt>
                  <c:pt idx="49">
                    <c:v>2013</c:v>
                  </c:pt>
                  <c:pt idx="50">
                    <c:v>2013</c:v>
                  </c:pt>
                </c:lvl>
              </c:multiLvlStrCache>
            </c:multiLvlStrRef>
          </c:cat>
          <c:val>
            <c:numRef>
              <c:f>'Benzinpreise Historie'!$I$50:$I$100</c:f>
              <c:numCache>
                <c:formatCode>0.0</c:formatCode>
                <c:ptCount val="51"/>
                <c:pt idx="0">
                  <c:v>117.215</c:v>
                </c:pt>
                <c:pt idx="1">
                  <c:v>121.023</c:v>
                </c:pt>
                <c:pt idx="2">
                  <c:v>119.476</c:v>
                </c:pt>
                <c:pt idx="3">
                  <c:v>124.593</c:v>
                </c:pt>
                <c:pt idx="4">
                  <c:v>127.925</c:v>
                </c:pt>
                <c:pt idx="5">
                  <c:v>134.47</c:v>
                </c:pt>
                <c:pt idx="6">
                  <c:v>128.40100000000001</c:v>
                </c:pt>
                <c:pt idx="7">
                  <c:v>134.351</c:v>
                </c:pt>
                <c:pt idx="8">
                  <c:v>130.54300000000001</c:v>
                </c:pt>
                <c:pt idx="9">
                  <c:v>130.06700000000001</c:v>
                </c:pt>
                <c:pt idx="10">
                  <c:v>133.637</c:v>
                </c:pt>
                <c:pt idx="11">
                  <c:v>132.209</c:v>
                </c:pt>
                <c:pt idx="12">
                  <c:v>136.96899999999999</c:v>
                </c:pt>
                <c:pt idx="13">
                  <c:v>134.946</c:v>
                </c:pt>
                <c:pt idx="14">
                  <c:v>142.56200000000001</c:v>
                </c:pt>
                <c:pt idx="15">
                  <c:v>144.70400000000001</c:v>
                </c:pt>
                <c:pt idx="16">
                  <c:v>144.34700000000001</c:v>
                </c:pt>
                <c:pt idx="17">
                  <c:v>143.75200000000001</c:v>
                </c:pt>
                <c:pt idx="18">
                  <c:v>141.49100000000001</c:v>
                </c:pt>
                <c:pt idx="19">
                  <c:v>140.18199999999999</c:v>
                </c:pt>
                <c:pt idx="20">
                  <c:v>140.42000000000002</c:v>
                </c:pt>
                <c:pt idx="21">
                  <c:v>140.30100000000002</c:v>
                </c:pt>
                <c:pt idx="22">
                  <c:v>141.25300000000001</c:v>
                </c:pt>
                <c:pt idx="23">
                  <c:v>147.084</c:v>
                </c:pt>
                <c:pt idx="24">
                  <c:v>149.226</c:v>
                </c:pt>
                <c:pt idx="25">
                  <c:v>147.679</c:v>
                </c:pt>
                <c:pt idx="26">
                  <c:v>155.65200000000002</c:v>
                </c:pt>
                <c:pt idx="27">
                  <c:v>160.05500000000001</c:v>
                </c:pt>
                <c:pt idx="28">
                  <c:v>160.65</c:v>
                </c:pt>
                <c:pt idx="29">
                  <c:v>156.24700000000001</c:v>
                </c:pt>
                <c:pt idx="30">
                  <c:v>157.55600000000001</c:v>
                </c:pt>
                <c:pt idx="31">
                  <c:v>154.58100000000002</c:v>
                </c:pt>
                <c:pt idx="32">
                  <c:v>158.86500000000001</c:v>
                </c:pt>
                <c:pt idx="33">
                  <c:v>156.72299999999998</c:v>
                </c:pt>
                <c:pt idx="34">
                  <c:v>155.17600000000002</c:v>
                </c:pt>
                <c:pt idx="35">
                  <c:v>153.03399999999999</c:v>
                </c:pt>
                <c:pt idx="36">
                  <c:v>157.66310000000001</c:v>
                </c:pt>
                <c:pt idx="37">
                  <c:v>161.6139</c:v>
                </c:pt>
                <c:pt idx="38">
                  <c:v>168.25409999999999</c:v>
                </c:pt>
                <c:pt idx="39">
                  <c:v>171.15769999999998</c:v>
                </c:pt>
                <c:pt idx="40">
                  <c:v>165.291</c:v>
                </c:pt>
                <c:pt idx="41">
                  <c:v>160.63810000000001</c:v>
                </c:pt>
                <c:pt idx="42">
                  <c:v>162.60159999999999</c:v>
                </c:pt>
                <c:pt idx="43">
                  <c:v>169.44409999999999</c:v>
                </c:pt>
                <c:pt idx="44">
                  <c:v>173.72810000000001</c:v>
                </c:pt>
                <c:pt idx="45">
                  <c:v>165.89789999999999</c:v>
                </c:pt>
                <c:pt idx="46">
                  <c:v>160.26920000000001</c:v>
                </c:pt>
                <c:pt idx="47">
                  <c:v>158.55560000000003</c:v>
                </c:pt>
                <c:pt idx="48">
                  <c:v>158.6865</c:v>
                </c:pt>
                <c:pt idx="49">
                  <c:v>163.07760000000002</c:v>
                </c:pt>
                <c:pt idx="50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BB5-F149-933F-DC822A46048C}"/>
            </c:ext>
          </c:extLst>
        </c:ser>
        <c:ser>
          <c:idx val="0"/>
          <c:order val="5"/>
          <c:tx>
            <c:strRef>
              <c:f>'Benzinpreise Historie'!$M$1</c:f>
              <c:strCache>
                <c:ptCount val="1"/>
                <c:pt idx="0">
                  <c:v>2012</c:v>
                </c:pt>
              </c:strCache>
            </c:strRef>
          </c:tx>
          <c:marker>
            <c:symbol val="none"/>
          </c:marker>
          <c:val>
            <c:numRef>
              <c:f>'Benzinpreise Historie'!$M$50:$M$100</c:f>
              <c:numCache>
                <c:formatCode>0.0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168.25409999999999</c:v>
                </c:pt>
                <c:pt idx="39">
                  <c:v>167.36259166666665</c:v>
                </c:pt>
                <c:pt idx="40">
                  <c:v>166.47580706433541</c:v>
                </c:pt>
                <c:pt idx="41">
                  <c:v>165.59372116392498</c:v>
                </c:pt>
                <c:pt idx="42">
                  <c:v>164.71630906897266</c:v>
                </c:pt>
                <c:pt idx="43">
                  <c:v>163.84354601493177</c:v>
                </c:pt>
                <c:pt idx="44">
                  <c:v>162.97540736847267</c:v>
                </c:pt>
                <c:pt idx="45">
                  <c:v>162.11186862678738</c:v>
                </c:pt>
                <c:pt idx="46">
                  <c:v>161.25290541689816</c:v>
                </c:pt>
                <c:pt idx="47">
                  <c:v>160.3984934949695</c:v>
                </c:pt>
                <c:pt idx="48">
                  <c:v>159.54860874562385</c:v>
                </c:pt>
                <c:pt idx="49">
                  <c:v>158.70322718126098</c:v>
                </c:pt>
                <c:pt idx="50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BB5-F149-933F-DC822A46048C}"/>
            </c:ext>
          </c:extLst>
        </c:ser>
        <c:ser>
          <c:idx val="7"/>
          <c:order val="6"/>
          <c:tx>
            <c:strRef>
              <c:f>'Benzinpreise Historie'!$L$1</c:f>
              <c:strCache>
                <c:ptCount val="1"/>
                <c:pt idx="0">
                  <c:v>2011</c:v>
                </c:pt>
              </c:strCache>
            </c:strRef>
          </c:tx>
          <c:spPr>
            <a:ln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none"/>
          </c:marker>
          <c:val>
            <c:numRef>
              <c:f>'Benzinpreise Historie'!$L$50:$L$100</c:f>
              <c:numCache>
                <c:formatCode>0.0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155.65200000000002</c:v>
                </c:pt>
                <c:pt idx="27">
                  <c:v>155.73109219635376</c:v>
                </c:pt>
                <c:pt idx="28">
                  <c:v>155.81022458220411</c:v>
                </c:pt>
                <c:pt idx="29">
                  <c:v>155.88939717797274</c:v>
                </c:pt>
                <c:pt idx="30">
                  <c:v>155.96861000409169</c:v>
                </c:pt>
                <c:pt idx="31">
                  <c:v>156.04786308100341</c:v>
                </c:pt>
                <c:pt idx="32">
                  <c:v>156.12715642916075</c:v>
                </c:pt>
                <c:pt idx="33">
                  <c:v>156.2064900690269</c:v>
                </c:pt>
                <c:pt idx="34">
                  <c:v>156.2858640210755</c:v>
                </c:pt>
                <c:pt idx="35">
                  <c:v>156.36527830579055</c:v>
                </c:pt>
                <c:pt idx="36">
                  <c:v>156.44473294366651</c:v>
                </c:pt>
                <c:pt idx="37">
                  <c:v>156.52422795520823</c:v>
                </c:pt>
                <c:pt idx="38">
                  <c:v>156.60376336093094</c:v>
                </c:pt>
                <c:pt idx="39">
                  <c:v>156.68333918136034</c:v>
                </c:pt>
                <c:pt idx="40">
                  <c:v>156.76295543703256</c:v>
                </c:pt>
                <c:pt idx="41">
                  <c:v>156.84261214849414</c:v>
                </c:pt>
                <c:pt idx="42">
                  <c:v>156.92230933630211</c:v>
                </c:pt>
                <c:pt idx="43">
                  <c:v>157.00204702102386</c:v>
                </c:pt>
                <c:pt idx="44">
                  <c:v>157.0818252232373</c:v>
                </c:pt>
                <c:pt idx="45">
                  <c:v>157.16164396353079</c:v>
                </c:pt>
                <c:pt idx="46">
                  <c:v>157.24150326250313</c:v>
                </c:pt>
                <c:pt idx="47">
                  <c:v>157.32140314076358</c:v>
                </c:pt>
                <c:pt idx="48">
                  <c:v>157.40134361893192</c:v>
                </c:pt>
                <c:pt idx="49">
                  <c:v>157.48132471763833</c:v>
                </c:pt>
                <c:pt idx="50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BB5-F149-933F-DC822A46048C}"/>
            </c:ext>
          </c:extLst>
        </c:ser>
        <c:ser>
          <c:idx val="8"/>
          <c:order val="7"/>
          <c:tx>
            <c:strRef>
              <c:f>'Benzinpreise Historie'!$K$1</c:f>
              <c:strCache>
                <c:ptCount val="1"/>
                <c:pt idx="0">
                  <c:v>2010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'Benzinpreise Historie'!$K$50:$K$100</c:f>
              <c:numCache>
                <c:formatCode>0.0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142.56200000000001</c:v>
                </c:pt>
                <c:pt idx="15">
                  <c:v>142.96469580217544</c:v>
                </c:pt>
                <c:pt idx="16">
                  <c:v>143.36852910178419</c:v>
                </c:pt>
                <c:pt idx="17">
                  <c:v>143.77350311192262</c:v>
                </c:pt>
                <c:pt idx="18">
                  <c:v>144.17962105476312</c:v>
                </c:pt>
                <c:pt idx="19">
                  <c:v>144.5868861615798</c:v>
                </c:pt>
                <c:pt idx="20">
                  <c:v>144.99530167277413</c:v>
                </c:pt>
                <c:pt idx="21">
                  <c:v>145.4048708379008</c:v>
                </c:pt>
                <c:pt idx="22">
                  <c:v>145.8155969156935</c:v>
                </c:pt>
                <c:pt idx="23">
                  <c:v>146.22748317409093</c:v>
                </c:pt>
                <c:pt idx="24">
                  <c:v>146.64053289026273</c:v>
                </c:pt>
                <c:pt idx="25">
                  <c:v>147.0547493506356</c:v>
                </c:pt>
                <c:pt idx="26">
                  <c:v>147.47013585091943</c:v>
                </c:pt>
                <c:pt idx="27">
                  <c:v>147.8866956961335</c:v>
                </c:pt>
                <c:pt idx="28">
                  <c:v>148.30443220063279</c:v>
                </c:pt>
                <c:pt idx="29">
                  <c:v>148.72334868813442</c:v>
                </c:pt>
                <c:pt idx="30">
                  <c:v>149.14344849174398</c:v>
                </c:pt>
                <c:pt idx="31">
                  <c:v>149.56473495398211</c:v>
                </c:pt>
                <c:pt idx="32">
                  <c:v>149.98721142681111</c:v>
                </c:pt>
                <c:pt idx="33">
                  <c:v>150.41088127166162</c:v>
                </c:pt>
                <c:pt idx="34">
                  <c:v>150.83574785945925</c:v>
                </c:pt>
                <c:pt idx="35">
                  <c:v>151.26181457065155</c:v>
                </c:pt>
                <c:pt idx="36">
                  <c:v>151.68908479523483</c:v>
                </c:pt>
                <c:pt idx="37">
                  <c:v>152.11756193278111</c:v>
                </c:pt>
                <c:pt idx="38">
                  <c:v>152.54724939246526</c:v>
                </c:pt>
                <c:pt idx="39">
                  <c:v>152.97815059309204</c:v>
                </c:pt>
                <c:pt idx="40">
                  <c:v>153.41026896312331</c:v>
                </c:pt>
                <c:pt idx="41">
                  <c:v>153.84360794070537</c:v>
                </c:pt>
                <c:pt idx="42">
                  <c:v>154.27817097369623</c:v>
                </c:pt>
                <c:pt idx="43">
                  <c:v>154.71396151969316</c:v>
                </c:pt>
                <c:pt idx="44">
                  <c:v>155.15098304606002</c:v>
                </c:pt>
                <c:pt idx="45">
                  <c:v>155.58923902995502</c:v>
                </c:pt>
                <c:pt idx="46">
                  <c:v>156.02873295835835</c:v>
                </c:pt>
                <c:pt idx="47">
                  <c:v>156.46946832809982</c:v>
                </c:pt>
                <c:pt idx="48">
                  <c:v>156.91144864588679</c:v>
                </c:pt>
                <c:pt idx="49">
                  <c:v>157.35467742833208</c:v>
                </c:pt>
                <c:pt idx="50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BB5-F149-933F-DC822A46048C}"/>
            </c:ext>
          </c:extLst>
        </c:ser>
        <c:ser>
          <c:idx val="9"/>
          <c:order val="8"/>
          <c:tx>
            <c:strRef>
              <c:f>'Benzinpreise Historie'!$J$1</c:f>
              <c:strCache>
                <c:ptCount val="1"/>
                <c:pt idx="0">
                  <c:v>2009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val>
            <c:numRef>
              <c:f>'Benzinpreise Historie'!$J$50:$J$100</c:f>
              <c:numCache>
                <c:formatCode>0.0</c:formatCode>
                <c:ptCount val="51"/>
                <c:pt idx="0">
                  <c:v>#N/A</c:v>
                </c:pt>
                <c:pt idx="1">
                  <c:v>#N/A</c:v>
                </c:pt>
                <c:pt idx="2">
                  <c:v>119.476</c:v>
                </c:pt>
                <c:pt idx="3">
                  <c:v>120.1890175059104</c:v>
                </c:pt>
                <c:pt idx="4">
                  <c:v>120.90629020921388</c:v>
                </c:pt>
                <c:pt idx="5">
                  <c:v>121.6278435043849</c:v>
                </c:pt>
                <c:pt idx="6">
                  <c:v>122.35370293744893</c:v>
                </c:pt>
                <c:pt idx="7">
                  <c:v>123.08389420688682</c:v>
                </c:pt>
                <c:pt idx="8">
                  <c:v>123.81844316454472</c:v>
                </c:pt>
                <c:pt idx="9">
                  <c:v>124.55737581654924</c:v>
                </c:pt>
                <c:pt idx="10">
                  <c:v>125.30071832422827</c:v>
                </c:pt>
                <c:pt idx="11">
                  <c:v>126.04849700503716</c:v>
                </c:pt>
                <c:pt idx="12">
                  <c:v>126.80073833349046</c:v>
                </c:pt>
                <c:pt idx="13">
                  <c:v>127.55746894209923</c:v>
                </c:pt>
                <c:pt idx="14">
                  <c:v>128.31871562231399</c:v>
                </c:pt>
                <c:pt idx="15">
                  <c:v>129.0845053254732</c:v>
                </c:pt>
                <c:pt idx="16">
                  <c:v>129.85486516375744</c:v>
                </c:pt>
                <c:pt idx="17">
                  <c:v>130.62982241114932</c:v>
                </c:pt>
                <c:pt idx="18">
                  <c:v>131.40940450439916</c:v>
                </c:pt>
                <c:pt idx="19">
                  <c:v>132.19363904399623</c:v>
                </c:pt>
                <c:pt idx="20">
                  <c:v>132.982553795146</c:v>
                </c:pt>
                <c:pt idx="21">
                  <c:v>133.77617668875317</c:v>
                </c:pt>
                <c:pt idx="22">
                  <c:v>134.5745358224105</c:v>
                </c:pt>
                <c:pt idx="23">
                  <c:v>135.37765946139359</c:v>
                </c:pt>
                <c:pt idx="24">
                  <c:v>136.18557603966161</c:v>
                </c:pt>
                <c:pt idx="25">
                  <c:v>136.99831416086394</c:v>
                </c:pt>
                <c:pt idx="26">
                  <c:v>137.81590259935291</c:v>
                </c:pt>
                <c:pt idx="27">
                  <c:v>138.63837030120251</c:v>
                </c:pt>
                <c:pt idx="28">
                  <c:v>139.46574638523316</c:v>
                </c:pt>
                <c:pt idx="29">
                  <c:v>140.29806014404272</c:v>
                </c:pt>
                <c:pt idx="30">
                  <c:v>141.13534104504353</c:v>
                </c:pt>
                <c:pt idx="31">
                  <c:v>141.97761873150569</c:v>
                </c:pt>
                <c:pt idx="32">
                  <c:v>142.82492302360649</c:v>
                </c:pt>
                <c:pt idx="33">
                  <c:v>143.67728391948631</c:v>
                </c:pt>
                <c:pt idx="34">
                  <c:v>144.53473159631056</c:v>
                </c:pt>
                <c:pt idx="35">
                  <c:v>145.39729641133812</c:v>
                </c:pt>
                <c:pt idx="36">
                  <c:v>146.2650089029961</c:v>
                </c:pt>
                <c:pt idx="37">
                  <c:v>147.13789979196105</c:v>
                </c:pt>
                <c:pt idx="38">
                  <c:v>148.01599998224663</c:v>
                </c:pt>
                <c:pt idx="39">
                  <c:v>148.89934056229765</c:v>
                </c:pt>
                <c:pt idx="40">
                  <c:v>149.78795280609083</c:v>
                </c:pt>
                <c:pt idx="41">
                  <c:v>150.68186817424197</c:v>
                </c:pt>
                <c:pt idx="42">
                  <c:v>151.5811183151198</c:v>
                </c:pt>
                <c:pt idx="43">
                  <c:v>152.48573506596645</c:v>
                </c:pt>
                <c:pt idx="44">
                  <c:v>153.39575045402472</c:v>
                </c:pt>
                <c:pt idx="45">
                  <c:v>154.31119669767185</c:v>
                </c:pt>
                <c:pt idx="46">
                  <c:v>155.23210620756024</c:v>
                </c:pt>
                <c:pt idx="47">
                  <c:v>156.15851158776491</c:v>
                </c:pt>
                <c:pt idx="48">
                  <c:v>157.09044563693786</c:v>
                </c:pt>
                <c:pt idx="49">
                  <c:v>158.02794134946927</c:v>
                </c:pt>
                <c:pt idx="50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BB5-F149-933F-DC822A46048C}"/>
            </c:ext>
          </c:extLst>
        </c:ser>
        <c:ser>
          <c:idx val="4"/>
          <c:order val="9"/>
          <c:tx>
            <c:strRef>
              <c:f>'Benzinpreise Historie'!$N$1</c:f>
              <c:strCache>
                <c:ptCount val="1"/>
                <c:pt idx="0">
                  <c:v>Input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none"/>
          </c:marker>
          <c:val>
            <c:numRef>
              <c:f>'Benzinpreise Historie'!$N$50:$N$100</c:f>
              <c:numCache>
                <c:formatCode>0.0</c:formatCode>
                <c:ptCount val="51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BB5-F149-933F-DC822A4604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03400"/>
        <c:axId val="372203008"/>
      </c:lineChart>
      <c:catAx>
        <c:axId val="372207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210064"/>
        <c:crosses val="autoZero"/>
        <c:auto val="1"/>
        <c:lblAlgn val="ctr"/>
        <c:lblOffset val="100"/>
        <c:tickLblSkip val="12"/>
        <c:noMultiLvlLbl val="1"/>
      </c:catAx>
      <c:valAx>
        <c:axId val="37221006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72207320"/>
        <c:crosses val="autoZero"/>
        <c:crossBetween val="between"/>
      </c:valAx>
      <c:valAx>
        <c:axId val="372203008"/>
        <c:scaling>
          <c:orientation val="minMax"/>
        </c:scaling>
        <c:delete val="1"/>
        <c:axPos val="r"/>
        <c:numFmt formatCode="0.0" sourceLinked="1"/>
        <c:majorTickMark val="out"/>
        <c:minorTickMark val="none"/>
        <c:tickLblPos val="nextTo"/>
        <c:crossAx val="372203400"/>
        <c:crosses val="max"/>
        <c:crossBetween val="between"/>
      </c:valAx>
      <c:catAx>
        <c:axId val="3722034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2203008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"/>
          <c:y val="0.88117672790901136"/>
          <c:w val="1"/>
          <c:h val="0.11882327209098863"/>
        </c:manualLayout>
      </c:layout>
      <c:overlay val="0"/>
    </c:legend>
    <c:plotVisOnly val="1"/>
    <c:dispBlanksAs val="zero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3274662956287089"/>
          <c:y val="5.1400554097404488E-2"/>
          <c:w val="0.82822312873541415"/>
          <c:h val="0.68414916885389321"/>
        </c:manualLayout>
      </c:layout>
      <c:barChart>
        <c:barDir val="col"/>
        <c:grouping val="stacked"/>
        <c:varyColors val="0"/>
        <c:ser>
          <c:idx val="3"/>
          <c:order val="1"/>
          <c:tx>
            <c:strRef>
              <c:f>'Benzinpreise Historie'!$G$1</c:f>
              <c:strCache>
                <c:ptCount val="1"/>
                <c:pt idx="0">
                  <c:v>MinÖlSt</c:v>
                </c:pt>
              </c:strCache>
            </c:strRef>
          </c:tx>
          <c:spPr>
            <a:solidFill>
              <a:schemeClr val="tx2"/>
            </a:solidFill>
          </c:spPr>
          <c:invertIfNegative val="0"/>
          <c:cat>
            <c:multiLvlStrRef>
              <c:f>'Benzinpreise Historie'!$B$2:$C$100</c:f>
              <c:multiLvlStrCache>
                <c:ptCount val="99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  <c:pt idx="51">
                    <c:v>Apr</c:v>
                  </c:pt>
                  <c:pt idx="52">
                    <c:v>Mai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Sept</c:v>
                  </c:pt>
                  <c:pt idx="57">
                    <c:v>Okt</c:v>
                  </c:pt>
                  <c:pt idx="58">
                    <c:v>Nov</c:v>
                  </c:pt>
                  <c:pt idx="59">
                    <c:v>Dez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Mrz</c:v>
                  </c:pt>
                  <c:pt idx="63">
                    <c:v>Apr</c:v>
                  </c:pt>
                  <c:pt idx="64">
                    <c:v>Mai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Sept</c:v>
                  </c:pt>
                  <c:pt idx="69">
                    <c:v>Okt</c:v>
                  </c:pt>
                  <c:pt idx="70">
                    <c:v>Nov</c:v>
                  </c:pt>
                  <c:pt idx="71">
                    <c:v>Dez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Mrz</c:v>
                  </c:pt>
                  <c:pt idx="75">
                    <c:v>Apr</c:v>
                  </c:pt>
                  <c:pt idx="76">
                    <c:v>Mai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Sept</c:v>
                  </c:pt>
                  <c:pt idx="81">
                    <c:v>Okt</c:v>
                  </c:pt>
                  <c:pt idx="82">
                    <c:v>Nov</c:v>
                  </c:pt>
                  <c:pt idx="83">
                    <c:v>Dez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Mrz</c:v>
                  </c:pt>
                  <c:pt idx="87">
                    <c:v>Apr</c:v>
                  </c:pt>
                  <c:pt idx="88">
                    <c:v>Mai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Sept</c:v>
                  </c:pt>
                  <c:pt idx="93">
                    <c:v>Okt</c:v>
                  </c:pt>
                  <c:pt idx="94">
                    <c:v>Nov</c:v>
                  </c:pt>
                  <c:pt idx="95">
                    <c:v>Dez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Mrz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2007</c:v>
                  </c:pt>
                  <c:pt idx="28">
                    <c:v>2007</c:v>
                  </c:pt>
                  <c:pt idx="29">
                    <c:v>2007</c:v>
                  </c:pt>
                  <c:pt idx="30">
                    <c:v>2007</c:v>
                  </c:pt>
                  <c:pt idx="31">
                    <c:v>2007</c:v>
                  </c:pt>
                  <c:pt idx="32">
                    <c:v>2007</c:v>
                  </c:pt>
                  <c:pt idx="33">
                    <c:v>2007</c:v>
                  </c:pt>
                  <c:pt idx="34">
                    <c:v>2007</c:v>
                  </c:pt>
                  <c:pt idx="35">
                    <c:v>2007</c:v>
                  </c:pt>
                  <c:pt idx="36">
                    <c:v>2008</c:v>
                  </c:pt>
                  <c:pt idx="37">
                    <c:v>2008</c:v>
                  </c:pt>
                  <c:pt idx="38">
                    <c:v>2008</c:v>
                  </c:pt>
                  <c:pt idx="39">
                    <c:v>2008</c:v>
                  </c:pt>
                  <c:pt idx="40">
                    <c:v>2008</c:v>
                  </c:pt>
                  <c:pt idx="41">
                    <c:v>2008</c:v>
                  </c:pt>
                  <c:pt idx="42">
                    <c:v>2008</c:v>
                  </c:pt>
                  <c:pt idx="43">
                    <c:v>2008</c:v>
                  </c:pt>
                  <c:pt idx="44">
                    <c:v>2008</c:v>
                  </c:pt>
                  <c:pt idx="45">
                    <c:v>2008</c:v>
                  </c:pt>
                  <c:pt idx="46">
                    <c:v>2008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2009</c:v>
                  </c:pt>
                  <c:pt idx="50">
                    <c:v>2009</c:v>
                  </c:pt>
                  <c:pt idx="51">
                    <c:v>2009</c:v>
                  </c:pt>
                  <c:pt idx="52">
                    <c:v>2009</c:v>
                  </c:pt>
                  <c:pt idx="53">
                    <c:v>2009</c:v>
                  </c:pt>
                  <c:pt idx="54">
                    <c:v>2009</c:v>
                  </c:pt>
                  <c:pt idx="55">
                    <c:v>2009</c:v>
                  </c:pt>
                  <c:pt idx="56">
                    <c:v>2009</c:v>
                  </c:pt>
                  <c:pt idx="57">
                    <c:v>2009</c:v>
                  </c:pt>
                  <c:pt idx="58">
                    <c:v>2009</c:v>
                  </c:pt>
                  <c:pt idx="59">
                    <c:v>2009</c:v>
                  </c:pt>
                  <c:pt idx="60">
                    <c:v>2010</c:v>
                  </c:pt>
                  <c:pt idx="61">
                    <c:v>2010</c:v>
                  </c:pt>
                  <c:pt idx="62">
                    <c:v>2010</c:v>
                  </c:pt>
                  <c:pt idx="63">
                    <c:v>2010</c:v>
                  </c:pt>
                  <c:pt idx="64">
                    <c:v>2010</c:v>
                  </c:pt>
                  <c:pt idx="65">
                    <c:v>2010</c:v>
                  </c:pt>
                  <c:pt idx="66">
                    <c:v>2010</c:v>
                  </c:pt>
                  <c:pt idx="67">
                    <c:v>2010</c:v>
                  </c:pt>
                  <c:pt idx="68">
                    <c:v>2010</c:v>
                  </c:pt>
                  <c:pt idx="69">
                    <c:v>2010</c:v>
                  </c:pt>
                  <c:pt idx="70">
                    <c:v>2010</c:v>
                  </c:pt>
                  <c:pt idx="71">
                    <c:v>2010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2013</c:v>
                  </c:pt>
                  <c:pt idx="97">
                    <c:v>2013</c:v>
                  </c:pt>
                  <c:pt idx="98">
                    <c:v>2013</c:v>
                  </c:pt>
                </c:lvl>
              </c:multiLvlStrCache>
            </c:multiLvlStrRef>
          </c:cat>
          <c:val>
            <c:numRef>
              <c:f>'Benzinpreise Historie'!$G$2:$G$100</c:f>
              <c:numCache>
                <c:formatCode>0.0</c:formatCode>
                <c:ptCount val="99"/>
                <c:pt idx="0">
                  <c:v>65.5</c:v>
                </c:pt>
                <c:pt idx="1">
                  <c:v>65.5</c:v>
                </c:pt>
                <c:pt idx="2">
                  <c:v>65.5</c:v>
                </c:pt>
                <c:pt idx="3">
                  <c:v>65.5</c:v>
                </c:pt>
                <c:pt idx="4">
                  <c:v>65.5</c:v>
                </c:pt>
                <c:pt idx="5">
                  <c:v>65.5</c:v>
                </c:pt>
                <c:pt idx="6">
                  <c:v>65.5</c:v>
                </c:pt>
                <c:pt idx="7">
                  <c:v>65.5</c:v>
                </c:pt>
                <c:pt idx="8">
                  <c:v>65.5</c:v>
                </c:pt>
                <c:pt idx="9">
                  <c:v>65.5</c:v>
                </c:pt>
                <c:pt idx="10">
                  <c:v>65.5</c:v>
                </c:pt>
                <c:pt idx="11">
                  <c:v>65.5</c:v>
                </c:pt>
                <c:pt idx="12">
                  <c:v>65.5</c:v>
                </c:pt>
                <c:pt idx="13">
                  <c:v>65.5</c:v>
                </c:pt>
                <c:pt idx="14">
                  <c:v>65.5</c:v>
                </c:pt>
                <c:pt idx="15">
                  <c:v>65.5</c:v>
                </c:pt>
                <c:pt idx="16">
                  <c:v>65.5</c:v>
                </c:pt>
                <c:pt idx="17">
                  <c:v>65.5</c:v>
                </c:pt>
                <c:pt idx="18">
                  <c:v>65.5</c:v>
                </c:pt>
                <c:pt idx="19">
                  <c:v>65.5</c:v>
                </c:pt>
                <c:pt idx="20">
                  <c:v>65.5</c:v>
                </c:pt>
                <c:pt idx="21">
                  <c:v>65.5</c:v>
                </c:pt>
                <c:pt idx="22">
                  <c:v>65.5</c:v>
                </c:pt>
                <c:pt idx="23">
                  <c:v>65.5</c:v>
                </c:pt>
                <c:pt idx="24">
                  <c:v>65.5</c:v>
                </c:pt>
                <c:pt idx="25">
                  <c:v>65.5</c:v>
                </c:pt>
                <c:pt idx="26">
                  <c:v>65.5</c:v>
                </c:pt>
                <c:pt idx="27">
                  <c:v>65.5</c:v>
                </c:pt>
                <c:pt idx="28">
                  <c:v>65.5</c:v>
                </c:pt>
                <c:pt idx="29">
                  <c:v>65.5</c:v>
                </c:pt>
                <c:pt idx="30">
                  <c:v>65.5</c:v>
                </c:pt>
                <c:pt idx="31">
                  <c:v>65.5</c:v>
                </c:pt>
                <c:pt idx="32">
                  <c:v>65.5</c:v>
                </c:pt>
                <c:pt idx="33">
                  <c:v>65.5</c:v>
                </c:pt>
                <c:pt idx="34">
                  <c:v>65.5</c:v>
                </c:pt>
                <c:pt idx="35">
                  <c:v>65.5</c:v>
                </c:pt>
                <c:pt idx="36">
                  <c:v>65.5</c:v>
                </c:pt>
                <c:pt idx="37">
                  <c:v>65.5</c:v>
                </c:pt>
                <c:pt idx="38">
                  <c:v>65.5</c:v>
                </c:pt>
                <c:pt idx="39">
                  <c:v>65.5</c:v>
                </c:pt>
                <c:pt idx="40">
                  <c:v>65.5</c:v>
                </c:pt>
                <c:pt idx="41">
                  <c:v>65.5</c:v>
                </c:pt>
                <c:pt idx="42">
                  <c:v>65.5</c:v>
                </c:pt>
                <c:pt idx="43">
                  <c:v>65.5</c:v>
                </c:pt>
                <c:pt idx="44">
                  <c:v>65.5</c:v>
                </c:pt>
                <c:pt idx="45">
                  <c:v>65.5</c:v>
                </c:pt>
                <c:pt idx="46">
                  <c:v>65.5</c:v>
                </c:pt>
                <c:pt idx="47">
                  <c:v>65.5</c:v>
                </c:pt>
                <c:pt idx="48">
                  <c:v>65.5</c:v>
                </c:pt>
                <c:pt idx="49">
                  <c:v>65.5</c:v>
                </c:pt>
                <c:pt idx="50">
                  <c:v>65.5</c:v>
                </c:pt>
                <c:pt idx="51">
                  <c:v>65.5</c:v>
                </c:pt>
                <c:pt idx="52">
                  <c:v>65.5</c:v>
                </c:pt>
                <c:pt idx="53">
                  <c:v>65.5</c:v>
                </c:pt>
                <c:pt idx="54">
                  <c:v>65.5</c:v>
                </c:pt>
                <c:pt idx="55">
                  <c:v>65.5</c:v>
                </c:pt>
                <c:pt idx="56">
                  <c:v>65.5</c:v>
                </c:pt>
                <c:pt idx="57">
                  <c:v>65.5</c:v>
                </c:pt>
                <c:pt idx="58">
                  <c:v>65.5</c:v>
                </c:pt>
                <c:pt idx="59">
                  <c:v>65.5</c:v>
                </c:pt>
                <c:pt idx="60">
                  <c:v>65.5</c:v>
                </c:pt>
                <c:pt idx="61">
                  <c:v>65.5</c:v>
                </c:pt>
                <c:pt idx="62">
                  <c:v>65.5</c:v>
                </c:pt>
                <c:pt idx="63">
                  <c:v>65.5</c:v>
                </c:pt>
                <c:pt idx="64">
                  <c:v>65.5</c:v>
                </c:pt>
                <c:pt idx="65">
                  <c:v>65.5</c:v>
                </c:pt>
                <c:pt idx="66">
                  <c:v>65.5</c:v>
                </c:pt>
                <c:pt idx="67">
                  <c:v>65.5</c:v>
                </c:pt>
                <c:pt idx="68">
                  <c:v>65.5</c:v>
                </c:pt>
                <c:pt idx="69">
                  <c:v>65.5</c:v>
                </c:pt>
                <c:pt idx="70">
                  <c:v>65.5</c:v>
                </c:pt>
                <c:pt idx="71">
                  <c:v>65.5</c:v>
                </c:pt>
                <c:pt idx="72">
                  <c:v>65.5</c:v>
                </c:pt>
                <c:pt idx="73">
                  <c:v>65.5</c:v>
                </c:pt>
                <c:pt idx="74">
                  <c:v>65.5</c:v>
                </c:pt>
                <c:pt idx="75">
                  <c:v>65.5</c:v>
                </c:pt>
                <c:pt idx="76">
                  <c:v>65.5</c:v>
                </c:pt>
                <c:pt idx="77">
                  <c:v>65.5</c:v>
                </c:pt>
                <c:pt idx="78">
                  <c:v>65.5</c:v>
                </c:pt>
                <c:pt idx="79">
                  <c:v>65.5</c:v>
                </c:pt>
                <c:pt idx="80">
                  <c:v>65.5</c:v>
                </c:pt>
                <c:pt idx="81">
                  <c:v>65.5</c:v>
                </c:pt>
                <c:pt idx="82">
                  <c:v>65.5</c:v>
                </c:pt>
                <c:pt idx="83">
                  <c:v>65.5</c:v>
                </c:pt>
                <c:pt idx="84">
                  <c:v>65.5</c:v>
                </c:pt>
                <c:pt idx="85">
                  <c:v>65.5</c:v>
                </c:pt>
                <c:pt idx="86">
                  <c:v>65.5</c:v>
                </c:pt>
                <c:pt idx="87">
                  <c:v>65.5</c:v>
                </c:pt>
                <c:pt idx="88">
                  <c:v>65.5</c:v>
                </c:pt>
                <c:pt idx="89">
                  <c:v>65.5</c:v>
                </c:pt>
                <c:pt idx="90">
                  <c:v>65.5</c:v>
                </c:pt>
                <c:pt idx="91">
                  <c:v>65.5</c:v>
                </c:pt>
                <c:pt idx="92">
                  <c:v>65.5</c:v>
                </c:pt>
                <c:pt idx="93">
                  <c:v>65.5</c:v>
                </c:pt>
                <c:pt idx="94">
                  <c:v>65.5</c:v>
                </c:pt>
                <c:pt idx="95">
                  <c:v>65.5</c:v>
                </c:pt>
                <c:pt idx="96">
                  <c:v>65.5</c:v>
                </c:pt>
                <c:pt idx="97">
                  <c:v>65.5</c:v>
                </c:pt>
                <c:pt idx="98">
                  <c:v>65.5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45-5E4B-9FD1-9067C578C7B1}"/>
            </c:ext>
          </c:extLst>
        </c:ser>
        <c:ser>
          <c:idx val="1"/>
          <c:order val="2"/>
          <c:tx>
            <c:strRef>
              <c:f>'Benzinpreise Historie'!$E$1</c:f>
              <c:strCache>
                <c:ptCount val="1"/>
                <c:pt idx="0">
                  <c:v>Produktenpreis</c:v>
                </c:pt>
              </c:strCache>
            </c:strRef>
          </c:tx>
          <c:invertIfNegative val="0"/>
          <c:cat>
            <c:multiLvlStrRef>
              <c:f>'Benzinpreise Historie'!$B$2:$C$100</c:f>
              <c:multiLvlStrCache>
                <c:ptCount val="99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  <c:pt idx="51">
                    <c:v>Apr</c:v>
                  </c:pt>
                  <c:pt idx="52">
                    <c:v>Mai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Sept</c:v>
                  </c:pt>
                  <c:pt idx="57">
                    <c:v>Okt</c:v>
                  </c:pt>
                  <c:pt idx="58">
                    <c:v>Nov</c:v>
                  </c:pt>
                  <c:pt idx="59">
                    <c:v>Dez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Mrz</c:v>
                  </c:pt>
                  <c:pt idx="63">
                    <c:v>Apr</c:v>
                  </c:pt>
                  <c:pt idx="64">
                    <c:v>Mai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Sept</c:v>
                  </c:pt>
                  <c:pt idx="69">
                    <c:v>Okt</c:v>
                  </c:pt>
                  <c:pt idx="70">
                    <c:v>Nov</c:v>
                  </c:pt>
                  <c:pt idx="71">
                    <c:v>Dez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Mrz</c:v>
                  </c:pt>
                  <c:pt idx="75">
                    <c:v>Apr</c:v>
                  </c:pt>
                  <c:pt idx="76">
                    <c:v>Mai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Sept</c:v>
                  </c:pt>
                  <c:pt idx="81">
                    <c:v>Okt</c:v>
                  </c:pt>
                  <c:pt idx="82">
                    <c:v>Nov</c:v>
                  </c:pt>
                  <c:pt idx="83">
                    <c:v>Dez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Mrz</c:v>
                  </c:pt>
                  <c:pt idx="87">
                    <c:v>Apr</c:v>
                  </c:pt>
                  <c:pt idx="88">
                    <c:v>Mai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Sept</c:v>
                  </c:pt>
                  <c:pt idx="93">
                    <c:v>Okt</c:v>
                  </c:pt>
                  <c:pt idx="94">
                    <c:v>Nov</c:v>
                  </c:pt>
                  <c:pt idx="95">
                    <c:v>Dez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Mrz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2007</c:v>
                  </c:pt>
                  <c:pt idx="28">
                    <c:v>2007</c:v>
                  </c:pt>
                  <c:pt idx="29">
                    <c:v>2007</c:v>
                  </c:pt>
                  <c:pt idx="30">
                    <c:v>2007</c:v>
                  </c:pt>
                  <c:pt idx="31">
                    <c:v>2007</c:v>
                  </c:pt>
                  <c:pt idx="32">
                    <c:v>2007</c:v>
                  </c:pt>
                  <c:pt idx="33">
                    <c:v>2007</c:v>
                  </c:pt>
                  <c:pt idx="34">
                    <c:v>2007</c:v>
                  </c:pt>
                  <c:pt idx="35">
                    <c:v>2007</c:v>
                  </c:pt>
                  <c:pt idx="36">
                    <c:v>2008</c:v>
                  </c:pt>
                  <c:pt idx="37">
                    <c:v>2008</c:v>
                  </c:pt>
                  <c:pt idx="38">
                    <c:v>2008</c:v>
                  </c:pt>
                  <c:pt idx="39">
                    <c:v>2008</c:v>
                  </c:pt>
                  <c:pt idx="40">
                    <c:v>2008</c:v>
                  </c:pt>
                  <c:pt idx="41">
                    <c:v>2008</c:v>
                  </c:pt>
                  <c:pt idx="42">
                    <c:v>2008</c:v>
                  </c:pt>
                  <c:pt idx="43">
                    <c:v>2008</c:v>
                  </c:pt>
                  <c:pt idx="44">
                    <c:v>2008</c:v>
                  </c:pt>
                  <c:pt idx="45">
                    <c:v>2008</c:v>
                  </c:pt>
                  <c:pt idx="46">
                    <c:v>2008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2009</c:v>
                  </c:pt>
                  <c:pt idx="50">
                    <c:v>2009</c:v>
                  </c:pt>
                  <c:pt idx="51">
                    <c:v>2009</c:v>
                  </c:pt>
                  <c:pt idx="52">
                    <c:v>2009</c:v>
                  </c:pt>
                  <c:pt idx="53">
                    <c:v>2009</c:v>
                  </c:pt>
                  <c:pt idx="54">
                    <c:v>2009</c:v>
                  </c:pt>
                  <c:pt idx="55">
                    <c:v>2009</c:v>
                  </c:pt>
                  <c:pt idx="56">
                    <c:v>2009</c:v>
                  </c:pt>
                  <c:pt idx="57">
                    <c:v>2009</c:v>
                  </c:pt>
                  <c:pt idx="58">
                    <c:v>2009</c:v>
                  </c:pt>
                  <c:pt idx="59">
                    <c:v>2009</c:v>
                  </c:pt>
                  <c:pt idx="60">
                    <c:v>2010</c:v>
                  </c:pt>
                  <c:pt idx="61">
                    <c:v>2010</c:v>
                  </c:pt>
                  <c:pt idx="62">
                    <c:v>2010</c:v>
                  </c:pt>
                  <c:pt idx="63">
                    <c:v>2010</c:v>
                  </c:pt>
                  <c:pt idx="64">
                    <c:v>2010</c:v>
                  </c:pt>
                  <c:pt idx="65">
                    <c:v>2010</c:v>
                  </c:pt>
                  <c:pt idx="66">
                    <c:v>2010</c:v>
                  </c:pt>
                  <c:pt idx="67">
                    <c:v>2010</c:v>
                  </c:pt>
                  <c:pt idx="68">
                    <c:v>2010</c:v>
                  </c:pt>
                  <c:pt idx="69">
                    <c:v>2010</c:v>
                  </c:pt>
                  <c:pt idx="70">
                    <c:v>2010</c:v>
                  </c:pt>
                  <c:pt idx="71">
                    <c:v>2010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2013</c:v>
                  </c:pt>
                  <c:pt idx="97">
                    <c:v>2013</c:v>
                  </c:pt>
                  <c:pt idx="98">
                    <c:v>2013</c:v>
                  </c:pt>
                </c:lvl>
              </c:multiLvlStrCache>
            </c:multiLvlStrRef>
          </c:cat>
          <c:val>
            <c:numRef>
              <c:f>'Benzinpreise Historie'!$E$2:$E$100</c:f>
              <c:numCache>
                <c:formatCode>0.0</c:formatCode>
                <c:ptCount val="99"/>
                <c:pt idx="0">
                  <c:v>23.1</c:v>
                </c:pt>
                <c:pt idx="1">
                  <c:v>24.5</c:v>
                </c:pt>
                <c:pt idx="2">
                  <c:v>27</c:v>
                </c:pt>
                <c:pt idx="3">
                  <c:v>30.3</c:v>
                </c:pt>
                <c:pt idx="4">
                  <c:v>28.4</c:v>
                </c:pt>
                <c:pt idx="5">
                  <c:v>32.5</c:v>
                </c:pt>
                <c:pt idx="6">
                  <c:v>36.200000000000003</c:v>
                </c:pt>
                <c:pt idx="7">
                  <c:v>39.4</c:v>
                </c:pt>
                <c:pt idx="8">
                  <c:v>43.1</c:v>
                </c:pt>
                <c:pt idx="9">
                  <c:v>36.5</c:v>
                </c:pt>
                <c:pt idx="10">
                  <c:v>32.4</c:v>
                </c:pt>
                <c:pt idx="11">
                  <c:v>32.6</c:v>
                </c:pt>
                <c:pt idx="12">
                  <c:v>35.9</c:v>
                </c:pt>
                <c:pt idx="13">
                  <c:v>33.5</c:v>
                </c:pt>
                <c:pt idx="14">
                  <c:v>16.3</c:v>
                </c:pt>
                <c:pt idx="15">
                  <c:v>42.2</c:v>
                </c:pt>
                <c:pt idx="16">
                  <c:v>41.8</c:v>
                </c:pt>
                <c:pt idx="17">
                  <c:v>43</c:v>
                </c:pt>
                <c:pt idx="18">
                  <c:v>46</c:v>
                </c:pt>
                <c:pt idx="19">
                  <c:v>41.2</c:v>
                </c:pt>
                <c:pt idx="20">
                  <c:v>32.5</c:v>
                </c:pt>
                <c:pt idx="21">
                  <c:v>30.4</c:v>
                </c:pt>
                <c:pt idx="22">
                  <c:v>30.5</c:v>
                </c:pt>
                <c:pt idx="23">
                  <c:v>31.3</c:v>
                </c:pt>
                <c:pt idx="24">
                  <c:v>28.5</c:v>
                </c:pt>
                <c:pt idx="25">
                  <c:v>31.2</c:v>
                </c:pt>
                <c:pt idx="26">
                  <c:v>35.5</c:v>
                </c:pt>
                <c:pt idx="27">
                  <c:v>39.700000000000003</c:v>
                </c:pt>
                <c:pt idx="28">
                  <c:v>42.3</c:v>
                </c:pt>
                <c:pt idx="29">
                  <c:v>41.7</c:v>
                </c:pt>
                <c:pt idx="30">
                  <c:v>40</c:v>
                </c:pt>
                <c:pt idx="31">
                  <c:v>37.6</c:v>
                </c:pt>
                <c:pt idx="32">
                  <c:v>38.799999999999997</c:v>
                </c:pt>
                <c:pt idx="33">
                  <c:v>38.9</c:v>
                </c:pt>
                <c:pt idx="34">
                  <c:v>42.2</c:v>
                </c:pt>
                <c:pt idx="35">
                  <c:v>41.3</c:v>
                </c:pt>
                <c:pt idx="36">
                  <c:v>40.799999999999997</c:v>
                </c:pt>
                <c:pt idx="37">
                  <c:v>42.6</c:v>
                </c:pt>
                <c:pt idx="38">
                  <c:v>42.4</c:v>
                </c:pt>
                <c:pt idx="39">
                  <c:v>45.8</c:v>
                </c:pt>
                <c:pt idx="40">
                  <c:v>51.4</c:v>
                </c:pt>
                <c:pt idx="41">
                  <c:v>54.6</c:v>
                </c:pt>
                <c:pt idx="42">
                  <c:v>52.6</c:v>
                </c:pt>
                <c:pt idx="43">
                  <c:v>49.1</c:v>
                </c:pt>
                <c:pt idx="44">
                  <c:v>47.5</c:v>
                </c:pt>
                <c:pt idx="45">
                  <c:v>34.9</c:v>
                </c:pt>
                <c:pt idx="46">
                  <c:v>24.8</c:v>
                </c:pt>
                <c:pt idx="47">
                  <c:v>18.7</c:v>
                </c:pt>
                <c:pt idx="48">
                  <c:v>22</c:v>
                </c:pt>
                <c:pt idx="49">
                  <c:v>23.9</c:v>
                </c:pt>
                <c:pt idx="50">
                  <c:v>25.1</c:v>
                </c:pt>
                <c:pt idx="51">
                  <c:v>27.5</c:v>
                </c:pt>
                <c:pt idx="52">
                  <c:v>32.299999999999997</c:v>
                </c:pt>
                <c:pt idx="53">
                  <c:v>36.1</c:v>
                </c:pt>
                <c:pt idx="54">
                  <c:v>32.299999999999997</c:v>
                </c:pt>
                <c:pt idx="55">
                  <c:v>36.1</c:v>
                </c:pt>
                <c:pt idx="56">
                  <c:v>32</c:v>
                </c:pt>
                <c:pt idx="57">
                  <c:v>33.1</c:v>
                </c:pt>
                <c:pt idx="58">
                  <c:v>34.700000000000003</c:v>
                </c:pt>
                <c:pt idx="59">
                  <c:v>33.9</c:v>
                </c:pt>
                <c:pt idx="60">
                  <c:v>36.799999999999997</c:v>
                </c:pt>
                <c:pt idx="61">
                  <c:v>37.700000000000003</c:v>
                </c:pt>
                <c:pt idx="62">
                  <c:v>42.2</c:v>
                </c:pt>
                <c:pt idx="63">
                  <c:v>44</c:v>
                </c:pt>
                <c:pt idx="64">
                  <c:v>42.4</c:v>
                </c:pt>
                <c:pt idx="65">
                  <c:v>42.6</c:v>
                </c:pt>
                <c:pt idx="66">
                  <c:v>40.200000000000003</c:v>
                </c:pt>
                <c:pt idx="67">
                  <c:v>39.799999999999997</c:v>
                </c:pt>
                <c:pt idx="68">
                  <c:v>39.9</c:v>
                </c:pt>
                <c:pt idx="69">
                  <c:v>40.700000000000003</c:v>
                </c:pt>
                <c:pt idx="70">
                  <c:v>42</c:v>
                </c:pt>
                <c:pt idx="71">
                  <c:v>47</c:v>
                </c:pt>
                <c:pt idx="72">
                  <c:v>48</c:v>
                </c:pt>
                <c:pt idx="73">
                  <c:v>49.1</c:v>
                </c:pt>
                <c:pt idx="74">
                  <c:v>52.8</c:v>
                </c:pt>
                <c:pt idx="75">
                  <c:v>57.3</c:v>
                </c:pt>
                <c:pt idx="76">
                  <c:v>55.6</c:v>
                </c:pt>
                <c:pt idx="77">
                  <c:v>52.1</c:v>
                </c:pt>
                <c:pt idx="78">
                  <c:v>55.1</c:v>
                </c:pt>
                <c:pt idx="79">
                  <c:v>52.4</c:v>
                </c:pt>
                <c:pt idx="80">
                  <c:v>55</c:v>
                </c:pt>
                <c:pt idx="81">
                  <c:v>52</c:v>
                </c:pt>
                <c:pt idx="82">
                  <c:v>50.6</c:v>
                </c:pt>
                <c:pt idx="83">
                  <c:v>51.9</c:v>
                </c:pt>
                <c:pt idx="84">
                  <c:v>56.1</c:v>
                </c:pt>
                <c:pt idx="85">
                  <c:v>59.23</c:v>
                </c:pt>
                <c:pt idx="86">
                  <c:v>64.89</c:v>
                </c:pt>
                <c:pt idx="87">
                  <c:v>65.16</c:v>
                </c:pt>
                <c:pt idx="88">
                  <c:v>59.34</c:v>
                </c:pt>
                <c:pt idx="89">
                  <c:v>54.9</c:v>
                </c:pt>
                <c:pt idx="90">
                  <c:v>59.77</c:v>
                </c:pt>
                <c:pt idx="91">
                  <c:v>65.290000000000006</c:v>
                </c:pt>
                <c:pt idx="92">
                  <c:v>65.06</c:v>
                </c:pt>
                <c:pt idx="93">
                  <c:v>59.26</c:v>
                </c:pt>
                <c:pt idx="94">
                  <c:v>55.54</c:v>
                </c:pt>
                <c:pt idx="95">
                  <c:v>55.47</c:v>
                </c:pt>
                <c:pt idx="96">
                  <c:v>57.3</c:v>
                </c:pt>
                <c:pt idx="97">
                  <c:v>61.13</c:v>
                </c:pt>
                <c:pt idx="98">
                  <c:v>60.01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45-5E4B-9FD1-9067C578C7B1}"/>
            </c:ext>
          </c:extLst>
        </c:ser>
        <c:ser>
          <c:idx val="2"/>
          <c:order val="3"/>
          <c:tx>
            <c:strRef>
              <c:f>'Benzinpreise Historie'!$F$1</c:f>
              <c:strCache>
                <c:ptCount val="1"/>
                <c:pt idx="0">
                  <c:v>Deckungsbeitrag</c:v>
                </c:pt>
              </c:strCache>
            </c:strRef>
          </c:tx>
          <c:invertIfNegative val="0"/>
          <c:cat>
            <c:multiLvlStrRef>
              <c:f>'Benzinpreise Historie'!$B$2:$C$100</c:f>
              <c:multiLvlStrCache>
                <c:ptCount val="99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  <c:pt idx="51">
                    <c:v>Apr</c:v>
                  </c:pt>
                  <c:pt idx="52">
                    <c:v>Mai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Sept</c:v>
                  </c:pt>
                  <c:pt idx="57">
                    <c:v>Okt</c:v>
                  </c:pt>
                  <c:pt idx="58">
                    <c:v>Nov</c:v>
                  </c:pt>
                  <c:pt idx="59">
                    <c:v>Dez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Mrz</c:v>
                  </c:pt>
                  <c:pt idx="63">
                    <c:v>Apr</c:v>
                  </c:pt>
                  <c:pt idx="64">
                    <c:v>Mai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Sept</c:v>
                  </c:pt>
                  <c:pt idx="69">
                    <c:v>Okt</c:v>
                  </c:pt>
                  <c:pt idx="70">
                    <c:v>Nov</c:v>
                  </c:pt>
                  <c:pt idx="71">
                    <c:v>Dez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Mrz</c:v>
                  </c:pt>
                  <c:pt idx="75">
                    <c:v>Apr</c:v>
                  </c:pt>
                  <c:pt idx="76">
                    <c:v>Mai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Sept</c:v>
                  </c:pt>
                  <c:pt idx="81">
                    <c:v>Okt</c:v>
                  </c:pt>
                  <c:pt idx="82">
                    <c:v>Nov</c:v>
                  </c:pt>
                  <c:pt idx="83">
                    <c:v>Dez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Mrz</c:v>
                  </c:pt>
                  <c:pt idx="87">
                    <c:v>Apr</c:v>
                  </c:pt>
                  <c:pt idx="88">
                    <c:v>Mai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Sept</c:v>
                  </c:pt>
                  <c:pt idx="93">
                    <c:v>Okt</c:v>
                  </c:pt>
                  <c:pt idx="94">
                    <c:v>Nov</c:v>
                  </c:pt>
                  <c:pt idx="95">
                    <c:v>Dez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Mrz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2007</c:v>
                  </c:pt>
                  <c:pt idx="28">
                    <c:v>2007</c:v>
                  </c:pt>
                  <c:pt idx="29">
                    <c:v>2007</c:v>
                  </c:pt>
                  <c:pt idx="30">
                    <c:v>2007</c:v>
                  </c:pt>
                  <c:pt idx="31">
                    <c:v>2007</c:v>
                  </c:pt>
                  <c:pt idx="32">
                    <c:v>2007</c:v>
                  </c:pt>
                  <c:pt idx="33">
                    <c:v>2007</c:v>
                  </c:pt>
                  <c:pt idx="34">
                    <c:v>2007</c:v>
                  </c:pt>
                  <c:pt idx="35">
                    <c:v>2007</c:v>
                  </c:pt>
                  <c:pt idx="36">
                    <c:v>2008</c:v>
                  </c:pt>
                  <c:pt idx="37">
                    <c:v>2008</c:v>
                  </c:pt>
                  <c:pt idx="38">
                    <c:v>2008</c:v>
                  </c:pt>
                  <c:pt idx="39">
                    <c:v>2008</c:v>
                  </c:pt>
                  <c:pt idx="40">
                    <c:v>2008</c:v>
                  </c:pt>
                  <c:pt idx="41">
                    <c:v>2008</c:v>
                  </c:pt>
                  <c:pt idx="42">
                    <c:v>2008</c:v>
                  </c:pt>
                  <c:pt idx="43">
                    <c:v>2008</c:v>
                  </c:pt>
                  <c:pt idx="44">
                    <c:v>2008</c:v>
                  </c:pt>
                  <c:pt idx="45">
                    <c:v>2008</c:v>
                  </c:pt>
                  <c:pt idx="46">
                    <c:v>2008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2009</c:v>
                  </c:pt>
                  <c:pt idx="50">
                    <c:v>2009</c:v>
                  </c:pt>
                  <c:pt idx="51">
                    <c:v>2009</c:v>
                  </c:pt>
                  <c:pt idx="52">
                    <c:v>2009</c:v>
                  </c:pt>
                  <c:pt idx="53">
                    <c:v>2009</c:v>
                  </c:pt>
                  <c:pt idx="54">
                    <c:v>2009</c:v>
                  </c:pt>
                  <c:pt idx="55">
                    <c:v>2009</c:v>
                  </c:pt>
                  <c:pt idx="56">
                    <c:v>2009</c:v>
                  </c:pt>
                  <c:pt idx="57">
                    <c:v>2009</c:v>
                  </c:pt>
                  <c:pt idx="58">
                    <c:v>2009</c:v>
                  </c:pt>
                  <c:pt idx="59">
                    <c:v>2009</c:v>
                  </c:pt>
                  <c:pt idx="60">
                    <c:v>2010</c:v>
                  </c:pt>
                  <c:pt idx="61">
                    <c:v>2010</c:v>
                  </c:pt>
                  <c:pt idx="62">
                    <c:v>2010</c:v>
                  </c:pt>
                  <c:pt idx="63">
                    <c:v>2010</c:v>
                  </c:pt>
                  <c:pt idx="64">
                    <c:v>2010</c:v>
                  </c:pt>
                  <c:pt idx="65">
                    <c:v>2010</c:v>
                  </c:pt>
                  <c:pt idx="66">
                    <c:v>2010</c:v>
                  </c:pt>
                  <c:pt idx="67">
                    <c:v>2010</c:v>
                  </c:pt>
                  <c:pt idx="68">
                    <c:v>2010</c:v>
                  </c:pt>
                  <c:pt idx="69">
                    <c:v>2010</c:v>
                  </c:pt>
                  <c:pt idx="70">
                    <c:v>2010</c:v>
                  </c:pt>
                  <c:pt idx="71">
                    <c:v>2010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2013</c:v>
                  </c:pt>
                  <c:pt idx="97">
                    <c:v>2013</c:v>
                  </c:pt>
                  <c:pt idx="98">
                    <c:v>2013</c:v>
                  </c:pt>
                </c:lvl>
              </c:multiLvlStrCache>
            </c:multiLvlStrRef>
          </c:cat>
          <c:val>
            <c:numRef>
              <c:f>'Benzinpreise Historie'!$F$2:$F$100</c:f>
              <c:numCache>
                <c:formatCode>0.0</c:formatCode>
                <c:ptCount val="99"/>
                <c:pt idx="0">
                  <c:v>6.1</c:v>
                </c:pt>
                <c:pt idx="1">
                  <c:v>6.2</c:v>
                </c:pt>
                <c:pt idx="2">
                  <c:v>6.7</c:v>
                </c:pt>
                <c:pt idx="3">
                  <c:v>7.4</c:v>
                </c:pt>
                <c:pt idx="4">
                  <c:v>9.1</c:v>
                </c:pt>
                <c:pt idx="5">
                  <c:v>7</c:v>
                </c:pt>
                <c:pt idx="6">
                  <c:v>7.4</c:v>
                </c:pt>
                <c:pt idx="7">
                  <c:v>6.3</c:v>
                </c:pt>
                <c:pt idx="8">
                  <c:v>8.8000000000000007</c:v>
                </c:pt>
                <c:pt idx="9">
                  <c:v>10.5</c:v>
                </c:pt>
                <c:pt idx="10">
                  <c:v>8.6</c:v>
                </c:pt>
                <c:pt idx="11">
                  <c:v>8.6</c:v>
                </c:pt>
                <c:pt idx="12">
                  <c:v>8</c:v>
                </c:pt>
                <c:pt idx="13">
                  <c:v>9.6999999999999993</c:v>
                </c:pt>
                <c:pt idx="14">
                  <c:v>7.5</c:v>
                </c:pt>
                <c:pt idx="15">
                  <c:v>7.9</c:v>
                </c:pt>
                <c:pt idx="16">
                  <c:v>9.1</c:v>
                </c:pt>
                <c:pt idx="17">
                  <c:v>8.1</c:v>
                </c:pt>
                <c:pt idx="18">
                  <c:v>7.7</c:v>
                </c:pt>
                <c:pt idx="19">
                  <c:v>9.8000000000000007</c:v>
                </c:pt>
                <c:pt idx="20">
                  <c:v>9.4</c:v>
                </c:pt>
                <c:pt idx="21">
                  <c:v>8.8000000000000007</c:v>
                </c:pt>
                <c:pt idx="22">
                  <c:v>8.1999999999999993</c:v>
                </c:pt>
                <c:pt idx="23">
                  <c:v>8.6</c:v>
                </c:pt>
                <c:pt idx="24">
                  <c:v>10</c:v>
                </c:pt>
                <c:pt idx="25">
                  <c:v>8.3000000000000007</c:v>
                </c:pt>
                <c:pt idx="26">
                  <c:v>8.3000000000000007</c:v>
                </c:pt>
                <c:pt idx="27">
                  <c:v>7.7</c:v>
                </c:pt>
                <c:pt idx="28">
                  <c:v>9</c:v>
                </c:pt>
                <c:pt idx="29">
                  <c:v>9</c:v>
                </c:pt>
                <c:pt idx="30">
                  <c:v>10.6</c:v>
                </c:pt>
                <c:pt idx="31">
                  <c:v>10.199999999999999</c:v>
                </c:pt>
                <c:pt idx="32">
                  <c:v>10.5</c:v>
                </c:pt>
                <c:pt idx="33">
                  <c:v>9.4</c:v>
                </c:pt>
                <c:pt idx="34">
                  <c:v>11.6</c:v>
                </c:pt>
                <c:pt idx="35">
                  <c:v>7</c:v>
                </c:pt>
                <c:pt idx="36">
                  <c:v>9.1999999999999993</c:v>
                </c:pt>
                <c:pt idx="37">
                  <c:v>8.6</c:v>
                </c:pt>
                <c:pt idx="38">
                  <c:v>11.3</c:v>
                </c:pt>
                <c:pt idx="39">
                  <c:v>8.8000000000000007</c:v>
                </c:pt>
                <c:pt idx="40">
                  <c:v>7.9</c:v>
                </c:pt>
                <c:pt idx="41">
                  <c:v>7.9</c:v>
                </c:pt>
                <c:pt idx="42">
                  <c:v>10.4</c:v>
                </c:pt>
                <c:pt idx="43">
                  <c:v>8</c:v>
                </c:pt>
                <c:pt idx="44">
                  <c:v>10.199999999999999</c:v>
                </c:pt>
                <c:pt idx="45">
                  <c:v>12.9</c:v>
                </c:pt>
                <c:pt idx="46">
                  <c:v>12.1</c:v>
                </c:pt>
                <c:pt idx="47">
                  <c:v>11.6</c:v>
                </c:pt>
                <c:pt idx="48">
                  <c:v>11</c:v>
                </c:pt>
                <c:pt idx="49">
                  <c:v>12.3</c:v>
                </c:pt>
                <c:pt idx="50">
                  <c:v>9.8000000000000007</c:v>
                </c:pt>
                <c:pt idx="51">
                  <c:v>11.7</c:v>
                </c:pt>
                <c:pt idx="52">
                  <c:v>9.6999999999999993</c:v>
                </c:pt>
                <c:pt idx="53">
                  <c:v>11.4</c:v>
                </c:pt>
                <c:pt idx="54">
                  <c:v>10.1</c:v>
                </c:pt>
                <c:pt idx="55">
                  <c:v>11.3</c:v>
                </c:pt>
                <c:pt idx="56">
                  <c:v>12.2</c:v>
                </c:pt>
                <c:pt idx="57">
                  <c:v>10.7</c:v>
                </c:pt>
                <c:pt idx="58">
                  <c:v>12.1</c:v>
                </c:pt>
                <c:pt idx="59">
                  <c:v>11.7</c:v>
                </c:pt>
                <c:pt idx="60">
                  <c:v>12.8</c:v>
                </c:pt>
                <c:pt idx="61">
                  <c:v>10.199999999999999</c:v>
                </c:pt>
                <c:pt idx="62">
                  <c:v>12.1</c:v>
                </c:pt>
                <c:pt idx="63">
                  <c:v>12.1</c:v>
                </c:pt>
                <c:pt idx="64">
                  <c:v>13.4</c:v>
                </c:pt>
                <c:pt idx="65">
                  <c:v>12.7</c:v>
                </c:pt>
                <c:pt idx="66">
                  <c:v>13.2</c:v>
                </c:pt>
                <c:pt idx="67">
                  <c:v>12.5</c:v>
                </c:pt>
                <c:pt idx="68">
                  <c:v>12.6</c:v>
                </c:pt>
                <c:pt idx="69">
                  <c:v>11.7</c:v>
                </c:pt>
                <c:pt idx="70">
                  <c:v>11.2</c:v>
                </c:pt>
                <c:pt idx="71">
                  <c:v>11.1</c:v>
                </c:pt>
                <c:pt idx="72">
                  <c:v>11.9</c:v>
                </c:pt>
                <c:pt idx="73">
                  <c:v>9.5</c:v>
                </c:pt>
                <c:pt idx="74">
                  <c:v>12.5</c:v>
                </c:pt>
                <c:pt idx="75">
                  <c:v>11.7</c:v>
                </c:pt>
                <c:pt idx="76">
                  <c:v>13.9</c:v>
                </c:pt>
                <c:pt idx="77">
                  <c:v>13.7</c:v>
                </c:pt>
                <c:pt idx="78">
                  <c:v>11.8</c:v>
                </c:pt>
                <c:pt idx="79">
                  <c:v>12</c:v>
                </c:pt>
                <c:pt idx="80">
                  <c:v>13</c:v>
                </c:pt>
                <c:pt idx="81">
                  <c:v>14.2</c:v>
                </c:pt>
                <c:pt idx="82">
                  <c:v>14.3</c:v>
                </c:pt>
                <c:pt idx="83">
                  <c:v>11.2</c:v>
                </c:pt>
                <c:pt idx="84">
                  <c:v>10.89</c:v>
                </c:pt>
                <c:pt idx="85">
                  <c:v>11.08</c:v>
                </c:pt>
                <c:pt idx="86">
                  <c:v>11</c:v>
                </c:pt>
                <c:pt idx="87">
                  <c:v>13.17</c:v>
                </c:pt>
                <c:pt idx="88">
                  <c:v>14.06</c:v>
                </c:pt>
                <c:pt idx="89">
                  <c:v>14.59</c:v>
                </c:pt>
                <c:pt idx="90">
                  <c:v>11.37</c:v>
                </c:pt>
                <c:pt idx="91">
                  <c:v>11.6</c:v>
                </c:pt>
                <c:pt idx="92">
                  <c:v>15.43</c:v>
                </c:pt>
                <c:pt idx="93">
                  <c:v>14.65</c:v>
                </c:pt>
                <c:pt idx="94">
                  <c:v>13.64</c:v>
                </c:pt>
                <c:pt idx="95">
                  <c:v>12.27</c:v>
                </c:pt>
                <c:pt idx="96">
                  <c:v>10.55</c:v>
                </c:pt>
                <c:pt idx="97">
                  <c:v>10.41</c:v>
                </c:pt>
                <c:pt idx="98">
                  <c:v>6.89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45-5E4B-9FD1-9067C578C7B1}"/>
            </c:ext>
          </c:extLst>
        </c:ser>
        <c:ser>
          <c:idx val="4"/>
          <c:order val="4"/>
          <c:tx>
            <c:strRef>
              <c:f>'Benzinpreise Historie'!$H$1</c:f>
              <c:strCache>
                <c:ptCount val="1"/>
                <c:pt idx="0">
                  <c:v>MwSt</c:v>
                </c:pt>
              </c:strCache>
            </c:strRef>
          </c:tx>
          <c:invertIfNegative val="0"/>
          <c:cat>
            <c:multiLvlStrRef>
              <c:f>'Benzinpreise Historie'!$B$2:$C$100</c:f>
              <c:multiLvlStrCache>
                <c:ptCount val="99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  <c:pt idx="51">
                    <c:v>Apr</c:v>
                  </c:pt>
                  <c:pt idx="52">
                    <c:v>Mai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Sept</c:v>
                  </c:pt>
                  <c:pt idx="57">
                    <c:v>Okt</c:v>
                  </c:pt>
                  <c:pt idx="58">
                    <c:v>Nov</c:v>
                  </c:pt>
                  <c:pt idx="59">
                    <c:v>Dez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Mrz</c:v>
                  </c:pt>
                  <c:pt idx="63">
                    <c:v>Apr</c:v>
                  </c:pt>
                  <c:pt idx="64">
                    <c:v>Mai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Sept</c:v>
                  </c:pt>
                  <c:pt idx="69">
                    <c:v>Okt</c:v>
                  </c:pt>
                  <c:pt idx="70">
                    <c:v>Nov</c:v>
                  </c:pt>
                  <c:pt idx="71">
                    <c:v>Dez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Mrz</c:v>
                  </c:pt>
                  <c:pt idx="75">
                    <c:v>Apr</c:v>
                  </c:pt>
                  <c:pt idx="76">
                    <c:v>Mai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Sept</c:v>
                  </c:pt>
                  <c:pt idx="81">
                    <c:v>Okt</c:v>
                  </c:pt>
                  <c:pt idx="82">
                    <c:v>Nov</c:v>
                  </c:pt>
                  <c:pt idx="83">
                    <c:v>Dez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Mrz</c:v>
                  </c:pt>
                  <c:pt idx="87">
                    <c:v>Apr</c:v>
                  </c:pt>
                  <c:pt idx="88">
                    <c:v>Mai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Sept</c:v>
                  </c:pt>
                  <c:pt idx="93">
                    <c:v>Okt</c:v>
                  </c:pt>
                  <c:pt idx="94">
                    <c:v>Nov</c:v>
                  </c:pt>
                  <c:pt idx="95">
                    <c:v>Dez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Mrz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2007</c:v>
                  </c:pt>
                  <c:pt idx="28">
                    <c:v>2007</c:v>
                  </c:pt>
                  <c:pt idx="29">
                    <c:v>2007</c:v>
                  </c:pt>
                  <c:pt idx="30">
                    <c:v>2007</c:v>
                  </c:pt>
                  <c:pt idx="31">
                    <c:v>2007</c:v>
                  </c:pt>
                  <c:pt idx="32">
                    <c:v>2007</c:v>
                  </c:pt>
                  <c:pt idx="33">
                    <c:v>2007</c:v>
                  </c:pt>
                  <c:pt idx="34">
                    <c:v>2007</c:v>
                  </c:pt>
                  <c:pt idx="35">
                    <c:v>2007</c:v>
                  </c:pt>
                  <c:pt idx="36">
                    <c:v>2008</c:v>
                  </c:pt>
                  <c:pt idx="37">
                    <c:v>2008</c:v>
                  </c:pt>
                  <c:pt idx="38">
                    <c:v>2008</c:v>
                  </c:pt>
                  <c:pt idx="39">
                    <c:v>2008</c:v>
                  </c:pt>
                  <c:pt idx="40">
                    <c:v>2008</c:v>
                  </c:pt>
                  <c:pt idx="41">
                    <c:v>2008</c:v>
                  </c:pt>
                  <c:pt idx="42">
                    <c:v>2008</c:v>
                  </c:pt>
                  <c:pt idx="43">
                    <c:v>2008</c:v>
                  </c:pt>
                  <c:pt idx="44">
                    <c:v>2008</c:v>
                  </c:pt>
                  <c:pt idx="45">
                    <c:v>2008</c:v>
                  </c:pt>
                  <c:pt idx="46">
                    <c:v>2008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2009</c:v>
                  </c:pt>
                  <c:pt idx="50">
                    <c:v>2009</c:v>
                  </c:pt>
                  <c:pt idx="51">
                    <c:v>2009</c:v>
                  </c:pt>
                  <c:pt idx="52">
                    <c:v>2009</c:v>
                  </c:pt>
                  <c:pt idx="53">
                    <c:v>2009</c:v>
                  </c:pt>
                  <c:pt idx="54">
                    <c:v>2009</c:v>
                  </c:pt>
                  <c:pt idx="55">
                    <c:v>2009</c:v>
                  </c:pt>
                  <c:pt idx="56">
                    <c:v>2009</c:v>
                  </c:pt>
                  <c:pt idx="57">
                    <c:v>2009</c:v>
                  </c:pt>
                  <c:pt idx="58">
                    <c:v>2009</c:v>
                  </c:pt>
                  <c:pt idx="59">
                    <c:v>2009</c:v>
                  </c:pt>
                  <c:pt idx="60">
                    <c:v>2010</c:v>
                  </c:pt>
                  <c:pt idx="61">
                    <c:v>2010</c:v>
                  </c:pt>
                  <c:pt idx="62">
                    <c:v>2010</c:v>
                  </c:pt>
                  <c:pt idx="63">
                    <c:v>2010</c:v>
                  </c:pt>
                  <c:pt idx="64">
                    <c:v>2010</c:v>
                  </c:pt>
                  <c:pt idx="65">
                    <c:v>2010</c:v>
                  </c:pt>
                  <c:pt idx="66">
                    <c:v>2010</c:v>
                  </c:pt>
                  <c:pt idx="67">
                    <c:v>2010</c:v>
                  </c:pt>
                  <c:pt idx="68">
                    <c:v>2010</c:v>
                  </c:pt>
                  <c:pt idx="69">
                    <c:v>2010</c:v>
                  </c:pt>
                  <c:pt idx="70">
                    <c:v>2010</c:v>
                  </c:pt>
                  <c:pt idx="71">
                    <c:v>2010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2013</c:v>
                  </c:pt>
                  <c:pt idx="97">
                    <c:v>2013</c:v>
                  </c:pt>
                  <c:pt idx="98">
                    <c:v>2013</c:v>
                  </c:pt>
                </c:lvl>
              </c:multiLvlStrCache>
            </c:multiLvlStrRef>
          </c:cat>
          <c:val>
            <c:numRef>
              <c:f>'Benzinpreise Historie'!$H$2:$H$100</c:f>
              <c:numCache>
                <c:formatCode>0.0</c:formatCode>
                <c:ptCount val="99"/>
                <c:pt idx="0">
                  <c:v>17.993000000000002</c:v>
                </c:pt>
                <c:pt idx="1">
                  <c:v>18.278000000000002</c:v>
                </c:pt>
                <c:pt idx="2">
                  <c:v>18.848000000000003</c:v>
                </c:pt>
                <c:pt idx="3">
                  <c:v>19.608000000000001</c:v>
                </c:pt>
                <c:pt idx="4">
                  <c:v>19.57</c:v>
                </c:pt>
                <c:pt idx="5">
                  <c:v>19.95</c:v>
                </c:pt>
                <c:pt idx="6">
                  <c:v>20.728999999999999</c:v>
                </c:pt>
                <c:pt idx="7">
                  <c:v>21.127999999999997</c:v>
                </c:pt>
                <c:pt idx="8">
                  <c:v>22.306000000000001</c:v>
                </c:pt>
                <c:pt idx="9">
                  <c:v>21.375</c:v>
                </c:pt>
                <c:pt idx="10">
                  <c:v>20.234999999999999</c:v>
                </c:pt>
                <c:pt idx="11">
                  <c:v>20.273</c:v>
                </c:pt>
                <c:pt idx="12">
                  <c:v>20.786000000000001</c:v>
                </c:pt>
                <c:pt idx="13">
                  <c:v>20.653000000000002</c:v>
                </c:pt>
                <c:pt idx="14">
                  <c:v>16.966999999999999</c:v>
                </c:pt>
                <c:pt idx="15">
                  <c:v>21.963999999999999</c:v>
                </c:pt>
                <c:pt idx="16">
                  <c:v>22.116</c:v>
                </c:pt>
                <c:pt idx="17">
                  <c:v>22.154</c:v>
                </c:pt>
                <c:pt idx="18">
                  <c:v>22.648</c:v>
                </c:pt>
                <c:pt idx="19">
                  <c:v>22.135000000000002</c:v>
                </c:pt>
                <c:pt idx="20">
                  <c:v>20.406000000000002</c:v>
                </c:pt>
                <c:pt idx="21">
                  <c:v>19.893000000000001</c:v>
                </c:pt>
                <c:pt idx="22">
                  <c:v>19.798000000000002</c:v>
                </c:pt>
                <c:pt idx="23">
                  <c:v>20.026</c:v>
                </c:pt>
                <c:pt idx="24">
                  <c:v>19.760000000000002</c:v>
                </c:pt>
                <c:pt idx="25">
                  <c:v>19.95</c:v>
                </c:pt>
                <c:pt idx="26">
                  <c:v>20.766999999999999</c:v>
                </c:pt>
                <c:pt idx="27">
                  <c:v>21.451000000000001</c:v>
                </c:pt>
                <c:pt idx="28">
                  <c:v>22.192</c:v>
                </c:pt>
                <c:pt idx="29">
                  <c:v>22.077999999999999</c:v>
                </c:pt>
                <c:pt idx="30">
                  <c:v>22.058999999999997</c:v>
                </c:pt>
                <c:pt idx="31">
                  <c:v>21.527000000000001</c:v>
                </c:pt>
                <c:pt idx="32">
                  <c:v>21.812000000000001</c:v>
                </c:pt>
                <c:pt idx="33">
                  <c:v>21.622</c:v>
                </c:pt>
                <c:pt idx="34">
                  <c:v>22.667000000000002</c:v>
                </c:pt>
                <c:pt idx="35">
                  <c:v>21.622</c:v>
                </c:pt>
                <c:pt idx="36">
                  <c:v>21.945</c:v>
                </c:pt>
                <c:pt idx="37">
                  <c:v>22.173000000000002</c:v>
                </c:pt>
                <c:pt idx="38">
                  <c:v>22.648</c:v>
                </c:pt>
                <c:pt idx="39">
                  <c:v>22.818999999999999</c:v>
                </c:pt>
                <c:pt idx="40">
                  <c:v>23.712</c:v>
                </c:pt>
                <c:pt idx="41">
                  <c:v>24.32</c:v>
                </c:pt>
                <c:pt idx="42">
                  <c:v>24.414999999999999</c:v>
                </c:pt>
                <c:pt idx="43">
                  <c:v>23.294</c:v>
                </c:pt>
                <c:pt idx="44">
                  <c:v>23.408000000000001</c:v>
                </c:pt>
                <c:pt idx="45">
                  <c:v>21.527000000000001</c:v>
                </c:pt>
                <c:pt idx="46">
                  <c:v>19.456000000000003</c:v>
                </c:pt>
                <c:pt idx="47">
                  <c:v>18.201999999999998</c:v>
                </c:pt>
                <c:pt idx="48">
                  <c:v>18.715</c:v>
                </c:pt>
                <c:pt idx="49">
                  <c:v>19.323</c:v>
                </c:pt>
                <c:pt idx="50">
                  <c:v>19.076000000000001</c:v>
                </c:pt>
                <c:pt idx="51">
                  <c:v>19.893000000000001</c:v>
                </c:pt>
                <c:pt idx="52">
                  <c:v>20.425000000000001</c:v>
                </c:pt>
                <c:pt idx="53">
                  <c:v>21.47</c:v>
                </c:pt>
                <c:pt idx="54">
                  <c:v>20.501000000000001</c:v>
                </c:pt>
                <c:pt idx="55">
                  <c:v>21.451000000000001</c:v>
                </c:pt>
                <c:pt idx="56">
                  <c:v>20.843</c:v>
                </c:pt>
                <c:pt idx="57">
                  <c:v>20.766999999999999</c:v>
                </c:pt>
                <c:pt idx="58">
                  <c:v>21.337000000000003</c:v>
                </c:pt>
                <c:pt idx="59">
                  <c:v>21.108999999999998</c:v>
                </c:pt>
                <c:pt idx="60">
                  <c:v>21.869</c:v>
                </c:pt>
                <c:pt idx="61">
                  <c:v>21.546000000000003</c:v>
                </c:pt>
                <c:pt idx="62">
                  <c:v>22.762000000000004</c:v>
                </c:pt>
                <c:pt idx="63">
                  <c:v>23.103999999999999</c:v>
                </c:pt>
                <c:pt idx="64">
                  <c:v>23.047000000000001</c:v>
                </c:pt>
                <c:pt idx="65">
                  <c:v>22.951999999999998</c:v>
                </c:pt>
                <c:pt idx="66">
                  <c:v>22.591000000000001</c:v>
                </c:pt>
                <c:pt idx="67">
                  <c:v>22.382000000000001</c:v>
                </c:pt>
                <c:pt idx="68">
                  <c:v>22.42</c:v>
                </c:pt>
                <c:pt idx="69">
                  <c:v>22.401</c:v>
                </c:pt>
                <c:pt idx="70">
                  <c:v>22.553000000000001</c:v>
                </c:pt>
                <c:pt idx="71">
                  <c:v>23.483999999999998</c:v>
                </c:pt>
                <c:pt idx="72">
                  <c:v>23.826000000000001</c:v>
                </c:pt>
                <c:pt idx="73">
                  <c:v>23.579000000000001</c:v>
                </c:pt>
                <c:pt idx="74">
                  <c:v>24.852000000000004</c:v>
                </c:pt>
                <c:pt idx="75">
                  <c:v>25.555</c:v>
                </c:pt>
                <c:pt idx="76">
                  <c:v>25.65</c:v>
                </c:pt>
                <c:pt idx="77">
                  <c:v>24.947000000000003</c:v>
                </c:pt>
                <c:pt idx="78">
                  <c:v>25.156000000000002</c:v>
                </c:pt>
                <c:pt idx="79">
                  <c:v>24.681000000000001</c:v>
                </c:pt>
                <c:pt idx="80">
                  <c:v>25.365000000000002</c:v>
                </c:pt>
                <c:pt idx="81">
                  <c:v>25.023</c:v>
                </c:pt>
                <c:pt idx="82">
                  <c:v>24.776</c:v>
                </c:pt>
                <c:pt idx="83">
                  <c:v>24.433999999999997</c:v>
                </c:pt>
                <c:pt idx="84">
                  <c:v>25.173100000000002</c:v>
                </c:pt>
                <c:pt idx="85">
                  <c:v>25.803900000000002</c:v>
                </c:pt>
                <c:pt idx="86">
                  <c:v>26.864099999999997</c:v>
                </c:pt>
                <c:pt idx="87">
                  <c:v>27.327699999999997</c:v>
                </c:pt>
                <c:pt idx="88">
                  <c:v>26.391000000000002</c:v>
                </c:pt>
                <c:pt idx="89">
                  <c:v>25.648100000000003</c:v>
                </c:pt>
                <c:pt idx="90">
                  <c:v>25.961599999999997</c:v>
                </c:pt>
                <c:pt idx="91">
                  <c:v>27.054099999999998</c:v>
                </c:pt>
                <c:pt idx="92">
                  <c:v>27.738100000000003</c:v>
                </c:pt>
                <c:pt idx="93">
                  <c:v>26.4879</c:v>
                </c:pt>
                <c:pt idx="94">
                  <c:v>25.589200000000002</c:v>
                </c:pt>
                <c:pt idx="95">
                  <c:v>25.315600000000003</c:v>
                </c:pt>
                <c:pt idx="96">
                  <c:v>25.336500000000001</c:v>
                </c:pt>
                <c:pt idx="97">
                  <c:v>26.037600000000005</c:v>
                </c:pt>
                <c:pt idx="98">
                  <c:v>25.155999999999995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45-5E4B-9FD1-9067C578C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372206536"/>
        <c:axId val="372208888"/>
      </c:barChart>
      <c:lineChart>
        <c:grouping val="standard"/>
        <c:varyColors val="0"/>
        <c:ser>
          <c:idx val="5"/>
          <c:order val="0"/>
          <c:tx>
            <c:strRef>
              <c:f>'Benzinpreise Historie'!$I$1</c:f>
              <c:strCache>
                <c:ptCount val="1"/>
                <c:pt idx="0">
                  <c:v>Bruttopreis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multiLvlStrRef>
              <c:f>'Benzinpreise Historie'!$B$2:$C$100</c:f>
              <c:multiLvlStrCache>
                <c:ptCount val="99"/>
                <c:lvl>
                  <c:pt idx="0">
                    <c:v>Jan</c:v>
                  </c:pt>
                  <c:pt idx="1">
                    <c:v>Feb</c:v>
                  </c:pt>
                  <c:pt idx="2">
                    <c:v>Mrz</c:v>
                  </c:pt>
                  <c:pt idx="3">
                    <c:v>Apr</c:v>
                  </c:pt>
                  <c:pt idx="4">
                    <c:v>Mai</c:v>
                  </c:pt>
                  <c:pt idx="5">
                    <c:v>Jun</c:v>
                  </c:pt>
                  <c:pt idx="6">
                    <c:v>Jul</c:v>
                  </c:pt>
                  <c:pt idx="7">
                    <c:v>Aug</c:v>
                  </c:pt>
                  <c:pt idx="8">
                    <c:v>Sept</c:v>
                  </c:pt>
                  <c:pt idx="9">
                    <c:v>Okt</c:v>
                  </c:pt>
                  <c:pt idx="10">
                    <c:v>Nov</c:v>
                  </c:pt>
                  <c:pt idx="11">
                    <c:v>Dez</c:v>
                  </c:pt>
                  <c:pt idx="12">
                    <c:v>Jan</c:v>
                  </c:pt>
                  <c:pt idx="13">
                    <c:v>Feb</c:v>
                  </c:pt>
                  <c:pt idx="14">
                    <c:v>Mrz</c:v>
                  </c:pt>
                  <c:pt idx="15">
                    <c:v>Apr</c:v>
                  </c:pt>
                  <c:pt idx="16">
                    <c:v>Mai</c:v>
                  </c:pt>
                  <c:pt idx="17">
                    <c:v>Jun</c:v>
                  </c:pt>
                  <c:pt idx="18">
                    <c:v>Jul</c:v>
                  </c:pt>
                  <c:pt idx="19">
                    <c:v>Aug</c:v>
                  </c:pt>
                  <c:pt idx="20">
                    <c:v>Sept</c:v>
                  </c:pt>
                  <c:pt idx="21">
                    <c:v>Okt</c:v>
                  </c:pt>
                  <c:pt idx="22">
                    <c:v>Nov</c:v>
                  </c:pt>
                  <c:pt idx="23">
                    <c:v>Dez</c:v>
                  </c:pt>
                  <c:pt idx="24">
                    <c:v>Jan</c:v>
                  </c:pt>
                  <c:pt idx="25">
                    <c:v>Feb</c:v>
                  </c:pt>
                  <c:pt idx="26">
                    <c:v>Mrz</c:v>
                  </c:pt>
                  <c:pt idx="27">
                    <c:v>Apr</c:v>
                  </c:pt>
                  <c:pt idx="28">
                    <c:v>Mai</c:v>
                  </c:pt>
                  <c:pt idx="29">
                    <c:v>Jun</c:v>
                  </c:pt>
                  <c:pt idx="30">
                    <c:v>Jul</c:v>
                  </c:pt>
                  <c:pt idx="31">
                    <c:v>Aug</c:v>
                  </c:pt>
                  <c:pt idx="32">
                    <c:v>Sept</c:v>
                  </c:pt>
                  <c:pt idx="33">
                    <c:v>Okt</c:v>
                  </c:pt>
                  <c:pt idx="34">
                    <c:v>Nov</c:v>
                  </c:pt>
                  <c:pt idx="35">
                    <c:v>Dez</c:v>
                  </c:pt>
                  <c:pt idx="36">
                    <c:v>Jan</c:v>
                  </c:pt>
                  <c:pt idx="37">
                    <c:v>Feb</c:v>
                  </c:pt>
                  <c:pt idx="38">
                    <c:v>Mrz</c:v>
                  </c:pt>
                  <c:pt idx="39">
                    <c:v>Apr</c:v>
                  </c:pt>
                  <c:pt idx="40">
                    <c:v>Mai</c:v>
                  </c:pt>
                  <c:pt idx="41">
                    <c:v>Jun</c:v>
                  </c:pt>
                  <c:pt idx="42">
                    <c:v>Jul</c:v>
                  </c:pt>
                  <c:pt idx="43">
                    <c:v>Aug</c:v>
                  </c:pt>
                  <c:pt idx="44">
                    <c:v>Sept</c:v>
                  </c:pt>
                  <c:pt idx="45">
                    <c:v>Okt</c:v>
                  </c:pt>
                  <c:pt idx="46">
                    <c:v>Nov</c:v>
                  </c:pt>
                  <c:pt idx="47">
                    <c:v>Dez</c:v>
                  </c:pt>
                  <c:pt idx="48">
                    <c:v>Jan</c:v>
                  </c:pt>
                  <c:pt idx="49">
                    <c:v>Feb</c:v>
                  </c:pt>
                  <c:pt idx="50">
                    <c:v>Mrz</c:v>
                  </c:pt>
                  <c:pt idx="51">
                    <c:v>Apr</c:v>
                  </c:pt>
                  <c:pt idx="52">
                    <c:v>Mai</c:v>
                  </c:pt>
                  <c:pt idx="53">
                    <c:v>Jun</c:v>
                  </c:pt>
                  <c:pt idx="54">
                    <c:v>Jul</c:v>
                  </c:pt>
                  <c:pt idx="55">
                    <c:v>Aug</c:v>
                  </c:pt>
                  <c:pt idx="56">
                    <c:v>Sept</c:v>
                  </c:pt>
                  <c:pt idx="57">
                    <c:v>Okt</c:v>
                  </c:pt>
                  <c:pt idx="58">
                    <c:v>Nov</c:v>
                  </c:pt>
                  <c:pt idx="59">
                    <c:v>Dez</c:v>
                  </c:pt>
                  <c:pt idx="60">
                    <c:v>Jan</c:v>
                  </c:pt>
                  <c:pt idx="61">
                    <c:v>Feb</c:v>
                  </c:pt>
                  <c:pt idx="62">
                    <c:v>Mrz</c:v>
                  </c:pt>
                  <c:pt idx="63">
                    <c:v>Apr</c:v>
                  </c:pt>
                  <c:pt idx="64">
                    <c:v>Mai</c:v>
                  </c:pt>
                  <c:pt idx="65">
                    <c:v>Jun</c:v>
                  </c:pt>
                  <c:pt idx="66">
                    <c:v>Jul</c:v>
                  </c:pt>
                  <c:pt idx="67">
                    <c:v>Aug</c:v>
                  </c:pt>
                  <c:pt idx="68">
                    <c:v>Sept</c:v>
                  </c:pt>
                  <c:pt idx="69">
                    <c:v>Okt</c:v>
                  </c:pt>
                  <c:pt idx="70">
                    <c:v>Nov</c:v>
                  </c:pt>
                  <c:pt idx="71">
                    <c:v>Dez</c:v>
                  </c:pt>
                  <c:pt idx="72">
                    <c:v>Jan</c:v>
                  </c:pt>
                  <c:pt idx="73">
                    <c:v>Feb</c:v>
                  </c:pt>
                  <c:pt idx="74">
                    <c:v>Mrz</c:v>
                  </c:pt>
                  <c:pt idx="75">
                    <c:v>Apr</c:v>
                  </c:pt>
                  <c:pt idx="76">
                    <c:v>Mai</c:v>
                  </c:pt>
                  <c:pt idx="77">
                    <c:v>Jun</c:v>
                  </c:pt>
                  <c:pt idx="78">
                    <c:v>Jul</c:v>
                  </c:pt>
                  <c:pt idx="79">
                    <c:v>Aug</c:v>
                  </c:pt>
                  <c:pt idx="80">
                    <c:v>Sept</c:v>
                  </c:pt>
                  <c:pt idx="81">
                    <c:v>Okt</c:v>
                  </c:pt>
                  <c:pt idx="82">
                    <c:v>Nov</c:v>
                  </c:pt>
                  <c:pt idx="83">
                    <c:v>Dez</c:v>
                  </c:pt>
                  <c:pt idx="84">
                    <c:v>Jan</c:v>
                  </c:pt>
                  <c:pt idx="85">
                    <c:v>Feb</c:v>
                  </c:pt>
                  <c:pt idx="86">
                    <c:v>Mrz</c:v>
                  </c:pt>
                  <c:pt idx="87">
                    <c:v>Apr</c:v>
                  </c:pt>
                  <c:pt idx="88">
                    <c:v>Mai</c:v>
                  </c:pt>
                  <c:pt idx="89">
                    <c:v>Jun</c:v>
                  </c:pt>
                  <c:pt idx="90">
                    <c:v>Jul</c:v>
                  </c:pt>
                  <c:pt idx="91">
                    <c:v>Aug</c:v>
                  </c:pt>
                  <c:pt idx="92">
                    <c:v>Sept</c:v>
                  </c:pt>
                  <c:pt idx="93">
                    <c:v>Okt</c:v>
                  </c:pt>
                  <c:pt idx="94">
                    <c:v>Nov</c:v>
                  </c:pt>
                  <c:pt idx="95">
                    <c:v>Dez</c:v>
                  </c:pt>
                  <c:pt idx="96">
                    <c:v>Jan</c:v>
                  </c:pt>
                  <c:pt idx="97">
                    <c:v>Feb</c:v>
                  </c:pt>
                  <c:pt idx="98">
                    <c:v>Mrz</c:v>
                  </c:pt>
                </c:lvl>
                <c:lvl>
                  <c:pt idx="0">
                    <c:v>2005</c:v>
                  </c:pt>
                  <c:pt idx="1">
                    <c:v>2005</c:v>
                  </c:pt>
                  <c:pt idx="2">
                    <c:v>2005</c:v>
                  </c:pt>
                  <c:pt idx="3">
                    <c:v>2005</c:v>
                  </c:pt>
                  <c:pt idx="4">
                    <c:v>2005</c:v>
                  </c:pt>
                  <c:pt idx="5">
                    <c:v>2005</c:v>
                  </c:pt>
                  <c:pt idx="6">
                    <c:v>2005</c:v>
                  </c:pt>
                  <c:pt idx="7">
                    <c:v>2005</c:v>
                  </c:pt>
                  <c:pt idx="8">
                    <c:v>2005</c:v>
                  </c:pt>
                  <c:pt idx="9">
                    <c:v>2005</c:v>
                  </c:pt>
                  <c:pt idx="10">
                    <c:v>2005</c:v>
                  </c:pt>
                  <c:pt idx="11">
                    <c:v>2005</c:v>
                  </c:pt>
                  <c:pt idx="12">
                    <c:v>2006</c:v>
                  </c:pt>
                  <c:pt idx="13">
                    <c:v>2006</c:v>
                  </c:pt>
                  <c:pt idx="14">
                    <c:v>2006</c:v>
                  </c:pt>
                  <c:pt idx="15">
                    <c:v>2006</c:v>
                  </c:pt>
                  <c:pt idx="16">
                    <c:v>2006</c:v>
                  </c:pt>
                  <c:pt idx="17">
                    <c:v>2006</c:v>
                  </c:pt>
                  <c:pt idx="18">
                    <c:v>2006</c:v>
                  </c:pt>
                  <c:pt idx="19">
                    <c:v>2006</c:v>
                  </c:pt>
                  <c:pt idx="20">
                    <c:v>2006</c:v>
                  </c:pt>
                  <c:pt idx="21">
                    <c:v>2006</c:v>
                  </c:pt>
                  <c:pt idx="22">
                    <c:v>2006</c:v>
                  </c:pt>
                  <c:pt idx="23">
                    <c:v>2006</c:v>
                  </c:pt>
                  <c:pt idx="24">
                    <c:v>2007</c:v>
                  </c:pt>
                  <c:pt idx="25">
                    <c:v>2007</c:v>
                  </c:pt>
                  <c:pt idx="26">
                    <c:v>2007</c:v>
                  </c:pt>
                  <c:pt idx="27">
                    <c:v>2007</c:v>
                  </c:pt>
                  <c:pt idx="28">
                    <c:v>2007</c:v>
                  </c:pt>
                  <c:pt idx="29">
                    <c:v>2007</c:v>
                  </c:pt>
                  <c:pt idx="30">
                    <c:v>2007</c:v>
                  </c:pt>
                  <c:pt idx="31">
                    <c:v>2007</c:v>
                  </c:pt>
                  <c:pt idx="32">
                    <c:v>2007</c:v>
                  </c:pt>
                  <c:pt idx="33">
                    <c:v>2007</c:v>
                  </c:pt>
                  <c:pt idx="34">
                    <c:v>2007</c:v>
                  </c:pt>
                  <c:pt idx="35">
                    <c:v>2007</c:v>
                  </c:pt>
                  <c:pt idx="36">
                    <c:v>2008</c:v>
                  </c:pt>
                  <c:pt idx="37">
                    <c:v>2008</c:v>
                  </c:pt>
                  <c:pt idx="38">
                    <c:v>2008</c:v>
                  </c:pt>
                  <c:pt idx="39">
                    <c:v>2008</c:v>
                  </c:pt>
                  <c:pt idx="40">
                    <c:v>2008</c:v>
                  </c:pt>
                  <c:pt idx="41">
                    <c:v>2008</c:v>
                  </c:pt>
                  <c:pt idx="42">
                    <c:v>2008</c:v>
                  </c:pt>
                  <c:pt idx="43">
                    <c:v>2008</c:v>
                  </c:pt>
                  <c:pt idx="44">
                    <c:v>2008</c:v>
                  </c:pt>
                  <c:pt idx="45">
                    <c:v>2008</c:v>
                  </c:pt>
                  <c:pt idx="46">
                    <c:v>2008</c:v>
                  </c:pt>
                  <c:pt idx="47">
                    <c:v>2008</c:v>
                  </c:pt>
                  <c:pt idx="48">
                    <c:v>2009</c:v>
                  </c:pt>
                  <c:pt idx="49">
                    <c:v>2009</c:v>
                  </c:pt>
                  <c:pt idx="50">
                    <c:v>2009</c:v>
                  </c:pt>
                  <c:pt idx="51">
                    <c:v>2009</c:v>
                  </c:pt>
                  <c:pt idx="52">
                    <c:v>2009</c:v>
                  </c:pt>
                  <c:pt idx="53">
                    <c:v>2009</c:v>
                  </c:pt>
                  <c:pt idx="54">
                    <c:v>2009</c:v>
                  </c:pt>
                  <c:pt idx="55">
                    <c:v>2009</c:v>
                  </c:pt>
                  <c:pt idx="56">
                    <c:v>2009</c:v>
                  </c:pt>
                  <c:pt idx="57">
                    <c:v>2009</c:v>
                  </c:pt>
                  <c:pt idx="58">
                    <c:v>2009</c:v>
                  </c:pt>
                  <c:pt idx="59">
                    <c:v>2009</c:v>
                  </c:pt>
                  <c:pt idx="60">
                    <c:v>2010</c:v>
                  </c:pt>
                  <c:pt idx="61">
                    <c:v>2010</c:v>
                  </c:pt>
                  <c:pt idx="62">
                    <c:v>2010</c:v>
                  </c:pt>
                  <c:pt idx="63">
                    <c:v>2010</c:v>
                  </c:pt>
                  <c:pt idx="64">
                    <c:v>2010</c:v>
                  </c:pt>
                  <c:pt idx="65">
                    <c:v>2010</c:v>
                  </c:pt>
                  <c:pt idx="66">
                    <c:v>2010</c:v>
                  </c:pt>
                  <c:pt idx="67">
                    <c:v>2010</c:v>
                  </c:pt>
                  <c:pt idx="68">
                    <c:v>2010</c:v>
                  </c:pt>
                  <c:pt idx="69">
                    <c:v>2010</c:v>
                  </c:pt>
                  <c:pt idx="70">
                    <c:v>2010</c:v>
                  </c:pt>
                  <c:pt idx="71">
                    <c:v>2010</c:v>
                  </c:pt>
                  <c:pt idx="72">
                    <c:v>2011</c:v>
                  </c:pt>
                  <c:pt idx="73">
                    <c:v>2011</c:v>
                  </c:pt>
                  <c:pt idx="74">
                    <c:v>2011</c:v>
                  </c:pt>
                  <c:pt idx="75">
                    <c:v>2011</c:v>
                  </c:pt>
                  <c:pt idx="76">
                    <c:v>2011</c:v>
                  </c:pt>
                  <c:pt idx="77">
                    <c:v>2011</c:v>
                  </c:pt>
                  <c:pt idx="78">
                    <c:v>2011</c:v>
                  </c:pt>
                  <c:pt idx="79">
                    <c:v>2011</c:v>
                  </c:pt>
                  <c:pt idx="80">
                    <c:v>2011</c:v>
                  </c:pt>
                  <c:pt idx="81">
                    <c:v>2011</c:v>
                  </c:pt>
                  <c:pt idx="82">
                    <c:v>2011</c:v>
                  </c:pt>
                  <c:pt idx="83">
                    <c:v>2011</c:v>
                  </c:pt>
                  <c:pt idx="84">
                    <c:v>2012</c:v>
                  </c:pt>
                  <c:pt idx="85">
                    <c:v>2012</c:v>
                  </c:pt>
                  <c:pt idx="86">
                    <c:v>2012</c:v>
                  </c:pt>
                  <c:pt idx="87">
                    <c:v>2012</c:v>
                  </c:pt>
                  <c:pt idx="88">
                    <c:v>2012</c:v>
                  </c:pt>
                  <c:pt idx="89">
                    <c:v>2012</c:v>
                  </c:pt>
                  <c:pt idx="90">
                    <c:v>2012</c:v>
                  </c:pt>
                  <c:pt idx="91">
                    <c:v>2012</c:v>
                  </c:pt>
                  <c:pt idx="92">
                    <c:v>2012</c:v>
                  </c:pt>
                  <c:pt idx="93">
                    <c:v>2012</c:v>
                  </c:pt>
                  <c:pt idx="94">
                    <c:v>2012</c:v>
                  </c:pt>
                  <c:pt idx="95">
                    <c:v>2012</c:v>
                  </c:pt>
                  <c:pt idx="96">
                    <c:v>2013</c:v>
                  </c:pt>
                  <c:pt idx="97">
                    <c:v>2013</c:v>
                  </c:pt>
                  <c:pt idx="98">
                    <c:v>2013</c:v>
                  </c:pt>
                </c:lvl>
              </c:multiLvlStrCache>
            </c:multiLvlStrRef>
          </c:cat>
          <c:val>
            <c:numRef>
              <c:f>'Benzinpreise Historie'!$I$2:$I$100</c:f>
              <c:numCache>
                <c:formatCode>0.0</c:formatCode>
                <c:ptCount val="99"/>
                <c:pt idx="0">
                  <c:v>112.69300000000001</c:v>
                </c:pt>
                <c:pt idx="1">
                  <c:v>114.47800000000001</c:v>
                </c:pt>
                <c:pt idx="2">
                  <c:v>118.048</c:v>
                </c:pt>
                <c:pt idx="3">
                  <c:v>122.80800000000001</c:v>
                </c:pt>
                <c:pt idx="4">
                  <c:v>122.57</c:v>
                </c:pt>
                <c:pt idx="5">
                  <c:v>124.95</c:v>
                </c:pt>
                <c:pt idx="6">
                  <c:v>129.82900000000001</c:v>
                </c:pt>
                <c:pt idx="7">
                  <c:v>132.32799999999997</c:v>
                </c:pt>
                <c:pt idx="8">
                  <c:v>139.70600000000002</c:v>
                </c:pt>
                <c:pt idx="9">
                  <c:v>133.875</c:v>
                </c:pt>
                <c:pt idx="10">
                  <c:v>126.735</c:v>
                </c:pt>
                <c:pt idx="11">
                  <c:v>126.973</c:v>
                </c:pt>
                <c:pt idx="12">
                  <c:v>130.18600000000001</c:v>
                </c:pt>
                <c:pt idx="13">
                  <c:v>129.35300000000001</c:v>
                </c:pt>
                <c:pt idx="14">
                  <c:v>106.267</c:v>
                </c:pt>
                <c:pt idx="15">
                  <c:v>137.56399999999999</c:v>
                </c:pt>
                <c:pt idx="16">
                  <c:v>138.51600000000002</c:v>
                </c:pt>
                <c:pt idx="17">
                  <c:v>138.75399999999999</c:v>
                </c:pt>
                <c:pt idx="18">
                  <c:v>141.84800000000001</c:v>
                </c:pt>
                <c:pt idx="19">
                  <c:v>138.63499999999999</c:v>
                </c:pt>
                <c:pt idx="20">
                  <c:v>127.80600000000001</c:v>
                </c:pt>
                <c:pt idx="21">
                  <c:v>124.593</c:v>
                </c:pt>
                <c:pt idx="22">
                  <c:v>123.998</c:v>
                </c:pt>
                <c:pt idx="23">
                  <c:v>125.426</c:v>
                </c:pt>
                <c:pt idx="24">
                  <c:v>123.76</c:v>
                </c:pt>
                <c:pt idx="25">
                  <c:v>124.95</c:v>
                </c:pt>
                <c:pt idx="26">
                  <c:v>130.06700000000001</c:v>
                </c:pt>
                <c:pt idx="27">
                  <c:v>134.351</c:v>
                </c:pt>
                <c:pt idx="28">
                  <c:v>138.99199999999999</c:v>
                </c:pt>
                <c:pt idx="29">
                  <c:v>138.27799999999999</c:v>
                </c:pt>
                <c:pt idx="30">
                  <c:v>138.15899999999999</c:v>
                </c:pt>
                <c:pt idx="31">
                  <c:v>134.827</c:v>
                </c:pt>
                <c:pt idx="32">
                  <c:v>136.61199999999999</c:v>
                </c:pt>
                <c:pt idx="33">
                  <c:v>135.422</c:v>
                </c:pt>
                <c:pt idx="34">
                  <c:v>141.96700000000001</c:v>
                </c:pt>
                <c:pt idx="35">
                  <c:v>135.422</c:v>
                </c:pt>
                <c:pt idx="36">
                  <c:v>137.44499999999999</c:v>
                </c:pt>
                <c:pt idx="37">
                  <c:v>138.87299999999999</c:v>
                </c:pt>
                <c:pt idx="38">
                  <c:v>141.84800000000001</c:v>
                </c:pt>
                <c:pt idx="39">
                  <c:v>142.91899999999998</c:v>
                </c:pt>
                <c:pt idx="40">
                  <c:v>148.512</c:v>
                </c:pt>
                <c:pt idx="41">
                  <c:v>152.32</c:v>
                </c:pt>
                <c:pt idx="42">
                  <c:v>152.91499999999999</c:v>
                </c:pt>
                <c:pt idx="43">
                  <c:v>145.89400000000001</c:v>
                </c:pt>
                <c:pt idx="44">
                  <c:v>146.608</c:v>
                </c:pt>
                <c:pt idx="45">
                  <c:v>134.827</c:v>
                </c:pt>
                <c:pt idx="46">
                  <c:v>121.85600000000001</c:v>
                </c:pt>
                <c:pt idx="47">
                  <c:v>114.002</c:v>
                </c:pt>
                <c:pt idx="48">
                  <c:v>117.215</c:v>
                </c:pt>
                <c:pt idx="49">
                  <c:v>121.023</c:v>
                </c:pt>
                <c:pt idx="50">
                  <c:v>119.476</c:v>
                </c:pt>
                <c:pt idx="51">
                  <c:v>124.593</c:v>
                </c:pt>
                <c:pt idx="52">
                  <c:v>127.925</c:v>
                </c:pt>
                <c:pt idx="53">
                  <c:v>134.47</c:v>
                </c:pt>
                <c:pt idx="54">
                  <c:v>128.40100000000001</c:v>
                </c:pt>
                <c:pt idx="55">
                  <c:v>134.351</c:v>
                </c:pt>
                <c:pt idx="56">
                  <c:v>130.54300000000001</c:v>
                </c:pt>
                <c:pt idx="57">
                  <c:v>130.06700000000001</c:v>
                </c:pt>
                <c:pt idx="58">
                  <c:v>133.637</c:v>
                </c:pt>
                <c:pt idx="59">
                  <c:v>132.209</c:v>
                </c:pt>
                <c:pt idx="60">
                  <c:v>136.96899999999999</c:v>
                </c:pt>
                <c:pt idx="61">
                  <c:v>134.946</c:v>
                </c:pt>
                <c:pt idx="62">
                  <c:v>142.56200000000001</c:v>
                </c:pt>
                <c:pt idx="63">
                  <c:v>144.70400000000001</c:v>
                </c:pt>
                <c:pt idx="64">
                  <c:v>144.34700000000001</c:v>
                </c:pt>
                <c:pt idx="65">
                  <c:v>143.75200000000001</c:v>
                </c:pt>
                <c:pt idx="66">
                  <c:v>141.49100000000001</c:v>
                </c:pt>
                <c:pt idx="67">
                  <c:v>140.18199999999999</c:v>
                </c:pt>
                <c:pt idx="68">
                  <c:v>140.42000000000002</c:v>
                </c:pt>
                <c:pt idx="69">
                  <c:v>140.30100000000002</c:v>
                </c:pt>
                <c:pt idx="70">
                  <c:v>141.25300000000001</c:v>
                </c:pt>
                <c:pt idx="71">
                  <c:v>147.084</c:v>
                </c:pt>
                <c:pt idx="72">
                  <c:v>149.226</c:v>
                </c:pt>
                <c:pt idx="73">
                  <c:v>147.679</c:v>
                </c:pt>
                <c:pt idx="74">
                  <c:v>155.65200000000002</c:v>
                </c:pt>
                <c:pt idx="75">
                  <c:v>160.05500000000001</c:v>
                </c:pt>
                <c:pt idx="76">
                  <c:v>160.65</c:v>
                </c:pt>
                <c:pt idx="77">
                  <c:v>156.24700000000001</c:v>
                </c:pt>
                <c:pt idx="78">
                  <c:v>157.55600000000001</c:v>
                </c:pt>
                <c:pt idx="79">
                  <c:v>154.58100000000002</c:v>
                </c:pt>
                <c:pt idx="80">
                  <c:v>158.86500000000001</c:v>
                </c:pt>
                <c:pt idx="81">
                  <c:v>156.72299999999998</c:v>
                </c:pt>
                <c:pt idx="82">
                  <c:v>155.17600000000002</c:v>
                </c:pt>
                <c:pt idx="83">
                  <c:v>153.03399999999999</c:v>
                </c:pt>
                <c:pt idx="84">
                  <c:v>157.66310000000001</c:v>
                </c:pt>
                <c:pt idx="85">
                  <c:v>161.6139</c:v>
                </c:pt>
                <c:pt idx="86">
                  <c:v>168.25409999999999</c:v>
                </c:pt>
                <c:pt idx="87">
                  <c:v>171.15769999999998</c:v>
                </c:pt>
                <c:pt idx="88">
                  <c:v>165.291</c:v>
                </c:pt>
                <c:pt idx="89">
                  <c:v>160.63810000000001</c:v>
                </c:pt>
                <c:pt idx="90">
                  <c:v>162.60159999999999</c:v>
                </c:pt>
                <c:pt idx="91">
                  <c:v>169.44409999999999</c:v>
                </c:pt>
                <c:pt idx="92">
                  <c:v>173.72810000000001</c:v>
                </c:pt>
                <c:pt idx="93">
                  <c:v>165.89789999999999</c:v>
                </c:pt>
                <c:pt idx="94">
                  <c:v>160.26920000000001</c:v>
                </c:pt>
                <c:pt idx="95">
                  <c:v>158.55560000000003</c:v>
                </c:pt>
                <c:pt idx="96">
                  <c:v>158.6865</c:v>
                </c:pt>
                <c:pt idx="97">
                  <c:v>163.07760000000002</c:v>
                </c:pt>
                <c:pt idx="98">
                  <c:v>157.55599999999998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45-5E4B-9FD1-9067C578C7B1}"/>
            </c:ext>
          </c:extLst>
        </c:ser>
        <c:ser>
          <c:idx val="0"/>
          <c:order val="5"/>
          <c:tx>
            <c:strRef>
              <c:f>'Benzinpreise Historie'!$N$1</c:f>
              <c:strCache>
                <c:ptCount val="1"/>
                <c:pt idx="0">
                  <c:v>Input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val>
            <c:numRef>
              <c:f>'Benzinpreise Historie'!$N$2:$N$100</c:f>
              <c:numCache>
                <c:formatCode>0.0</c:formatCode>
                <c:ptCount val="99"/>
                <c:pt idx="0">
                  <c:v>160</c:v>
                </c:pt>
                <c:pt idx="1">
                  <c:v>160</c:v>
                </c:pt>
                <c:pt idx="2">
                  <c:v>160</c:v>
                </c:pt>
                <c:pt idx="3">
                  <c:v>160</c:v>
                </c:pt>
                <c:pt idx="4">
                  <c:v>160</c:v>
                </c:pt>
                <c:pt idx="5">
                  <c:v>160</c:v>
                </c:pt>
                <c:pt idx="6">
                  <c:v>160</c:v>
                </c:pt>
                <c:pt idx="7">
                  <c:v>160</c:v>
                </c:pt>
                <c:pt idx="8">
                  <c:v>160</c:v>
                </c:pt>
                <c:pt idx="9">
                  <c:v>160</c:v>
                </c:pt>
                <c:pt idx="10">
                  <c:v>160</c:v>
                </c:pt>
                <c:pt idx="11">
                  <c:v>160</c:v>
                </c:pt>
                <c:pt idx="12">
                  <c:v>160</c:v>
                </c:pt>
                <c:pt idx="13">
                  <c:v>160</c:v>
                </c:pt>
                <c:pt idx="14">
                  <c:v>160</c:v>
                </c:pt>
                <c:pt idx="15">
                  <c:v>160</c:v>
                </c:pt>
                <c:pt idx="16">
                  <c:v>160</c:v>
                </c:pt>
                <c:pt idx="17">
                  <c:v>160</c:v>
                </c:pt>
                <c:pt idx="18">
                  <c:v>160</c:v>
                </c:pt>
                <c:pt idx="19">
                  <c:v>160</c:v>
                </c:pt>
                <c:pt idx="20">
                  <c:v>160</c:v>
                </c:pt>
                <c:pt idx="21">
                  <c:v>160</c:v>
                </c:pt>
                <c:pt idx="22">
                  <c:v>160</c:v>
                </c:pt>
                <c:pt idx="23">
                  <c:v>160</c:v>
                </c:pt>
                <c:pt idx="24">
                  <c:v>160</c:v>
                </c:pt>
                <c:pt idx="25">
                  <c:v>160</c:v>
                </c:pt>
                <c:pt idx="26">
                  <c:v>160</c:v>
                </c:pt>
                <c:pt idx="27">
                  <c:v>160</c:v>
                </c:pt>
                <c:pt idx="28">
                  <c:v>160</c:v>
                </c:pt>
                <c:pt idx="29">
                  <c:v>160</c:v>
                </c:pt>
                <c:pt idx="30">
                  <c:v>160</c:v>
                </c:pt>
                <c:pt idx="31">
                  <c:v>160</c:v>
                </c:pt>
                <c:pt idx="32">
                  <c:v>160</c:v>
                </c:pt>
                <c:pt idx="33">
                  <c:v>160</c:v>
                </c:pt>
                <c:pt idx="34">
                  <c:v>160</c:v>
                </c:pt>
                <c:pt idx="35">
                  <c:v>160</c:v>
                </c:pt>
                <c:pt idx="36">
                  <c:v>160</c:v>
                </c:pt>
                <c:pt idx="37">
                  <c:v>160</c:v>
                </c:pt>
                <c:pt idx="38">
                  <c:v>160</c:v>
                </c:pt>
                <c:pt idx="39">
                  <c:v>160</c:v>
                </c:pt>
                <c:pt idx="40">
                  <c:v>160</c:v>
                </c:pt>
                <c:pt idx="41">
                  <c:v>160</c:v>
                </c:pt>
                <c:pt idx="42">
                  <c:v>160</c:v>
                </c:pt>
                <c:pt idx="43">
                  <c:v>160</c:v>
                </c:pt>
                <c:pt idx="44">
                  <c:v>160</c:v>
                </c:pt>
                <c:pt idx="45">
                  <c:v>160</c:v>
                </c:pt>
                <c:pt idx="46">
                  <c:v>160</c:v>
                </c:pt>
                <c:pt idx="47">
                  <c:v>160</c:v>
                </c:pt>
                <c:pt idx="48">
                  <c:v>160</c:v>
                </c:pt>
                <c:pt idx="49">
                  <c:v>160</c:v>
                </c:pt>
                <c:pt idx="50">
                  <c:v>160</c:v>
                </c:pt>
                <c:pt idx="51">
                  <c:v>160</c:v>
                </c:pt>
                <c:pt idx="52">
                  <c:v>160</c:v>
                </c:pt>
                <c:pt idx="53">
                  <c:v>160</c:v>
                </c:pt>
                <c:pt idx="54">
                  <c:v>160</c:v>
                </c:pt>
                <c:pt idx="55">
                  <c:v>160</c:v>
                </c:pt>
                <c:pt idx="56">
                  <c:v>160</c:v>
                </c:pt>
                <c:pt idx="57">
                  <c:v>160</c:v>
                </c:pt>
                <c:pt idx="58">
                  <c:v>160</c:v>
                </c:pt>
                <c:pt idx="59">
                  <c:v>160</c:v>
                </c:pt>
                <c:pt idx="60">
                  <c:v>160</c:v>
                </c:pt>
                <c:pt idx="61">
                  <c:v>160</c:v>
                </c:pt>
                <c:pt idx="62">
                  <c:v>160</c:v>
                </c:pt>
                <c:pt idx="63">
                  <c:v>160</c:v>
                </c:pt>
                <c:pt idx="64">
                  <c:v>160</c:v>
                </c:pt>
                <c:pt idx="65">
                  <c:v>160</c:v>
                </c:pt>
                <c:pt idx="66">
                  <c:v>160</c:v>
                </c:pt>
                <c:pt idx="67">
                  <c:v>160</c:v>
                </c:pt>
                <c:pt idx="68">
                  <c:v>160</c:v>
                </c:pt>
                <c:pt idx="69">
                  <c:v>160</c:v>
                </c:pt>
                <c:pt idx="70">
                  <c:v>160</c:v>
                </c:pt>
                <c:pt idx="71">
                  <c:v>160</c:v>
                </c:pt>
                <c:pt idx="72">
                  <c:v>160</c:v>
                </c:pt>
                <c:pt idx="73">
                  <c:v>160</c:v>
                </c:pt>
                <c:pt idx="74">
                  <c:v>160</c:v>
                </c:pt>
                <c:pt idx="75">
                  <c:v>160</c:v>
                </c:pt>
                <c:pt idx="76">
                  <c:v>160</c:v>
                </c:pt>
                <c:pt idx="77">
                  <c:v>160</c:v>
                </c:pt>
                <c:pt idx="78">
                  <c:v>160</c:v>
                </c:pt>
                <c:pt idx="79">
                  <c:v>160</c:v>
                </c:pt>
                <c:pt idx="80">
                  <c:v>160</c:v>
                </c:pt>
                <c:pt idx="81">
                  <c:v>160</c:v>
                </c:pt>
                <c:pt idx="82">
                  <c:v>160</c:v>
                </c:pt>
                <c:pt idx="83">
                  <c:v>160</c:v>
                </c:pt>
                <c:pt idx="84">
                  <c:v>160</c:v>
                </c:pt>
                <c:pt idx="85">
                  <c:v>160</c:v>
                </c:pt>
                <c:pt idx="86">
                  <c:v>160</c:v>
                </c:pt>
                <c:pt idx="87">
                  <c:v>160</c:v>
                </c:pt>
                <c:pt idx="88">
                  <c:v>160</c:v>
                </c:pt>
                <c:pt idx="89">
                  <c:v>160</c:v>
                </c:pt>
                <c:pt idx="90">
                  <c:v>160</c:v>
                </c:pt>
                <c:pt idx="91">
                  <c:v>160</c:v>
                </c:pt>
                <c:pt idx="92">
                  <c:v>160</c:v>
                </c:pt>
                <c:pt idx="93">
                  <c:v>160</c:v>
                </c:pt>
                <c:pt idx="94">
                  <c:v>160</c:v>
                </c:pt>
                <c:pt idx="95">
                  <c:v>160</c:v>
                </c:pt>
                <c:pt idx="96">
                  <c:v>160</c:v>
                </c:pt>
                <c:pt idx="97">
                  <c:v>160</c:v>
                </c:pt>
                <c:pt idx="98">
                  <c:v>160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45-5E4B-9FD1-9067C578C7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06536"/>
        <c:axId val="372208888"/>
      </c:lineChart>
      <c:catAx>
        <c:axId val="372206536"/>
        <c:scaling>
          <c:orientation val="minMax"/>
        </c:scaling>
        <c:delete val="0"/>
        <c:axPos val="b"/>
        <c:numFmt formatCode="General" sourceLinked="0"/>
        <c:majorTickMark val="cross"/>
        <c:minorTickMark val="in"/>
        <c:tickLblPos val="nextTo"/>
        <c:crossAx val="372208888"/>
        <c:crosses val="autoZero"/>
        <c:auto val="1"/>
        <c:lblAlgn val="ctr"/>
        <c:lblOffset val="0"/>
        <c:tickLblSkip val="12"/>
        <c:tickMarkSkip val="3"/>
        <c:noMultiLvlLbl val="1"/>
      </c:catAx>
      <c:valAx>
        <c:axId val="372208888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372206536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"/>
          <c:y val="0.87191746864975217"/>
          <c:w val="1"/>
          <c:h val="0.12808253135024789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1"/>
    <c:plotArea>
      <c:layout>
        <c:manualLayout>
          <c:layoutTarget val="inner"/>
          <c:xMode val="edge"/>
          <c:yMode val="edge"/>
          <c:x val="0"/>
          <c:y val="4.6296296296296294E-3"/>
          <c:w val="0.66822066822066817"/>
          <c:h val="0.99537037037037035"/>
        </c:manualLayout>
      </c:layout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b="1"/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'Verbraucherpreis Strom 2012'!$B$7:$B$14</c:f>
              <c:strCache>
                <c:ptCount val="8"/>
                <c:pt idx="0">
                  <c:v>Energiebeschaffung</c:v>
                </c:pt>
                <c:pt idx="1">
                  <c:v>Netznutzungsentgelt</c:v>
                </c:pt>
                <c:pt idx="2">
                  <c:v>MwSt</c:v>
                </c:pt>
                <c:pt idx="3">
                  <c:v>EEG-Umlage</c:v>
                </c:pt>
                <c:pt idx="4">
                  <c:v>Vertrieb</c:v>
                </c:pt>
                <c:pt idx="5">
                  <c:v>Stromsteuer</c:v>
                </c:pt>
                <c:pt idx="6">
                  <c:v>Konzessionsabgabe</c:v>
                </c:pt>
                <c:pt idx="7">
                  <c:v>Messung, Abrechnung</c:v>
                </c:pt>
              </c:strCache>
            </c:strRef>
          </c:cat>
          <c:val>
            <c:numRef>
              <c:f>'Verbraucherpreis Strom 2012'!$C$7:$C$14</c:f>
              <c:numCache>
                <c:formatCode>0.0%</c:formatCode>
                <c:ptCount val="8"/>
                <c:pt idx="0">
                  <c:v>0.24099999999999999</c:v>
                </c:pt>
                <c:pt idx="1">
                  <c:v>0.20599999999999999</c:v>
                </c:pt>
                <c:pt idx="2">
                  <c:v>0.159</c:v>
                </c:pt>
                <c:pt idx="3">
                  <c:v>0.13800000000000001</c:v>
                </c:pt>
                <c:pt idx="4">
                  <c:v>8.2000000000000003E-2</c:v>
                </c:pt>
                <c:pt idx="5">
                  <c:v>7.9000000000000001E-2</c:v>
                </c:pt>
                <c:pt idx="6">
                  <c:v>6.4000000000000001E-2</c:v>
                </c:pt>
                <c:pt idx="7">
                  <c:v>2.5000000000000001E-2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23-3149-A03C-242693273ED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68888867016622923"/>
          <c:y val="0"/>
          <c:w val="0.3111114228761494"/>
          <c:h val="0.97682852143482068"/>
        </c:manualLayout>
      </c:layout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3"/>
          <c:order val="2"/>
          <c:tx>
            <c:strRef>
              <c:f>Tabelle2!$D$1</c:f>
              <c:strCache>
                <c:ptCount val="1"/>
                <c:pt idx="0">
                  <c:v>BEV</c:v>
                </c:pt>
              </c:strCache>
            </c:strRef>
          </c:tx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Tabelle2!$D$2:$D$11</c:f>
              <c:numCache>
                <c:formatCode>_(* #,##0_);_(* \(#,##0\);_(* "-"??_);_(@_)</c:formatCode>
                <c:ptCount val="10"/>
                <c:pt idx="0">
                  <c:v>2169</c:v>
                </c:pt>
                <c:pt idx="1">
                  <c:v>2038</c:v>
                </c:pt>
                <c:pt idx="2">
                  <c:v>1931</c:v>
                </c:pt>
                <c:pt idx="3">
                  <c:v>1790</c:v>
                </c:pt>
                <c:pt idx="4">
                  <c:v>1436</c:v>
                </c:pt>
                <c:pt idx="5">
                  <c:v>1452</c:v>
                </c:pt>
                <c:pt idx="6">
                  <c:v>1588</c:v>
                </c:pt>
                <c:pt idx="7">
                  <c:v>2307</c:v>
                </c:pt>
                <c:pt idx="8">
                  <c:v>4541</c:v>
                </c:pt>
                <c:pt idx="9">
                  <c:v>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70-A44E-B200-B01EF2C8259A}"/>
            </c:ext>
          </c:extLst>
        </c:ser>
        <c:ser>
          <c:idx val="4"/>
          <c:order val="3"/>
          <c:tx>
            <c:strRef>
              <c:f>Tabelle2!$E$1</c:f>
              <c:strCache>
                <c:ptCount val="1"/>
                <c:pt idx="0">
                  <c:v>Hybrid</c:v>
                </c:pt>
              </c:strCache>
            </c:strRef>
          </c:tx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Tabelle2!$E$2:$E$11</c:f>
              <c:numCache>
                <c:formatCode>_(* #,##0_);_(* \(#,##0\);_(* "-"??_);_(@_)</c:formatCode>
                <c:ptCount val="10"/>
                <c:pt idx="2">
                  <c:v>5971</c:v>
                </c:pt>
                <c:pt idx="3">
                  <c:v>11275</c:v>
                </c:pt>
                <c:pt idx="4">
                  <c:v>17307</c:v>
                </c:pt>
                <c:pt idx="5">
                  <c:v>22330</c:v>
                </c:pt>
                <c:pt idx="6">
                  <c:v>28862</c:v>
                </c:pt>
                <c:pt idx="7">
                  <c:v>37256</c:v>
                </c:pt>
                <c:pt idx="8">
                  <c:v>47642</c:v>
                </c:pt>
                <c:pt idx="9">
                  <c:v>64995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70-A44E-B200-B01EF2C82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03792"/>
        <c:axId val="372204184"/>
      </c:lineChart>
      <c:lineChart>
        <c:grouping val="standard"/>
        <c:varyColors val="0"/>
        <c:ser>
          <c:idx val="1"/>
          <c:order val="0"/>
          <c:tx>
            <c:strRef>
              <c:f>Tabelle2!$B$1</c:f>
              <c:strCache>
                <c:ptCount val="1"/>
                <c:pt idx="0">
                  <c:v>Benzin</c:v>
                </c:pt>
              </c:strCache>
            </c:strRef>
          </c:tx>
          <c:marker>
            <c:symbol val="none"/>
          </c:marker>
          <c:val>
            <c:numRef>
              <c:f>Tabelle2!$B$2:$B$11</c:f>
              <c:numCache>
                <c:formatCode>_(* #,##0_);_(* \(#,##0\);_(* "-"??_);_(@_)</c:formatCode>
                <c:ptCount val="10"/>
                <c:pt idx="0">
                  <c:v>36702056</c:v>
                </c:pt>
                <c:pt idx="1">
                  <c:v>36256631</c:v>
                </c:pt>
                <c:pt idx="2">
                  <c:v>35918697</c:v>
                </c:pt>
                <c:pt idx="3">
                  <c:v>35594333</c:v>
                </c:pt>
                <c:pt idx="4">
                  <c:v>30905204</c:v>
                </c:pt>
                <c:pt idx="5">
                  <c:v>30639015</c:v>
                </c:pt>
                <c:pt idx="6">
                  <c:v>30449617</c:v>
                </c:pt>
                <c:pt idx="7">
                  <c:v>30487578</c:v>
                </c:pt>
                <c:pt idx="8">
                  <c:v>30452019</c:v>
                </c:pt>
                <c:pt idx="9">
                  <c:v>30206472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70-A44E-B200-B01EF2C8259A}"/>
            </c:ext>
          </c:extLst>
        </c:ser>
        <c:ser>
          <c:idx val="2"/>
          <c:order val="1"/>
          <c:tx>
            <c:strRef>
              <c:f>Tabelle2!$C$1</c:f>
              <c:strCache>
                <c:ptCount val="1"/>
                <c:pt idx="0">
                  <c:v>Diesel</c:v>
                </c:pt>
              </c:strCache>
            </c:strRef>
          </c:tx>
          <c:marker>
            <c:symbol val="none"/>
          </c:marker>
          <c:val>
            <c:numRef>
              <c:f>Tabelle2!$C$2:$C$11</c:f>
              <c:numCache>
                <c:formatCode>_(* #,##0_);_(* \(#,##0\);_(* "-"??_);_(@_)</c:formatCode>
                <c:ptCount val="10"/>
                <c:pt idx="0">
                  <c:v>8293749</c:v>
                </c:pt>
                <c:pt idx="1">
                  <c:v>9071536</c:v>
                </c:pt>
                <c:pt idx="2">
                  <c:v>10091290</c:v>
                </c:pt>
                <c:pt idx="3">
                  <c:v>10819760</c:v>
                </c:pt>
                <c:pt idx="4">
                  <c:v>10045903</c:v>
                </c:pt>
                <c:pt idx="5">
                  <c:v>10290288</c:v>
                </c:pt>
                <c:pt idx="6">
                  <c:v>10817769</c:v>
                </c:pt>
                <c:pt idx="7">
                  <c:v>11266644</c:v>
                </c:pt>
                <c:pt idx="8">
                  <c:v>11891375</c:v>
                </c:pt>
                <c:pt idx="9">
                  <c:v>12578950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70-A44E-B200-B01EF2C82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206144"/>
        <c:axId val="372205752"/>
      </c:lineChart>
      <c:catAx>
        <c:axId val="3722037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2204184"/>
        <c:crosses val="autoZero"/>
        <c:auto val="1"/>
        <c:lblAlgn val="ctr"/>
        <c:lblOffset val="100"/>
        <c:noMultiLvlLbl val="0"/>
      </c:catAx>
      <c:valAx>
        <c:axId val="372204184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372203792"/>
        <c:crosses val="autoZero"/>
        <c:crossBetween val="between"/>
      </c:valAx>
      <c:valAx>
        <c:axId val="372205752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crossAx val="372206144"/>
        <c:crosses val="max"/>
        <c:crossBetween val="between"/>
      </c:valAx>
      <c:catAx>
        <c:axId val="372206144"/>
        <c:scaling>
          <c:orientation val="minMax"/>
        </c:scaling>
        <c:delete val="1"/>
        <c:axPos val="b"/>
        <c:majorTickMark val="out"/>
        <c:minorTickMark val="none"/>
        <c:tickLblPos val="nextTo"/>
        <c:crossAx val="372205752"/>
        <c:crosses val="autoZero"/>
        <c:auto val="1"/>
        <c:lblAlgn val="ctr"/>
        <c:lblOffset val="100"/>
        <c:noMultiLvlLbl val="0"/>
      </c:cat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Tabelle2!$B$1</c:f>
              <c:strCache>
                <c:ptCount val="1"/>
                <c:pt idx="0">
                  <c:v>Benzin</c:v>
                </c:pt>
              </c:strCache>
            </c:strRef>
          </c:tx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Tabelle2!$B$2:$B$11</c:f>
              <c:numCache>
                <c:formatCode>_(* #,##0_);_(* \(#,##0\);_(* "-"??_);_(@_)</c:formatCode>
                <c:ptCount val="10"/>
                <c:pt idx="0">
                  <c:v>36702056</c:v>
                </c:pt>
                <c:pt idx="1">
                  <c:v>36256631</c:v>
                </c:pt>
                <c:pt idx="2">
                  <c:v>35918697</c:v>
                </c:pt>
                <c:pt idx="3">
                  <c:v>35594333</c:v>
                </c:pt>
                <c:pt idx="4">
                  <c:v>30905204</c:v>
                </c:pt>
                <c:pt idx="5">
                  <c:v>30639015</c:v>
                </c:pt>
                <c:pt idx="6">
                  <c:v>30449617</c:v>
                </c:pt>
                <c:pt idx="7">
                  <c:v>30487578</c:v>
                </c:pt>
                <c:pt idx="8">
                  <c:v>30452019</c:v>
                </c:pt>
                <c:pt idx="9">
                  <c:v>30206472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2-EE45-9A0B-A19049BC356A}"/>
            </c:ext>
          </c:extLst>
        </c:ser>
        <c:ser>
          <c:idx val="2"/>
          <c:order val="1"/>
          <c:tx>
            <c:strRef>
              <c:f>Tabelle2!$C$1</c:f>
              <c:strCache>
                <c:ptCount val="1"/>
                <c:pt idx="0">
                  <c:v>Diesel</c:v>
                </c:pt>
              </c:strCache>
            </c:strRef>
          </c:tx>
          <c:spPr>
            <a:ln>
              <a:solidFill>
                <a:srgbClr val="FFC000"/>
              </a:solidFill>
            </a:ln>
          </c:spPr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Tabelle2!$C$2:$C$11</c:f>
              <c:numCache>
                <c:formatCode>_(* #,##0_);_(* \(#,##0\);_(* "-"??_);_(@_)</c:formatCode>
                <c:ptCount val="10"/>
                <c:pt idx="0">
                  <c:v>8293749</c:v>
                </c:pt>
                <c:pt idx="1">
                  <c:v>9071536</c:v>
                </c:pt>
                <c:pt idx="2">
                  <c:v>10091290</c:v>
                </c:pt>
                <c:pt idx="3">
                  <c:v>10819760</c:v>
                </c:pt>
                <c:pt idx="4">
                  <c:v>10045903</c:v>
                </c:pt>
                <c:pt idx="5">
                  <c:v>10290288</c:v>
                </c:pt>
                <c:pt idx="6">
                  <c:v>10817769</c:v>
                </c:pt>
                <c:pt idx="7">
                  <c:v>11266644</c:v>
                </c:pt>
                <c:pt idx="8">
                  <c:v>11891375</c:v>
                </c:pt>
                <c:pt idx="9">
                  <c:v>12578950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2-EE45-9A0B-A19049BC3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2209280"/>
        <c:axId val="371915136"/>
      </c:lineChart>
      <c:catAx>
        <c:axId val="37220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915136"/>
        <c:crosses val="autoZero"/>
        <c:auto val="1"/>
        <c:lblAlgn val="ctr"/>
        <c:lblOffset val="100"/>
        <c:noMultiLvlLbl val="0"/>
      </c:catAx>
      <c:valAx>
        <c:axId val="371915136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crossAx val="37220928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4"/>
          <c:order val="1"/>
          <c:tx>
            <c:strRef>
              <c:f>Tabelle2!$E$1</c:f>
              <c:strCache>
                <c:ptCount val="1"/>
                <c:pt idx="0">
                  <c:v>Hybrid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Tabelle2!$E$2:$E$11</c:f>
              <c:numCache>
                <c:formatCode>_(* #,##0_);_(* \(#,##0\);_(* "-"??_);_(@_)</c:formatCode>
                <c:ptCount val="10"/>
                <c:pt idx="2">
                  <c:v>5971</c:v>
                </c:pt>
                <c:pt idx="3">
                  <c:v>11275</c:v>
                </c:pt>
                <c:pt idx="4">
                  <c:v>17307</c:v>
                </c:pt>
                <c:pt idx="5">
                  <c:v>22330</c:v>
                </c:pt>
                <c:pt idx="6">
                  <c:v>28862</c:v>
                </c:pt>
                <c:pt idx="7">
                  <c:v>37256</c:v>
                </c:pt>
                <c:pt idx="8">
                  <c:v>47642</c:v>
                </c:pt>
                <c:pt idx="9">
                  <c:v>64995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1F-E54F-A11A-8E1DF6272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910824"/>
        <c:axId val="371911608"/>
      </c:lineChart>
      <c:lineChart>
        <c:grouping val="standard"/>
        <c:varyColors val="0"/>
        <c:ser>
          <c:idx val="3"/>
          <c:order val="0"/>
          <c:tx>
            <c:strRef>
              <c:f>Tabelle2!$D$1</c:f>
              <c:strCache>
                <c:ptCount val="1"/>
                <c:pt idx="0">
                  <c:v>BEV</c:v>
                </c:pt>
              </c:strCache>
            </c:strRef>
          </c:tx>
          <c:spPr>
            <a:ln>
              <a:solidFill>
                <a:schemeClr val="tx2"/>
              </a:solidFill>
            </a:ln>
          </c:spPr>
          <c:marker>
            <c:symbol val="none"/>
          </c:marker>
          <c:cat>
            <c:numRef>
              <c:f>Tabelle2!$A$2:$A$11</c:f>
              <c:numCache>
                <c:formatCode>General</c:formatCode>
                <c:ptCount val="10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</c:numCache>
            </c:numRef>
          </c:cat>
          <c:val>
            <c:numRef>
              <c:f>Tabelle2!$D$2:$D$11</c:f>
              <c:numCache>
                <c:formatCode>_(* #,##0_);_(* \(#,##0\);_(* "-"??_);_(@_)</c:formatCode>
                <c:ptCount val="10"/>
                <c:pt idx="0">
                  <c:v>2169</c:v>
                </c:pt>
                <c:pt idx="1">
                  <c:v>2038</c:v>
                </c:pt>
                <c:pt idx="2">
                  <c:v>1931</c:v>
                </c:pt>
                <c:pt idx="3">
                  <c:v>1790</c:v>
                </c:pt>
                <c:pt idx="4">
                  <c:v>1436</c:v>
                </c:pt>
                <c:pt idx="5">
                  <c:v>1452</c:v>
                </c:pt>
                <c:pt idx="6">
                  <c:v>1588</c:v>
                </c:pt>
                <c:pt idx="7">
                  <c:v>2307</c:v>
                </c:pt>
                <c:pt idx="8">
                  <c:v>4541</c:v>
                </c:pt>
                <c:pt idx="9">
                  <c:v>7114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31F-E54F-A11A-8E1DF62722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1914744"/>
        <c:axId val="371907688"/>
      </c:lineChart>
      <c:catAx>
        <c:axId val="371910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71911608"/>
        <c:crosses val="autoZero"/>
        <c:auto val="1"/>
        <c:lblAlgn val="ctr"/>
        <c:lblOffset val="100"/>
        <c:noMultiLvlLbl val="0"/>
      </c:catAx>
      <c:valAx>
        <c:axId val="371911608"/>
        <c:scaling>
          <c:orientation val="minMax"/>
        </c:scaling>
        <c:delete val="0"/>
        <c:axPos val="l"/>
        <c:majorGridlines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accent3">
                    <a:lumMod val="50000"/>
                  </a:schemeClr>
                </a:solidFill>
              </a:defRPr>
            </a:pPr>
            <a:endParaRPr lang="en-US"/>
          </a:p>
        </c:txPr>
        <c:crossAx val="371910824"/>
        <c:crosses val="autoZero"/>
        <c:crossBetween val="between"/>
      </c:valAx>
      <c:valAx>
        <c:axId val="371907688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txPr>
          <a:bodyPr/>
          <a:lstStyle/>
          <a:p>
            <a:pPr>
              <a:defRPr b="1">
                <a:solidFill>
                  <a:schemeClr val="tx2"/>
                </a:solidFill>
              </a:defRPr>
            </a:pPr>
            <a:endParaRPr lang="en-US"/>
          </a:p>
        </c:txPr>
        <c:crossAx val="371914744"/>
        <c:crosses val="max"/>
        <c:crossBetween val="between"/>
      </c:valAx>
      <c:catAx>
        <c:axId val="3719147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1907688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3.xml"/><Relationship Id="rId2" Type="http://schemas.openxmlformats.org/officeDocument/2006/relationships/chart" Target="../charts/chart12.xml"/><Relationship Id="rId1" Type="http://schemas.openxmlformats.org/officeDocument/2006/relationships/chart" Target="../charts/chart11.xml"/><Relationship Id="rId5" Type="http://schemas.openxmlformats.org/officeDocument/2006/relationships/chart" Target="../charts/chart15.xml"/><Relationship Id="rId4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5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4" Type="http://schemas.openxmlformats.org/officeDocument/2006/relationships/chart" Target="../charts/chart26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7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2.xml"/></Relationships>
</file>

<file path=xl/drawings/_rels/drawing2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5.xml"/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228599</xdr:colOff>
      <xdr:row>4</xdr:row>
      <xdr:rowOff>90486</xdr:rowOff>
    </xdr:from>
    <xdr:to>
      <xdr:col>23</xdr:col>
      <xdr:colOff>200025</xdr:colOff>
      <xdr:row>15</xdr:row>
      <xdr:rowOff>180974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400049</xdr:colOff>
      <xdr:row>22</xdr:row>
      <xdr:rowOff>66675</xdr:rowOff>
    </xdr:from>
    <xdr:to>
      <xdr:col>23</xdr:col>
      <xdr:colOff>19050</xdr:colOff>
      <xdr:row>33</xdr:row>
      <xdr:rowOff>57150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714375</xdr:colOff>
      <xdr:row>40</xdr:row>
      <xdr:rowOff>28575</xdr:rowOff>
    </xdr:from>
    <xdr:to>
      <xdr:col>23</xdr:col>
      <xdr:colOff>323849</xdr:colOff>
      <xdr:row>49</xdr:row>
      <xdr:rowOff>76200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76199</xdr:colOff>
      <xdr:row>78</xdr:row>
      <xdr:rowOff>123825</xdr:rowOff>
    </xdr:from>
    <xdr:to>
      <xdr:col>27</xdr:col>
      <xdr:colOff>704850</xdr:colOff>
      <xdr:row>89</xdr:row>
      <xdr:rowOff>23813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56</xdr:row>
      <xdr:rowOff>95250</xdr:rowOff>
    </xdr:from>
    <xdr:to>
      <xdr:col>9</xdr:col>
      <xdr:colOff>0</xdr:colOff>
      <xdr:row>65</xdr:row>
      <xdr:rowOff>95250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56</xdr:row>
      <xdr:rowOff>95250</xdr:rowOff>
    </xdr:from>
    <xdr:to>
      <xdr:col>9</xdr:col>
      <xdr:colOff>0</xdr:colOff>
      <xdr:row>65</xdr:row>
      <xdr:rowOff>95250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18</xdr:col>
      <xdr:colOff>466725</xdr:colOff>
      <xdr:row>54</xdr:row>
      <xdr:rowOff>9524</xdr:rowOff>
    </xdr:from>
    <xdr:to>
      <xdr:col>24</xdr:col>
      <xdr:colOff>476250</xdr:colOff>
      <xdr:row>66</xdr:row>
      <xdr:rowOff>76199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419101</xdr:colOff>
      <xdr:row>144</xdr:row>
      <xdr:rowOff>1</xdr:rowOff>
    </xdr:from>
    <xdr:to>
      <xdr:col>14</xdr:col>
      <xdr:colOff>38101</xdr:colOff>
      <xdr:row>155</xdr:row>
      <xdr:rowOff>28575</xdr:rowOff>
    </xdr:to>
    <xdr:graphicFrame macro="">
      <xdr:nvGraphicFramePr>
        <xdr:cNvPr id="12" name="Diagramm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144</xdr:row>
      <xdr:rowOff>1</xdr:rowOff>
    </xdr:from>
    <xdr:to>
      <xdr:col>11</xdr:col>
      <xdr:colOff>342900</xdr:colOff>
      <xdr:row>155</xdr:row>
      <xdr:rowOff>28575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123825</xdr:colOff>
      <xdr:row>144</xdr:row>
      <xdr:rowOff>1</xdr:rowOff>
    </xdr:from>
    <xdr:to>
      <xdr:col>16</xdr:col>
      <xdr:colOff>504825</xdr:colOff>
      <xdr:row>155</xdr:row>
      <xdr:rowOff>28575</xdr:rowOff>
    </xdr:to>
    <xdr:graphicFrame macro="">
      <xdr:nvGraphicFramePr>
        <xdr:cNvPr id="14" name="Diagramm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0.03416</cdr:x>
      <cdr:y>0.25694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-223990" y="223990"/>
          <a:ext cx="604498" cy="156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lIns="0" tIns="0" rIns="0" bIns="0" rtlCol="0">
          <a:spAutoFit/>
        </a:bodyPr>
        <a:lstStyle xmlns:a="http://schemas.openxmlformats.org/drawingml/2006/main"/>
        <a:p xmlns:a="http://schemas.openxmlformats.org/drawingml/2006/main">
          <a:r>
            <a:rPr lang="en-US" sz="1000"/>
            <a:t>TCO/Jahr</a:t>
          </a:r>
          <a:endParaRPr lang="en-US" sz="900"/>
        </a:p>
      </cdr:txBody>
    </cdr:sp>
  </cdr:relSizeAnchor>
  <cdr:relSizeAnchor xmlns:cdr="http://schemas.openxmlformats.org/drawingml/2006/chartDrawing">
    <cdr:from>
      <cdr:x>0.83164</cdr:x>
      <cdr:y>0.36032</cdr:y>
    </cdr:from>
    <cdr:to>
      <cdr:x>1</cdr:x>
      <cdr:y>0.49338</cdr:y>
    </cdr:to>
    <cdr:sp macro="" textlink="">
      <cdr:nvSpPr>
        <cdr:cNvPr id="23" name="Textfeld 1"/>
        <cdr:cNvSpPr txBox="1"/>
      </cdr:nvSpPr>
      <cdr:spPr>
        <a:xfrm xmlns:a="http://schemas.openxmlformats.org/drawingml/2006/main">
          <a:off x="3905250" y="847725"/>
          <a:ext cx="790575" cy="3130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Ölpreis 2035</a:t>
          </a:r>
        </a:p>
        <a:p xmlns:a="http://schemas.openxmlformats.org/drawingml/2006/main">
          <a:r>
            <a:rPr lang="en-US" sz="1000"/>
            <a:t>($/bl)</a:t>
          </a:r>
          <a:endParaRPr lang="en-US" sz="9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</cdr:x>
      <cdr:y>0.76812</cdr:y>
    </cdr:from>
    <cdr:to>
      <cdr:x>0.40291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1514476"/>
          <a:ext cx="790574" cy="4571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r>
            <a:rPr lang="en-US" sz="1000" b="1">
              <a:solidFill>
                <a:srgbClr val="C00000"/>
              </a:solidFill>
            </a:rPr>
            <a:t>Strom</a:t>
          </a:r>
          <a:br>
            <a:rPr lang="en-US" sz="1000" b="1">
              <a:solidFill>
                <a:srgbClr val="C00000"/>
              </a:solidFill>
            </a:rPr>
          </a:br>
          <a:r>
            <a:rPr lang="en-US" sz="1000" b="1">
              <a:solidFill>
                <a:srgbClr val="C00000"/>
              </a:solidFill>
            </a:rPr>
            <a:t>Ct/kWh</a:t>
          </a:r>
        </a:p>
      </cdr:txBody>
    </cdr:sp>
  </cdr:relSizeAnchor>
  <cdr:relSizeAnchor xmlns:cdr="http://schemas.openxmlformats.org/drawingml/2006/chartDrawing">
    <cdr:from>
      <cdr:x>0.65534</cdr:x>
      <cdr:y>0.78261</cdr:y>
    </cdr:from>
    <cdr:to>
      <cdr:x>1</cdr:x>
      <cdr:y>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285875" y="1543052"/>
          <a:ext cx="676275" cy="4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 b="1">
              <a:solidFill>
                <a:schemeClr val="tx2">
                  <a:lumMod val="75000"/>
                </a:schemeClr>
              </a:solidFill>
            </a:rPr>
            <a:t>Benzin</a:t>
          </a:r>
          <a:br>
            <a:rPr lang="en-US" sz="1000" b="1">
              <a:solidFill>
                <a:schemeClr val="tx2">
                  <a:lumMod val="75000"/>
                </a:schemeClr>
              </a:solidFill>
            </a:rPr>
          </a:br>
          <a:r>
            <a:rPr lang="en-US" sz="1000" b="1">
              <a:solidFill>
                <a:schemeClr val="tx2">
                  <a:lumMod val="75000"/>
                </a:schemeClr>
              </a:solidFill>
            </a:rPr>
            <a:t>EUR/l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0.75845</cdr:y>
    </cdr:from>
    <cdr:to>
      <cdr:x>0.38835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1495426"/>
          <a:ext cx="762000" cy="47624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r>
            <a:rPr lang="en-US" sz="1000" b="1">
              <a:solidFill>
                <a:srgbClr val="C00000"/>
              </a:solidFill>
            </a:rPr>
            <a:t>Strom</a:t>
          </a:r>
          <a:br>
            <a:rPr lang="en-US" sz="1000" b="1">
              <a:solidFill>
                <a:srgbClr val="C00000"/>
              </a:solidFill>
            </a:rPr>
          </a:br>
          <a:r>
            <a:rPr lang="en-US" sz="1000" b="1">
              <a:solidFill>
                <a:srgbClr val="C00000"/>
              </a:solidFill>
            </a:rPr>
            <a:t>Ct/kWh</a:t>
          </a:r>
        </a:p>
      </cdr:txBody>
    </cdr:sp>
  </cdr:relSizeAnchor>
  <cdr:relSizeAnchor xmlns:cdr="http://schemas.openxmlformats.org/drawingml/2006/chartDrawing">
    <cdr:from>
      <cdr:x>0.63107</cdr:x>
      <cdr:y>0.77295</cdr:y>
    </cdr:from>
    <cdr:to>
      <cdr:x>1</cdr:x>
      <cdr:y>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238251" y="1524002"/>
          <a:ext cx="723899" cy="44767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 b="1">
              <a:solidFill>
                <a:schemeClr val="tx2">
                  <a:lumMod val="75000"/>
                </a:schemeClr>
              </a:solidFill>
            </a:rPr>
            <a:t>Benzin</a:t>
          </a:r>
          <a:br>
            <a:rPr lang="en-US" sz="1000" b="1">
              <a:solidFill>
                <a:schemeClr val="tx2">
                  <a:lumMod val="75000"/>
                </a:schemeClr>
              </a:solidFill>
            </a:rPr>
          </a:br>
          <a:r>
            <a:rPr lang="en-US" sz="1000" b="1">
              <a:solidFill>
                <a:schemeClr val="tx2">
                  <a:lumMod val="75000"/>
                </a:schemeClr>
              </a:solidFill>
            </a:rPr>
            <a:t>EUR/l</a:t>
          </a: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</cdr:x>
      <cdr:y>0.69082</cdr:y>
    </cdr:from>
    <cdr:to>
      <cdr:x>0.41748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1362076"/>
          <a:ext cx="819150" cy="6095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 anchor="b"/>
        <a:lstStyle xmlns:a="http://schemas.openxmlformats.org/drawingml/2006/main"/>
        <a:p xmlns:a="http://schemas.openxmlformats.org/drawingml/2006/main">
          <a:r>
            <a:rPr lang="en-US" sz="1000" b="1">
              <a:solidFill>
                <a:srgbClr val="C00000"/>
              </a:solidFill>
            </a:rPr>
            <a:t>Strom</a:t>
          </a:r>
          <a:br>
            <a:rPr lang="en-US" sz="1000" b="1">
              <a:solidFill>
                <a:srgbClr val="C00000"/>
              </a:solidFill>
            </a:rPr>
          </a:br>
          <a:r>
            <a:rPr lang="en-US" sz="1000" b="1">
              <a:solidFill>
                <a:srgbClr val="C00000"/>
              </a:solidFill>
            </a:rPr>
            <a:t>Ct/kWh</a:t>
          </a:r>
        </a:p>
      </cdr:txBody>
    </cdr:sp>
  </cdr:relSizeAnchor>
  <cdr:relSizeAnchor xmlns:cdr="http://schemas.openxmlformats.org/drawingml/2006/chartDrawing">
    <cdr:from>
      <cdr:x>0.64563</cdr:x>
      <cdr:y>0.78261</cdr:y>
    </cdr:from>
    <cdr:to>
      <cdr:x>1</cdr:x>
      <cdr:y>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1266825" y="1543052"/>
          <a:ext cx="695325" cy="4286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000" b="1">
              <a:solidFill>
                <a:schemeClr val="tx2">
                  <a:lumMod val="75000"/>
                </a:schemeClr>
              </a:solidFill>
            </a:rPr>
            <a:t>Benzin</a:t>
          </a:r>
          <a:br>
            <a:rPr lang="en-US" sz="1000" b="1">
              <a:solidFill>
                <a:schemeClr val="tx2">
                  <a:lumMod val="75000"/>
                </a:schemeClr>
              </a:solidFill>
            </a:rPr>
          </a:br>
          <a:r>
            <a:rPr lang="en-US" sz="1000" b="1">
              <a:solidFill>
                <a:schemeClr val="tx2">
                  <a:lumMod val="75000"/>
                </a:schemeClr>
              </a:solidFill>
            </a:rPr>
            <a:t>EUR/l</a:t>
          </a:r>
        </a:p>
      </cdr:txBody>
    </cdr:sp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180975</xdr:rowOff>
    </xdr:from>
    <xdr:to>
      <xdr:col>9</xdr:col>
      <xdr:colOff>0</xdr:colOff>
      <xdr:row>32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15</xdr:row>
      <xdr:rowOff>185738</xdr:rowOff>
    </xdr:from>
    <xdr:to>
      <xdr:col>18</xdr:col>
      <xdr:colOff>228600</xdr:colOff>
      <xdr:row>32</xdr:row>
      <xdr:rowOff>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33</xdr:row>
      <xdr:rowOff>0</xdr:rowOff>
    </xdr:from>
    <xdr:to>
      <xdr:col>4</xdr:col>
      <xdr:colOff>514350</xdr:colOff>
      <xdr:row>44</xdr:row>
      <xdr:rowOff>161925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403412</xdr:colOff>
      <xdr:row>56</xdr:row>
      <xdr:rowOff>123265</xdr:rowOff>
    </xdr:from>
    <xdr:to>
      <xdr:col>17</xdr:col>
      <xdr:colOff>756394</xdr:colOff>
      <xdr:row>75</xdr:row>
      <xdr:rowOff>0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89648</xdr:colOff>
      <xdr:row>56</xdr:row>
      <xdr:rowOff>123265</xdr:rowOff>
    </xdr:from>
    <xdr:to>
      <xdr:col>20</xdr:col>
      <xdr:colOff>56031</xdr:colOff>
      <xdr:row>75</xdr:row>
      <xdr:rowOff>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0.49551</cdr:x>
      <cdr:y>0.03247</cdr:y>
    </cdr:from>
    <cdr:to>
      <cdr:x>0.49551</cdr:x>
      <cdr:y>0.88186</cdr:y>
    </cdr:to>
    <cdr:cxnSp macro="">
      <cdr:nvCxnSpPr>
        <cdr:cNvPr id="3" name="Gerade Verbindung 2">
          <a:extLst xmlns:a="http://schemas.openxmlformats.org/drawingml/2006/main">
            <a:ext uri="{FF2B5EF4-FFF2-40B4-BE49-F238E27FC236}">
              <a16:creationId xmlns:a16="http://schemas.microsoft.com/office/drawing/2014/main" id="{E1E92155-0C0E-764D-B9FD-149CA2E9C9BD}"/>
            </a:ext>
          </a:extLst>
        </cdr:cNvPr>
        <cdr:cNvCxnSpPr/>
      </cdr:nvCxnSpPr>
      <cdr:spPr>
        <a:xfrm xmlns:a="http://schemas.openxmlformats.org/drawingml/2006/main">
          <a:off x="2307951" y="73301"/>
          <a:ext cx="0" cy="1917424"/>
        </a:xfrm>
        <a:prstGeom xmlns:a="http://schemas.openxmlformats.org/drawingml/2006/main" prst="line">
          <a:avLst/>
        </a:prstGeom>
        <a:ln xmlns:a="http://schemas.openxmlformats.org/drawingml/2006/main" w="19050">
          <a:prstDash val="sysDot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0.79959</cdr:x>
      <cdr:y>0.38088</cdr:y>
    </cdr:from>
    <cdr:to>
      <cdr:x>0.99387</cdr:x>
      <cdr:y>0.53165</cdr:y>
    </cdr:to>
    <cdr:sp macro="" textlink="">
      <cdr:nvSpPr>
        <cdr:cNvPr id="6" name="Textfeld 5"/>
        <cdr:cNvSpPr txBox="1"/>
      </cdr:nvSpPr>
      <cdr:spPr>
        <a:xfrm xmlns:a="http://schemas.openxmlformats.org/drawingml/2006/main">
          <a:off x="3724277" y="859818"/>
          <a:ext cx="904874" cy="3403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horzOverflow="clip" wrap="none" lIns="0" tIns="0" rIns="0" bIns="0" rtlCol="0">
          <a:noAutofit/>
        </a:bodyPr>
        <a:lstStyle xmlns:a="http://schemas.openxmlformats.org/drawingml/2006/main"/>
        <a:p xmlns:a="http://schemas.openxmlformats.org/drawingml/2006/main">
          <a:pPr algn="l"/>
          <a:r>
            <a:rPr lang="en-US" sz="1000"/>
            <a:t>WEO</a:t>
          </a:r>
          <a:r>
            <a:rPr lang="en-US" sz="1000" baseline="0"/>
            <a:t> (IEA 2012)</a:t>
          </a:r>
        </a:p>
        <a:p xmlns:a="http://schemas.openxmlformats.org/drawingml/2006/main">
          <a:pPr algn="l"/>
          <a:r>
            <a:rPr lang="en-US" sz="1000" baseline="0"/>
            <a:t>$100/$125/$145</a:t>
          </a:r>
          <a:endParaRPr lang="en-US" sz="1000"/>
        </a:p>
      </cdr:txBody>
    </cdr:sp>
  </cdr:relSizeAnchor>
  <cdr:relSizeAnchor xmlns:cdr="http://schemas.openxmlformats.org/drawingml/2006/chartDrawing">
    <cdr:from>
      <cdr:x>0.80916</cdr:x>
      <cdr:y>0.15154</cdr:y>
    </cdr:from>
    <cdr:to>
      <cdr:x>0.98364</cdr:x>
      <cdr:y>0.22087</cdr:y>
    </cdr:to>
    <cdr:sp macro="" textlink="">
      <cdr:nvSpPr>
        <cdr:cNvPr id="8" name="Textfeld 1"/>
        <cdr:cNvSpPr txBox="1"/>
      </cdr:nvSpPr>
      <cdr:spPr>
        <a:xfrm xmlns:a="http://schemas.openxmlformats.org/drawingml/2006/main">
          <a:off x="3768867" y="342085"/>
          <a:ext cx="812658" cy="156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$200 (IEO High)</a:t>
          </a:r>
        </a:p>
      </cdr:txBody>
    </cdr:sp>
  </cdr:relSizeAnchor>
  <cdr:relSizeAnchor xmlns:cdr="http://schemas.openxmlformats.org/drawingml/2006/chartDrawing">
    <cdr:from>
      <cdr:x>2.14697E-7</cdr:x>
      <cdr:y>0</cdr:y>
    </cdr:from>
    <cdr:to>
      <cdr:x>0.05284</cdr:x>
      <cdr:y>0.14084</cdr:y>
    </cdr:to>
    <cdr:sp macro="" textlink="">
      <cdr:nvSpPr>
        <cdr:cNvPr id="12" name="Textfeld 1"/>
        <cdr:cNvSpPr txBox="1"/>
      </cdr:nvSpPr>
      <cdr:spPr>
        <a:xfrm xmlns:a="http://schemas.openxmlformats.org/drawingml/2006/main" rot="16200000">
          <a:off x="-35902" y="35903"/>
          <a:ext cx="317937" cy="24613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$/bbl</a:t>
          </a:r>
        </a:p>
      </cdr:txBody>
    </cdr:sp>
  </cdr:relSizeAnchor>
  <cdr:relSizeAnchor xmlns:cdr="http://schemas.openxmlformats.org/drawingml/2006/chartDrawing">
    <cdr:from>
      <cdr:x>0.80916</cdr:x>
      <cdr:y>0.68073</cdr:y>
    </cdr:from>
    <cdr:to>
      <cdr:x>0.96457</cdr:x>
      <cdr:y>0.75007</cdr:y>
    </cdr:to>
    <cdr:sp macro="" textlink="">
      <cdr:nvSpPr>
        <cdr:cNvPr id="13" name="Textfeld 1"/>
        <cdr:cNvSpPr txBox="1"/>
      </cdr:nvSpPr>
      <cdr:spPr>
        <a:xfrm xmlns:a="http://schemas.openxmlformats.org/drawingml/2006/main">
          <a:off x="3768867" y="1536700"/>
          <a:ext cx="723853" cy="156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$50 (IEO Low)</a:t>
          </a:r>
        </a:p>
      </cdr:txBody>
    </cdr:sp>
  </cdr:relSizeAnchor>
  <cdr:relSizeAnchor xmlns:cdr="http://schemas.openxmlformats.org/drawingml/2006/chartDrawing">
    <cdr:from>
      <cdr:x>0.76278</cdr:x>
      <cdr:y>0.37975</cdr:y>
    </cdr:from>
    <cdr:to>
      <cdr:x>0.7955</cdr:x>
      <cdr:y>0.55274</cdr:y>
    </cdr:to>
    <cdr:sp macro="" textlink="">
      <cdr:nvSpPr>
        <cdr:cNvPr id="14" name="Geschweifte Klammer rechts 13"/>
        <cdr:cNvSpPr/>
      </cdr:nvSpPr>
      <cdr:spPr>
        <a:xfrm xmlns:a="http://schemas.openxmlformats.org/drawingml/2006/main">
          <a:off x="3552826" y="857250"/>
          <a:ext cx="152400" cy="390525"/>
        </a:xfrm>
        <a:prstGeom xmlns:a="http://schemas.openxmlformats.org/drawingml/2006/main" prst="rightBrac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0.71827</cdr:x>
      <cdr:y>0.91897</cdr:y>
    </cdr:from>
    <cdr:to>
      <cdr:x>0.77411</cdr:x>
      <cdr:y>0.98831</cdr:y>
    </cdr:to>
    <cdr:sp macro="" textlink="">
      <cdr:nvSpPr>
        <cdr:cNvPr id="16" name="Textfeld 1"/>
        <cdr:cNvSpPr txBox="1"/>
      </cdr:nvSpPr>
      <cdr:spPr>
        <a:xfrm xmlns:a="http://schemas.openxmlformats.org/drawingml/2006/main">
          <a:off x="3345522" y="2074514"/>
          <a:ext cx="260071" cy="156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lIns="0" tIns="0" rIns="0" bIns="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2035</a:t>
          </a: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</xdr:colOff>
      <xdr:row>1</xdr:row>
      <xdr:rowOff>19050</xdr:rowOff>
    </xdr:from>
    <xdr:to>
      <xdr:col>7</xdr:col>
      <xdr:colOff>581025</xdr:colOff>
      <xdr:row>12</xdr:row>
      <xdr:rowOff>133350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676275</xdr:colOff>
      <xdr:row>1</xdr:row>
      <xdr:rowOff>14288</xdr:rowOff>
    </xdr:from>
    <xdr:to>
      <xdr:col>11</xdr:col>
      <xdr:colOff>438150</xdr:colOff>
      <xdr:row>12</xdr:row>
      <xdr:rowOff>138113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76200</xdr:colOff>
      <xdr:row>28</xdr:row>
      <xdr:rowOff>0</xdr:rowOff>
    </xdr:from>
    <xdr:to>
      <xdr:col>25</xdr:col>
      <xdr:colOff>190500</xdr:colOff>
      <xdr:row>37</xdr:row>
      <xdr:rowOff>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266700</xdr:colOff>
      <xdr:row>28</xdr:row>
      <xdr:rowOff>0</xdr:rowOff>
    </xdr:from>
    <xdr:to>
      <xdr:col>29</xdr:col>
      <xdr:colOff>285750</xdr:colOff>
      <xdr:row>37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692792</xdr:colOff>
      <xdr:row>10</xdr:row>
      <xdr:rowOff>9526</xdr:rowOff>
    </xdr:from>
    <xdr:to>
      <xdr:col>1</xdr:col>
      <xdr:colOff>962024</xdr:colOff>
      <xdr:row>10</xdr:row>
      <xdr:rowOff>120651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1019175</xdr:colOff>
      <xdr:row>24</xdr:row>
      <xdr:rowOff>180975</xdr:rowOff>
    </xdr:from>
    <xdr:to>
      <xdr:col>25</xdr:col>
      <xdr:colOff>257175</xdr:colOff>
      <xdr:row>28</xdr:row>
      <xdr:rowOff>4762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9525</xdr:colOff>
      <xdr:row>0</xdr:row>
      <xdr:rowOff>19050</xdr:rowOff>
    </xdr:from>
    <xdr:to>
      <xdr:col>25</xdr:col>
      <xdr:colOff>1266824</xdr:colOff>
      <xdr:row>19</xdr:row>
      <xdr:rowOff>0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0.64524</cdr:x>
      <cdr:y>0.91781</cdr:y>
    </cdr:from>
    <cdr:to>
      <cdr:x>0.73701</cdr:x>
      <cdr:y>0.97108</cdr:y>
    </cdr:to>
    <cdr:sp macro="" textlink="">
      <cdr:nvSpPr>
        <cdr:cNvPr id="2" name="Rechteck 1"/>
        <cdr:cNvSpPr/>
      </cdr:nvSpPr>
      <cdr:spPr>
        <a:xfrm xmlns:a="http://schemas.openxmlformats.org/drawingml/2006/main">
          <a:off x="1892942" y="1914526"/>
          <a:ext cx="269232" cy="111125"/>
        </a:xfrm>
        <a:prstGeom xmlns:a="http://schemas.openxmlformats.org/drawingml/2006/main" prst="rect">
          <a:avLst/>
        </a:prstGeom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0.71519</cdr:x>
      <cdr:y>0.87671</cdr:y>
    </cdr:from>
    <cdr:to>
      <cdr:x>1</cdr:x>
      <cdr:y>1</cdr:y>
    </cdr:to>
    <cdr:sp macro="" textlink="">
      <cdr:nvSpPr>
        <cdr:cNvPr id="3" name="Textfeld 2"/>
        <cdr:cNvSpPr txBox="1"/>
      </cdr:nvSpPr>
      <cdr:spPr>
        <a:xfrm xmlns:a="http://schemas.openxmlformats.org/drawingml/2006/main">
          <a:off x="2152650" y="1828800"/>
          <a:ext cx="8572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000"/>
            <a:t>Wertverlust</a:t>
          </a:r>
        </a:p>
      </cdr:txBody>
    </cdr:sp>
  </cdr:relSizeAnchor>
</c:userShapes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0.08228</cdr:x>
      <cdr:y>0.87671</cdr:y>
    </cdr:from>
    <cdr:to>
      <cdr:x>0.48101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247650" y="1828800"/>
          <a:ext cx="1200150" cy="257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Laufende Kosten</a:t>
          </a:r>
        </a:p>
      </cdr:txBody>
    </cdr:sp>
  </cdr:relSizeAnchor>
  <cdr:relSizeAnchor xmlns:cdr="http://schemas.openxmlformats.org/drawingml/2006/chartDrawing">
    <cdr:from>
      <cdr:x>0</cdr:x>
      <cdr:y>0.91324</cdr:y>
    </cdr:from>
    <cdr:to>
      <cdr:x>0.09177</cdr:x>
      <cdr:y>0.96651</cdr:y>
    </cdr:to>
    <cdr:sp macro="" textlink="">
      <cdr:nvSpPr>
        <cdr:cNvPr id="3" name="Rechteck 2"/>
        <cdr:cNvSpPr/>
      </cdr:nvSpPr>
      <cdr:spPr>
        <a:xfrm xmlns:a="http://schemas.openxmlformats.org/drawingml/2006/main">
          <a:off x="0" y="1905000"/>
          <a:ext cx="276225" cy="111125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2"/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238125</xdr:colOff>
      <xdr:row>13</xdr:row>
      <xdr:rowOff>14287</xdr:rowOff>
    </xdr:from>
    <xdr:to>
      <xdr:col>23</xdr:col>
      <xdr:colOff>257175</xdr:colOff>
      <xdr:row>21</xdr:row>
      <xdr:rowOff>76200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219075</xdr:colOff>
      <xdr:row>22</xdr:row>
      <xdr:rowOff>38100</xdr:rowOff>
    </xdr:from>
    <xdr:to>
      <xdr:col>23</xdr:col>
      <xdr:colOff>238125</xdr:colOff>
      <xdr:row>30</xdr:row>
      <xdr:rowOff>100013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447675</xdr:colOff>
      <xdr:row>64</xdr:row>
      <xdr:rowOff>147636</xdr:rowOff>
    </xdr:from>
    <xdr:to>
      <xdr:col>22</xdr:col>
      <xdr:colOff>38100</xdr:colOff>
      <xdr:row>72</xdr:row>
      <xdr:rowOff>47625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314325</xdr:colOff>
      <xdr:row>1</xdr:row>
      <xdr:rowOff>57150</xdr:rowOff>
    </xdr:from>
    <xdr:to>
      <xdr:col>23</xdr:col>
      <xdr:colOff>333375</xdr:colOff>
      <xdr:row>9</xdr:row>
      <xdr:rowOff>180975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3.xml><?xml version="1.0" encoding="utf-8"?>
<c:userShapes xmlns:c="http://schemas.openxmlformats.org/drawingml/2006/chart">
  <cdr:relSizeAnchor xmlns:cdr="http://schemas.openxmlformats.org/drawingml/2006/chartDrawing">
    <cdr:from>
      <cdr:x>0.86576</cdr:x>
      <cdr:y>0.82609</cdr:y>
    </cdr:from>
    <cdr:to>
      <cdr:x>1</cdr:x>
      <cdr:y>1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5467339" y="1176345"/>
          <a:ext cx="847736" cy="24764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r"/>
          <a:r>
            <a:rPr lang="en-US" sz="1100" b="1">
              <a:solidFill>
                <a:srgbClr val="C00000"/>
              </a:solidFill>
            </a:rPr>
            <a:t>d€/t CO</a:t>
          </a:r>
          <a:r>
            <a:rPr lang="en-US" sz="1100" b="1" baseline="-25000">
              <a:solidFill>
                <a:srgbClr val="C00000"/>
              </a:solidFill>
            </a:rPr>
            <a:t>2</a:t>
          </a:r>
          <a:endParaRPr lang="en-US" sz="1100" b="1">
            <a:solidFill>
              <a:srgbClr val="C00000"/>
            </a:solidFill>
          </a:endParaRPr>
        </a:p>
      </cdr:txBody>
    </cdr:sp>
  </cdr:relSizeAnchor>
  <cdr:relSizeAnchor xmlns:cdr="http://schemas.openxmlformats.org/drawingml/2006/chartDrawing">
    <cdr:from>
      <cdr:x>0</cdr:x>
      <cdr:y>0.70791</cdr:y>
    </cdr:from>
    <cdr:to>
      <cdr:x>0.21569</cdr:x>
      <cdr:y>1</cdr:y>
    </cdr:to>
    <cdr:sp macro="" textlink="">
      <cdr:nvSpPr>
        <cdr:cNvPr id="3" name="Textfeld 1"/>
        <cdr:cNvSpPr txBox="1"/>
      </cdr:nvSpPr>
      <cdr:spPr>
        <a:xfrm xmlns:a="http://schemas.openxmlformats.org/drawingml/2006/main">
          <a:off x="0" y="1008059"/>
          <a:ext cx="1362095" cy="4159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 anchor="b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b="1">
              <a:solidFill>
                <a:schemeClr val="tx2">
                  <a:lumMod val="75000"/>
                </a:schemeClr>
              </a:solidFill>
            </a:rPr>
            <a:t>dCO</a:t>
          </a:r>
          <a:r>
            <a:rPr lang="en-US" b="1" baseline="-25000">
              <a:solidFill>
                <a:schemeClr val="tx2">
                  <a:lumMod val="75000"/>
                </a:schemeClr>
              </a:solidFill>
            </a:rPr>
            <a:t>2</a:t>
          </a:r>
          <a:endParaRPr lang="en-US" b="1">
            <a:solidFill>
              <a:schemeClr val="tx2">
                <a:lumMod val="75000"/>
              </a:schemeClr>
            </a:solidFill>
          </a:endParaRPr>
        </a:p>
      </cdr:txBody>
    </cdr:sp>
  </cdr:relSizeAnchor>
</c:userShapes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68</xdr:col>
      <xdr:colOff>276230</xdr:colOff>
      <xdr:row>2</xdr:row>
      <xdr:rowOff>14286</xdr:rowOff>
    </xdr:from>
    <xdr:to>
      <xdr:col>75</xdr:col>
      <xdr:colOff>561975</xdr:colOff>
      <xdr:row>21</xdr:row>
      <xdr:rowOff>114299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135</xdr:row>
      <xdr:rowOff>0</xdr:rowOff>
    </xdr:from>
    <xdr:to>
      <xdr:col>10</xdr:col>
      <xdr:colOff>619125</xdr:colOff>
      <xdr:row>169</xdr:row>
      <xdr:rowOff>53338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793700"/>
          <a:ext cx="8239125" cy="653033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590550</xdr:colOff>
      <xdr:row>1</xdr:row>
      <xdr:rowOff>14287</xdr:rowOff>
    </xdr:from>
    <xdr:to>
      <xdr:col>21</xdr:col>
      <xdr:colOff>590550</xdr:colOff>
      <xdr:row>15</xdr:row>
      <xdr:rowOff>90487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F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17</xdr:row>
      <xdr:rowOff>0</xdr:rowOff>
    </xdr:from>
    <xdr:to>
      <xdr:col>22</xdr:col>
      <xdr:colOff>0</xdr:colOff>
      <xdr:row>31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0F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0.0875</cdr:x>
      <cdr:y>0.14777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0"/>
          <a:ext cx="400050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9144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/>
            <a:t>TCO</a:t>
          </a:r>
          <a:br>
            <a:rPr lang="en-US" sz="1000"/>
          </a:br>
          <a:r>
            <a:rPr lang="en-US" sz="1000"/>
            <a:t>(t EUR)</a:t>
          </a:r>
        </a:p>
      </cdr:txBody>
    </cdr:sp>
  </cdr:relSizeAnchor>
  <cdr:relSizeAnchor xmlns:cdr="http://schemas.openxmlformats.org/drawingml/2006/chartDrawing">
    <cdr:from>
      <cdr:x>0.95208</cdr:x>
      <cdr:y>0.93229</cdr:y>
    </cdr:from>
    <cdr:to>
      <cdr:x>1</cdr:x>
      <cdr:y>0.99653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4352925" y="2557463"/>
          <a:ext cx="219075" cy="1762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t (j)</a:t>
          </a:r>
        </a:p>
      </cdr:txBody>
    </cdr:sp>
  </cdr:relSizeAnchor>
  <cdr:relSizeAnchor xmlns:cdr="http://schemas.openxmlformats.org/drawingml/2006/chartDrawing">
    <cdr:from>
      <cdr:x>0.15833</cdr:x>
      <cdr:y>0.40799</cdr:y>
    </cdr:from>
    <cdr:to>
      <cdr:x>0.26875</cdr:x>
      <cdr:y>0.98785</cdr:y>
    </cdr:to>
    <cdr:sp macro="" textlink="">
      <cdr:nvSpPr>
        <cdr:cNvPr id="5" name="Rechteck 4"/>
        <cdr:cNvSpPr/>
      </cdr:nvSpPr>
      <cdr:spPr>
        <a:xfrm xmlns:a="http://schemas.openxmlformats.org/drawingml/2006/main">
          <a:off x="723900" y="1119188"/>
          <a:ext cx="504825" cy="1590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0.21354</cdr:x>
      <cdr:y>0.35243</cdr:y>
    </cdr:from>
    <cdr:to>
      <cdr:x>0.23542</cdr:x>
      <cdr:y>0.40799</cdr:y>
    </cdr:to>
    <cdr:cxnSp macro="">
      <cdr:nvCxnSpPr>
        <cdr:cNvPr id="7" name="Gerade Verbindung 6">
          <a:extLst xmlns:a="http://schemas.openxmlformats.org/drawingml/2006/main">
            <a:ext uri="{FF2B5EF4-FFF2-40B4-BE49-F238E27FC236}">
              <a16:creationId xmlns:a16="http://schemas.microsoft.com/office/drawing/2014/main" id="{7273561B-49DA-634E-8A37-36FE6DFDAF23}"/>
            </a:ext>
          </a:extLst>
        </cdr:cNvPr>
        <cdr:cNvCxnSpPr>
          <a:stCxn xmlns:a="http://schemas.openxmlformats.org/drawingml/2006/main" id="5" idx="0"/>
        </cdr:cNvCxnSpPr>
      </cdr:nvCxnSpPr>
      <cdr:spPr>
        <a:xfrm xmlns:a="http://schemas.openxmlformats.org/drawingml/2006/main" flipV="1">
          <a:off x="976313" y="966788"/>
          <a:ext cx="100012" cy="15240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0.15694</cdr:x>
      <cdr:y>0.24421</cdr:y>
    </cdr:from>
    <cdr:to>
      <cdr:x>0.40625</cdr:x>
      <cdr:y>0.39198</cdr:y>
    </cdr:to>
    <cdr:sp macro="" textlink="">
      <cdr:nvSpPr>
        <cdr:cNvPr id="8" name="Textfeld 1"/>
        <cdr:cNvSpPr txBox="1"/>
      </cdr:nvSpPr>
      <cdr:spPr>
        <a:xfrm xmlns:a="http://schemas.openxmlformats.org/drawingml/2006/main">
          <a:off x="717549" y="669925"/>
          <a:ext cx="1139826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Anschaffungs-</a:t>
          </a:r>
          <a:br>
            <a:rPr lang="en-US" sz="1000"/>
          </a:br>
          <a:r>
            <a:rPr lang="en-US" sz="1000"/>
            <a:t>kosten</a:t>
          </a:r>
        </a:p>
      </cdr:txBody>
    </cdr:sp>
  </cdr:relSizeAnchor>
  <cdr:relSizeAnchor xmlns:cdr="http://schemas.openxmlformats.org/drawingml/2006/chartDrawing">
    <cdr:from>
      <cdr:x>0.82708</cdr:x>
      <cdr:y>0.21007</cdr:y>
    </cdr:from>
    <cdr:to>
      <cdr:x>0.93819</cdr:x>
      <cdr:y>0.98785</cdr:y>
    </cdr:to>
    <cdr:sp macro="" textlink="">
      <cdr:nvSpPr>
        <cdr:cNvPr id="9" name="Rechteck 8"/>
        <cdr:cNvSpPr/>
      </cdr:nvSpPr>
      <cdr:spPr>
        <a:xfrm xmlns:a="http://schemas.openxmlformats.org/drawingml/2006/main">
          <a:off x="3781425" y="576263"/>
          <a:ext cx="508000" cy="21336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0.77708</cdr:x>
      <cdr:y>0.13368</cdr:y>
    </cdr:from>
    <cdr:to>
      <cdr:x>0.88264</cdr:x>
      <cdr:y>0.21007</cdr:y>
    </cdr:to>
    <cdr:cxnSp macro="">
      <cdr:nvCxnSpPr>
        <cdr:cNvPr id="10" name="Gerade Verbindung 9">
          <a:extLst xmlns:a="http://schemas.openxmlformats.org/drawingml/2006/main">
            <a:ext uri="{FF2B5EF4-FFF2-40B4-BE49-F238E27FC236}">
              <a16:creationId xmlns:a16="http://schemas.microsoft.com/office/drawing/2014/main" id="{7718076E-D357-DD42-8D6F-C3286948670D}"/>
            </a:ext>
          </a:extLst>
        </cdr:cNvPr>
        <cdr:cNvCxnSpPr>
          <a:stCxn xmlns:a="http://schemas.openxmlformats.org/drawingml/2006/main" id="9" idx="0"/>
        </cdr:cNvCxnSpPr>
      </cdr:nvCxnSpPr>
      <cdr:spPr>
        <a:xfrm xmlns:a="http://schemas.openxmlformats.org/drawingml/2006/main" flipH="1" flipV="1">
          <a:off x="3552825" y="366713"/>
          <a:ext cx="482600" cy="209550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0.55486</cdr:x>
      <cdr:y>0.0706</cdr:y>
    </cdr:from>
    <cdr:to>
      <cdr:x>0.80417</cdr:x>
      <cdr:y>0.21837</cdr:y>
    </cdr:to>
    <cdr:sp macro="" textlink="">
      <cdr:nvSpPr>
        <cdr:cNvPr id="13" name="Textfeld 1"/>
        <cdr:cNvSpPr txBox="1"/>
      </cdr:nvSpPr>
      <cdr:spPr>
        <a:xfrm xmlns:a="http://schemas.openxmlformats.org/drawingml/2006/main">
          <a:off x="2536825" y="193675"/>
          <a:ext cx="1139826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Gesamtkosten</a:t>
          </a:r>
        </a:p>
        <a:p xmlns:a="http://schemas.openxmlformats.org/drawingml/2006/main">
          <a:pPr algn="ctr"/>
          <a:r>
            <a:rPr lang="en-US" sz="1000"/>
            <a:t>nach</a:t>
          </a:r>
          <a:r>
            <a:rPr lang="en-US" sz="1000" baseline="0"/>
            <a:t> 5 Jahren</a:t>
          </a:r>
          <a:endParaRPr lang="en-US" sz="1000"/>
        </a:p>
      </cdr:txBody>
    </cdr:sp>
  </cdr:relSizeAnchor>
  <cdr:relSizeAnchor xmlns:cdr="http://schemas.openxmlformats.org/drawingml/2006/chartDrawing">
    <cdr:from>
      <cdr:x>0.53958</cdr:x>
      <cdr:y>0.31424</cdr:y>
    </cdr:from>
    <cdr:to>
      <cdr:x>0.54583</cdr:x>
      <cdr:y>0.42882</cdr:y>
    </cdr:to>
    <cdr:cxnSp macro="">
      <cdr:nvCxnSpPr>
        <cdr:cNvPr id="21" name="Gerade Verbindung 20">
          <a:extLst xmlns:a="http://schemas.openxmlformats.org/drawingml/2006/main">
            <a:ext uri="{FF2B5EF4-FFF2-40B4-BE49-F238E27FC236}">
              <a16:creationId xmlns:a16="http://schemas.microsoft.com/office/drawing/2014/main" id="{E79F6B02-8804-6646-B3E1-A3C7086096A9}"/>
            </a:ext>
          </a:extLst>
        </cdr:cNvPr>
        <cdr:cNvCxnSpPr/>
      </cdr:nvCxnSpPr>
      <cdr:spPr>
        <a:xfrm xmlns:a="http://schemas.openxmlformats.org/drawingml/2006/main" flipH="1" flipV="1">
          <a:off x="2466975" y="862013"/>
          <a:ext cx="28576" cy="314326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0.36493</cdr:x>
      <cdr:y>0.24769</cdr:y>
    </cdr:from>
    <cdr:to>
      <cdr:x>0.61424</cdr:x>
      <cdr:y>0.3384</cdr:y>
    </cdr:to>
    <cdr:sp macro="" textlink="">
      <cdr:nvSpPr>
        <cdr:cNvPr id="22" name="Textfeld 1"/>
        <cdr:cNvSpPr txBox="1"/>
      </cdr:nvSpPr>
      <cdr:spPr>
        <a:xfrm xmlns:a="http://schemas.openxmlformats.org/drawingml/2006/main">
          <a:off x="1668461" y="679450"/>
          <a:ext cx="1139826" cy="2488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Break-Even</a:t>
          </a:r>
        </a:p>
      </cdr:txBody>
    </cdr:sp>
  </cdr:relSizeAnchor>
  <cdr:relSizeAnchor xmlns:cdr="http://schemas.openxmlformats.org/drawingml/2006/chartDrawing">
    <cdr:from>
      <cdr:x>0.18819</cdr:x>
      <cdr:y>0.1088</cdr:y>
    </cdr:from>
    <cdr:to>
      <cdr:x>0.33542</cdr:x>
      <cdr:y>0.25657</cdr:y>
    </cdr:to>
    <cdr:sp macro="" textlink="">
      <cdr:nvSpPr>
        <cdr:cNvPr id="35" name="Textfeld 1"/>
        <cdr:cNvSpPr txBox="1"/>
      </cdr:nvSpPr>
      <cdr:spPr>
        <a:xfrm xmlns:a="http://schemas.openxmlformats.org/drawingml/2006/main">
          <a:off x="860425" y="298450"/>
          <a:ext cx="673100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/>
            <a:t>A = 20</a:t>
          </a:r>
          <a:r>
            <a:rPr lang="en-US" sz="1000" baseline="0"/>
            <a:t> + 5x</a:t>
          </a:r>
        </a:p>
        <a:p xmlns:a="http://schemas.openxmlformats.org/drawingml/2006/main">
          <a:pPr algn="l"/>
          <a:r>
            <a:rPr lang="en-US" sz="1000" baseline="0"/>
            <a:t>B = 30 + 1x</a:t>
          </a:r>
          <a:endParaRPr lang="en-US" sz="1000"/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0.0875</cdr:x>
      <cdr:y>0.14777</cdr:y>
    </cdr:to>
    <cdr:sp macro="" textlink="">
      <cdr:nvSpPr>
        <cdr:cNvPr id="2" name="Textfeld 1"/>
        <cdr:cNvSpPr txBox="1"/>
      </cdr:nvSpPr>
      <cdr:spPr>
        <a:xfrm xmlns:a="http://schemas.openxmlformats.org/drawingml/2006/main">
          <a:off x="0" y="0"/>
          <a:ext cx="400050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lIns="0" tIns="0" rIns="0" bIns="91440" rtlCol="0">
          <a:spAutoFit/>
        </a:bodyPr>
        <a:lstStyle xmlns:a="http://schemas.openxmlformats.org/drawingml/2006/main"/>
        <a:p xmlns:a="http://schemas.openxmlformats.org/drawingml/2006/main">
          <a:pPr algn="ctr"/>
          <a:r>
            <a:rPr lang="en-US" sz="1000"/>
            <a:t>TCO</a:t>
          </a:r>
          <a:br>
            <a:rPr lang="en-US" sz="1000"/>
          </a:br>
          <a:r>
            <a:rPr lang="en-US" sz="1000"/>
            <a:t>(t EUR)</a:t>
          </a:r>
        </a:p>
      </cdr:txBody>
    </cdr:sp>
  </cdr:relSizeAnchor>
  <cdr:relSizeAnchor xmlns:cdr="http://schemas.openxmlformats.org/drawingml/2006/chartDrawing">
    <cdr:from>
      <cdr:x>0.95208</cdr:x>
      <cdr:y>0.93229</cdr:y>
    </cdr:from>
    <cdr:to>
      <cdr:x>1</cdr:x>
      <cdr:y>0.99653</cdr:y>
    </cdr:to>
    <cdr:sp macro="" textlink="">
      <cdr:nvSpPr>
        <cdr:cNvPr id="4" name="Textfeld 1"/>
        <cdr:cNvSpPr txBox="1"/>
      </cdr:nvSpPr>
      <cdr:spPr>
        <a:xfrm xmlns:a="http://schemas.openxmlformats.org/drawingml/2006/main">
          <a:off x="4352925" y="2557463"/>
          <a:ext cx="219075" cy="1762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no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/>
            <a:t>t (j)</a:t>
          </a:r>
        </a:p>
      </cdr:txBody>
    </cdr:sp>
  </cdr:relSizeAnchor>
  <cdr:relSizeAnchor xmlns:cdr="http://schemas.openxmlformats.org/drawingml/2006/chartDrawing">
    <cdr:from>
      <cdr:x>0.15625</cdr:x>
      <cdr:y>0.35069</cdr:y>
    </cdr:from>
    <cdr:to>
      <cdr:x>0.575</cdr:x>
      <cdr:y>0.98785</cdr:y>
    </cdr:to>
    <cdr:sp macro="" textlink="">
      <cdr:nvSpPr>
        <cdr:cNvPr id="5" name="Rechteck 4"/>
        <cdr:cNvSpPr/>
      </cdr:nvSpPr>
      <cdr:spPr>
        <a:xfrm xmlns:a="http://schemas.openxmlformats.org/drawingml/2006/main">
          <a:off x="714376" y="962025"/>
          <a:ext cx="1914524" cy="174784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>
          <a:solidFill>
            <a:schemeClr val="tx1"/>
          </a:solidFill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0.82292</cdr:x>
      <cdr:y>0.19097</cdr:y>
    </cdr:from>
    <cdr:to>
      <cdr:x>0.90556</cdr:x>
      <cdr:y>0.28993</cdr:y>
    </cdr:to>
    <cdr:cxnSp macro="">
      <cdr:nvCxnSpPr>
        <cdr:cNvPr id="10" name="Gerade Verbindung 9">
          <a:extLst xmlns:a="http://schemas.openxmlformats.org/drawingml/2006/main">
            <a:ext uri="{FF2B5EF4-FFF2-40B4-BE49-F238E27FC236}">
              <a16:creationId xmlns:a16="http://schemas.microsoft.com/office/drawing/2014/main" id="{A3BB72EE-FEC2-934C-953C-46909ECFF71A}"/>
            </a:ext>
          </a:extLst>
        </cdr:cNvPr>
        <cdr:cNvCxnSpPr/>
      </cdr:nvCxnSpPr>
      <cdr:spPr>
        <a:xfrm xmlns:a="http://schemas.openxmlformats.org/drawingml/2006/main" flipH="1" flipV="1">
          <a:off x="3762375" y="523875"/>
          <a:ext cx="377830" cy="271465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0.55486</cdr:x>
      <cdr:y>0.0706</cdr:y>
    </cdr:from>
    <cdr:to>
      <cdr:x>0.88542</cdr:x>
      <cdr:y>0.21837</cdr:y>
    </cdr:to>
    <cdr:sp macro="" textlink="">
      <cdr:nvSpPr>
        <cdr:cNvPr id="13" name="Textfeld 1"/>
        <cdr:cNvSpPr txBox="1"/>
      </cdr:nvSpPr>
      <cdr:spPr>
        <a:xfrm xmlns:a="http://schemas.openxmlformats.org/drawingml/2006/main">
          <a:off x="2536820" y="193670"/>
          <a:ext cx="1511305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/>
            <a:t>Break-Even-Point</a:t>
          </a:r>
          <a:r>
            <a:rPr lang="en-US" sz="1000" baseline="0"/>
            <a:t> ausserhalb Betrachtungszeitraum</a:t>
          </a:r>
          <a:endParaRPr lang="en-US" sz="1000"/>
        </a:p>
      </cdr:txBody>
    </cdr:sp>
  </cdr:relSizeAnchor>
  <cdr:relSizeAnchor xmlns:cdr="http://schemas.openxmlformats.org/drawingml/2006/chartDrawing">
    <cdr:from>
      <cdr:x>0.1625</cdr:x>
      <cdr:y>0.28588</cdr:y>
    </cdr:from>
    <cdr:to>
      <cdr:x>0.47674</cdr:x>
      <cdr:y>0.3766</cdr:y>
    </cdr:to>
    <cdr:sp macro="" textlink="">
      <cdr:nvSpPr>
        <cdr:cNvPr id="22" name="Textfeld 1"/>
        <cdr:cNvSpPr txBox="1"/>
      </cdr:nvSpPr>
      <cdr:spPr>
        <a:xfrm xmlns:a="http://schemas.openxmlformats.org/drawingml/2006/main">
          <a:off x="742950" y="784238"/>
          <a:ext cx="1436705" cy="24885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/>
            <a:t>Betrachtungszeitraum t=5</a:t>
          </a:r>
        </a:p>
      </cdr:txBody>
    </cdr:sp>
  </cdr:relSizeAnchor>
  <cdr:relSizeAnchor xmlns:cdr="http://schemas.openxmlformats.org/drawingml/2006/chartDrawing">
    <cdr:from>
      <cdr:x>0.18819</cdr:x>
      <cdr:y>0.1088</cdr:y>
    </cdr:from>
    <cdr:to>
      <cdr:x>0.33542</cdr:x>
      <cdr:y>0.25657</cdr:y>
    </cdr:to>
    <cdr:sp macro="" textlink="">
      <cdr:nvSpPr>
        <cdr:cNvPr id="35" name="Textfeld 1"/>
        <cdr:cNvSpPr txBox="1"/>
      </cdr:nvSpPr>
      <cdr:spPr>
        <a:xfrm xmlns:a="http://schemas.openxmlformats.org/drawingml/2006/main">
          <a:off x="860425" y="298450"/>
          <a:ext cx="673100" cy="4053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lIns="0" tIns="0" rIns="0" bIns="91440" rtlCol="0">
          <a:spAutoFit/>
        </a:bodyPr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en-US" sz="1000"/>
            <a:t>A = 20</a:t>
          </a:r>
          <a:r>
            <a:rPr lang="en-US" sz="1000" baseline="0"/>
            <a:t> + 2x</a:t>
          </a:r>
        </a:p>
        <a:p xmlns:a="http://schemas.openxmlformats.org/drawingml/2006/main">
          <a:pPr algn="l"/>
          <a:r>
            <a:rPr lang="en-US" sz="1000" baseline="0"/>
            <a:t>B = 30 + 1x</a:t>
          </a:r>
          <a:endParaRPr lang="en-US" sz="1000"/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495300</xdr:colOff>
      <xdr:row>49</xdr:row>
      <xdr:rowOff>0</xdr:rowOff>
    </xdr:from>
    <xdr:to>
      <xdr:col>22</xdr:col>
      <xdr:colOff>495300</xdr:colOff>
      <xdr:row>67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276225</xdr:colOff>
      <xdr:row>69</xdr:row>
      <xdr:rowOff>119062</xdr:rowOff>
    </xdr:from>
    <xdr:to>
      <xdr:col>21</xdr:col>
      <xdr:colOff>447675</xdr:colOff>
      <xdr:row>84</xdr:row>
      <xdr:rowOff>4762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0.06875</cdr:x>
      <cdr:y>0.13021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-21431" y="21431"/>
          <a:ext cx="357188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r>
            <a:rPr lang="en-US" sz="1000"/>
            <a:t>€Ct/l</a:t>
          </a:r>
        </a:p>
      </cdr:txBody>
    </cdr:sp>
  </cdr:relSizeAnchor>
</c:userShapes>
</file>

<file path=xl/drawings/drawing21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0.06627</cdr:x>
      <cdr:y>0.16683</cdr:y>
    </cdr:to>
    <cdr:sp macro="" textlink="">
      <cdr:nvSpPr>
        <cdr:cNvPr id="2" name="Textfeld 1"/>
        <cdr:cNvSpPr txBox="1"/>
      </cdr:nvSpPr>
      <cdr:spPr>
        <a:xfrm xmlns:a="http://schemas.openxmlformats.org/drawingml/2006/main" rot="16200000">
          <a:off x="-71661" y="71661"/>
          <a:ext cx="457647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000"/>
            <a:t>€Ct/l</a:t>
          </a:r>
        </a:p>
      </cdr:txBody>
    </cdr:sp>
  </cdr:relSizeAnchor>
</c:userShapes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0</xdr:colOff>
      <xdr:row>2</xdr:row>
      <xdr:rowOff>0</xdr:rowOff>
    </xdr:from>
    <xdr:ext cx="11600001" cy="6733334"/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1600001" cy="6733334"/>
        </a:xfrm>
        <a:prstGeom prst="rect">
          <a:avLst/>
        </a:prstGeom>
      </xdr:spPr>
    </xdr:pic>
    <xdr:clientData/>
  </xdr:oneCellAnchor>
  <xdr:oneCellAnchor>
    <xdr:from>
      <xdr:col>6</xdr:col>
      <xdr:colOff>47625</xdr:colOff>
      <xdr:row>39</xdr:row>
      <xdr:rowOff>180975</xdr:rowOff>
    </xdr:from>
    <xdr:ext cx="10219048" cy="6666667"/>
    <xdr:pic>
      <xdr:nvPicPr>
        <xdr:cNvPr id="3" name="Grafik 2">
          <a:extLst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5" y="7610475"/>
          <a:ext cx="10219048" cy="6666667"/>
        </a:xfrm>
        <a:prstGeom prst="rect">
          <a:avLst/>
        </a:prstGeom>
      </xdr:spPr>
    </xdr:pic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238125</xdr:colOff>
      <xdr:row>29</xdr:row>
      <xdr:rowOff>104775</xdr:rowOff>
    </xdr:from>
    <xdr:ext cx="2352675" cy="1809750"/>
    <xdr:pic>
      <xdr:nvPicPr>
        <xdr:cNvPr id="5" name="Picture 6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6125" y="5657850"/>
          <a:ext cx="2352675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1514475</xdr:colOff>
      <xdr:row>8</xdr:row>
      <xdr:rowOff>176212</xdr:rowOff>
    </xdr:from>
    <xdr:to>
      <xdr:col>0</xdr:col>
      <xdr:colOff>5600700</xdr:colOff>
      <xdr:row>23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800100</xdr:colOff>
      <xdr:row>8</xdr:row>
      <xdr:rowOff>147637</xdr:rowOff>
    </xdr:from>
    <xdr:to>
      <xdr:col>11</xdr:col>
      <xdr:colOff>523875</xdr:colOff>
      <xdr:row>23</xdr:row>
      <xdr:rowOff>33337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24</xdr:row>
      <xdr:rowOff>0</xdr:rowOff>
    </xdr:from>
    <xdr:to>
      <xdr:col>10</xdr:col>
      <xdr:colOff>485775</xdr:colOff>
      <xdr:row>38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24</xdr:row>
      <xdr:rowOff>0</xdr:rowOff>
    </xdr:from>
    <xdr:to>
      <xdr:col>17</xdr:col>
      <xdr:colOff>0</xdr:colOff>
      <xdr:row>38</xdr:row>
      <xdr:rowOff>76200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elle5" displayName="Tabelle5" ref="A2:B12" totalsRowShown="0">
  <autoFilter ref="A2:B12" xr:uid="{00000000-0009-0000-0100-000005000000}">
    <filterColumn colId="1">
      <filters>
        <filter val="1,887 €"/>
        <filter val="12,877 €"/>
        <filter val="2,087 €"/>
        <filter val="3,478 €"/>
        <filter val="4,956 €"/>
        <filter val="8,947 €"/>
      </filters>
    </filterColumn>
  </autoFilter>
  <sortState ref="A3:B12">
    <sortCondition descending="1" ref="B2:B12"/>
  </sortState>
  <tableColumns count="2">
    <tableColumn id="1" xr3:uid="{00000000-0010-0000-0000-000001000000}" name="Spalte1" dataDxfId="36">
      <calculatedColumnFormula>IF(B3&gt;0,'Eingabe und Ausgabe'!A5,0)</calculatedColumnFormula>
    </tableColumn>
    <tableColumn id="2" xr3:uid="{00000000-0010-0000-0000-000002000000}" name="Spalte2" dataDxfId="35">
      <calculatedColumnFormula>'Cash Flows'!A22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1000000}" name="Tabelle6" displayName="Tabelle6" ref="A17:B27" totalsRowShown="0">
  <autoFilter ref="A17:B27" xr:uid="{00000000-0009-0000-0100-000006000000}">
    <filterColumn colId="1">
      <filters>
        <filter val="24,679 €"/>
        <filter val="3,191 €"/>
        <filter val="3,478 €"/>
        <filter val="3,617 €"/>
        <filter val="3,836 €"/>
      </filters>
    </filterColumn>
  </autoFilter>
  <sortState ref="A18:B27">
    <sortCondition descending="1" ref="B17:B27"/>
  </sortState>
  <tableColumns count="2">
    <tableColumn id="1" xr3:uid="{00000000-0010-0000-0100-000001000000}" name="Spalte1" dataDxfId="34"/>
    <tableColumn id="2" xr3:uid="{00000000-0010-0000-0100-000002000000}" name="Spalte2" dataDxfId="33">
      <calculatedColumnFormula>'Cash Flows'!A42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elle4" displayName="Tabelle4" ref="A18:P36" totalsRowShown="0" headerRowDxfId="32" tableBorderDxfId="31">
  <autoFilter ref="A18:P36" xr:uid="{00000000-0009-0000-0100-000004000000}"/>
  <tableColumns count="16">
    <tableColumn id="1" xr3:uid="{00000000-0010-0000-0200-000001000000}" name="Spalte1"/>
    <tableColumn id="2" xr3:uid="{00000000-0010-0000-0200-000002000000}" name="Spalte2"/>
    <tableColumn id="3" xr3:uid="{00000000-0010-0000-0200-000003000000}" name="Spalte3"/>
    <tableColumn id="4" xr3:uid="{00000000-0010-0000-0200-000004000000}" name="Spalte4"/>
    <tableColumn id="5" xr3:uid="{00000000-0010-0000-0200-000005000000}" name="Spalte5"/>
    <tableColumn id="6" xr3:uid="{00000000-0010-0000-0200-000006000000}" name="Spalte6"/>
    <tableColumn id="7" xr3:uid="{00000000-0010-0000-0200-000007000000}" name="Spalte7"/>
    <tableColumn id="8" xr3:uid="{00000000-0010-0000-0200-000008000000}" name="Spalte8"/>
    <tableColumn id="9" xr3:uid="{00000000-0010-0000-0200-000009000000}" name="Spalte9"/>
    <tableColumn id="10" xr3:uid="{00000000-0010-0000-0200-00000A000000}" name="Spalte10"/>
    <tableColumn id="11" xr3:uid="{00000000-0010-0000-0200-00000B000000}" name="Spalte11"/>
    <tableColumn id="12" xr3:uid="{00000000-0010-0000-0200-00000C000000}" name="Spalte12"/>
    <tableColumn id="14" xr3:uid="{00000000-0010-0000-0200-00000E000000}" name="Spalte13"/>
    <tableColumn id="15" xr3:uid="{00000000-0010-0000-0200-00000F000000}" name="Spalte14"/>
    <tableColumn id="16" xr3:uid="{00000000-0010-0000-0200-000010000000}" name="Spalte15"/>
    <tableColumn id="17" xr3:uid="{00000000-0010-0000-0200-000011000000}" name="Spalte1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elle7" displayName="Tabelle7" ref="A38:P56" totalsRowShown="0" headerRowDxfId="30" headerRowBorderDxfId="29" tableBorderDxfId="28">
  <autoFilter ref="A38:P56" xr:uid="{00000000-0009-0000-0100-000007000000}"/>
  <tableColumns count="16">
    <tableColumn id="1" xr3:uid="{00000000-0010-0000-0300-000001000000}" name="Spalte1"/>
    <tableColumn id="2" xr3:uid="{00000000-0010-0000-0300-000002000000}" name="Spalte2"/>
    <tableColumn id="3" xr3:uid="{00000000-0010-0000-0300-000003000000}" name="Spalte3"/>
    <tableColumn id="4" xr3:uid="{00000000-0010-0000-0300-000004000000}" name="Spalte4"/>
    <tableColumn id="5" xr3:uid="{00000000-0010-0000-0300-000005000000}" name="Spalte5"/>
    <tableColumn id="6" xr3:uid="{00000000-0010-0000-0300-000006000000}" name="Spalte6"/>
    <tableColumn id="7" xr3:uid="{00000000-0010-0000-0300-000007000000}" name="Spalte7"/>
    <tableColumn id="8" xr3:uid="{00000000-0010-0000-0300-000008000000}" name="Spalte8"/>
    <tableColumn id="9" xr3:uid="{00000000-0010-0000-0300-000009000000}" name="Spalte9"/>
    <tableColumn id="10" xr3:uid="{00000000-0010-0000-0300-00000A000000}" name="Spalte10"/>
    <tableColumn id="11" xr3:uid="{00000000-0010-0000-0300-00000B000000}" name="Spalte11"/>
    <tableColumn id="12" xr3:uid="{00000000-0010-0000-0300-00000C000000}" name="Spalte12"/>
    <tableColumn id="13" xr3:uid="{00000000-0010-0000-0300-00000D000000}" name="Spalte13"/>
    <tableColumn id="14" xr3:uid="{00000000-0010-0000-0300-00000E000000}" name="Spalte14"/>
    <tableColumn id="15" xr3:uid="{00000000-0010-0000-0300-00000F000000}" name="Spalte15"/>
    <tableColumn id="16" xr3:uid="{00000000-0010-0000-0300-000010000000}" name="Spalte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8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2.xml"/><Relationship Id="rId1" Type="http://schemas.openxmlformats.org/officeDocument/2006/relationships/hyperlink" Target="http://www.daimler.de/Projects/c2c/channel/documents/2003776_Umwelt_Zertifikat_Mercedes_Benz_S_400_HYBRID.pdf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de.statista.com/statistik/daten/studie/168160/umfrage/zusammensetzung-des-strompreises-fuer-haushaltskunden-seit-2006/yui-dt0-href-key7" TargetMode="External"/><Relationship Id="rId3" Type="http://schemas.openxmlformats.org/officeDocument/2006/relationships/hyperlink" Target="http://de.statista.com/statistik/daten/studie/168160/umfrage/zusammensetzung-des-strompreises-fuer-haushaltskunden-seit-2006/yui-dt0-href-key2" TargetMode="External"/><Relationship Id="rId7" Type="http://schemas.openxmlformats.org/officeDocument/2006/relationships/hyperlink" Target="http://de.statista.com/statistik/daten/studie/168160/umfrage/zusammensetzung-des-strompreises-fuer-haushaltskunden-seit-2006/yui-dt0-href-key6" TargetMode="External"/><Relationship Id="rId12" Type="http://schemas.openxmlformats.org/officeDocument/2006/relationships/comments" Target="../comments3.xml"/><Relationship Id="rId2" Type="http://schemas.openxmlformats.org/officeDocument/2006/relationships/hyperlink" Target="http://de.statista.com/statistik/daten/studie/168160/umfrage/zusammensetzung-des-strompreises-fuer-haushaltskunden-seit-2006/yui-dt0-href-key1" TargetMode="External"/><Relationship Id="rId1" Type="http://schemas.openxmlformats.org/officeDocument/2006/relationships/hyperlink" Target="http://de.statista.com/statistik/daten/studie/168160/umfrage/zusammensetzung-des-strompreises-fuer-haushaltskunden-seit-2006/yui-dt0-href-key0" TargetMode="External"/><Relationship Id="rId6" Type="http://schemas.openxmlformats.org/officeDocument/2006/relationships/hyperlink" Target="http://de.statista.com/statistik/daten/studie/168160/umfrage/zusammensetzung-des-strompreises-fuer-haushaltskunden-seit-2006/yui-dt0-href-key5" TargetMode="External"/><Relationship Id="rId11" Type="http://schemas.openxmlformats.org/officeDocument/2006/relationships/vmlDrawing" Target="../drawings/vmlDrawing3.vml"/><Relationship Id="rId5" Type="http://schemas.openxmlformats.org/officeDocument/2006/relationships/hyperlink" Target="http://de.statista.com/statistik/daten/studie/168160/umfrage/zusammensetzung-des-strompreises-fuer-haushaltskunden-seit-2006/yui-dt0-href-key4" TargetMode="External"/><Relationship Id="rId10" Type="http://schemas.openxmlformats.org/officeDocument/2006/relationships/drawing" Target="../drawings/drawing14.xml"/><Relationship Id="rId4" Type="http://schemas.openxmlformats.org/officeDocument/2006/relationships/hyperlink" Target="http://de.statista.com/statistik/daten/studie/168160/umfrage/zusammensetzung-des-strompreises-fuer-haushaltskunden-seit-2006/yui-dt0-href-key3" TargetMode="External"/><Relationship Id="rId9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://databank.worldbank.org/" TargetMode="External"/><Relationship Id="rId13" Type="http://schemas.openxmlformats.org/officeDocument/2006/relationships/hyperlink" Target="http://www05.abb.com/global/scot/scot316.nsf/veritydisplay/78faeae263624d0fc12578dc002df041/$file/Norway.pdf" TargetMode="External"/><Relationship Id="rId18" Type="http://schemas.openxmlformats.org/officeDocument/2006/relationships/hyperlink" Target="http://www.green-responsibility.de/wp-content/uploads/CO2-Umrechnungsfaktoren.pdf" TargetMode="External"/><Relationship Id="rId26" Type="http://schemas.openxmlformats.org/officeDocument/2006/relationships/hyperlink" Target="http://www.zeit.de/auto/2012-03/benzinverbrauch-abweichung/seite-2" TargetMode="External"/><Relationship Id="rId3" Type="http://schemas.openxmlformats.org/officeDocument/2006/relationships/hyperlink" Target="http://www.springerlink.com/content/y62234g1n5677320/" TargetMode="External"/><Relationship Id="rId21" Type="http://schemas.openxmlformats.org/officeDocument/2006/relationships/hyperlink" Target="http://elib.uni-stuttgart.de/opus/volltexte/2011/5845/pdf/Mock_Peter_101130.pdf" TargetMode="External"/><Relationship Id="rId7" Type="http://schemas.openxmlformats.org/officeDocument/2006/relationships/hyperlink" Target="http://www.e-control.at/de/konsumenten/strom/strompreis/internationale-vergleiche" TargetMode="External"/><Relationship Id="rId12" Type="http://schemas.openxmlformats.org/officeDocument/2006/relationships/hyperlink" Target="http://epp.eurostat.ec.europa.eu/portal/page/portal/statistics/search_database" TargetMode="External"/><Relationship Id="rId17" Type="http://schemas.openxmlformats.org/officeDocument/2006/relationships/hyperlink" Target="http://www.environment.ucla.edu/media_IOE/files/BatteryElectricVehicleLCA2012-rh-ptd.pdf" TargetMode="External"/><Relationship Id="rId25" Type="http://schemas.openxmlformats.org/officeDocument/2006/relationships/hyperlink" Target="http://www.uni-due.de/imperia/md/content/car/ifo_schnelldienst_13-2009_-_eu-norm_f__r_verbrauchsangaben_von_autos.pdf" TargetMode="External"/><Relationship Id="rId2" Type="http://schemas.openxmlformats.org/officeDocument/2006/relationships/hyperlink" Target="http://www.adac.de/_ext/itr/tests/Autotest/AT4492_Renault_Fluence_1_6_16V_110_Dynamique/Renault_Fluence_1_6_16V_110_Dynamique.pdf" TargetMode="External"/><Relationship Id="rId16" Type="http://schemas.openxmlformats.org/officeDocument/2006/relationships/hyperlink" Target="http://www.theglobeandmail.com/globe-drive/new-cars/auto-news/the-real-cost-of-car-ownership/article1378882/" TargetMode="External"/><Relationship Id="rId20" Type="http://schemas.openxmlformats.org/officeDocument/2006/relationships/hyperlink" Target="http://www.energy.eu/" TargetMode="External"/><Relationship Id="rId29" Type="http://schemas.openxmlformats.org/officeDocument/2006/relationships/hyperlink" Target="http://www.heise.de/tr/artikel/Maerchenhafter-Verbrauch-1345410.html?artikelseite=2" TargetMode="External"/><Relationship Id="rId1" Type="http://schemas.openxmlformats.org/officeDocument/2006/relationships/hyperlink" Target="http://www.adac.de/_ext/itr/tests/Autotest/AT4724_Renault_Fluence_Z_E_Expression/Renault_Fluence_Z_E_Expression.pdf" TargetMode="External"/><Relationship Id="rId6" Type="http://schemas.openxmlformats.org/officeDocument/2006/relationships/hyperlink" Target="http://www.epa.gov/otaq/climate/documents/420f11041.pdf" TargetMode="External"/><Relationship Id="rId11" Type="http://schemas.openxmlformats.org/officeDocument/2006/relationships/hyperlink" Target="http://epp.eurostat.ec.europa.eu/statistics_explained/index.php?title=File:Half-yearly_electricity_and_gas_prices,_first_half_of_year,_2009-2011_(EUR_per_kWh).png&amp;filetimestamp=20120514103022" TargetMode="External"/><Relationship Id="rId24" Type="http://schemas.openxmlformats.org/officeDocument/2006/relationships/hyperlink" Target="http://www.uni-due.de/imperia/md/content/car/studie_kraftstoffverbrauch_-_juli_2009_2.pdf" TargetMode="External"/><Relationship Id="rId5" Type="http://schemas.openxmlformats.org/officeDocument/2006/relationships/hyperlink" Target="http://www.electricdrive.org/index.php?ht=a/GetDocumentAction/id/27907" TargetMode="External"/><Relationship Id="rId15" Type="http://schemas.openxmlformats.org/officeDocument/2006/relationships/hyperlink" Target="http://ec.europa.eu/transport/themes/strategies/consultations/doc/2009_03_27_future_of_transport/20090408_eabev_(scientific_study).pdf" TargetMode="External"/><Relationship Id="rId23" Type="http://schemas.openxmlformats.org/officeDocument/2006/relationships/hyperlink" Target="http://www.dekra.de/de/pressemitteilung?p_p_lifecycle=0&amp;p_p_id=ArticleDisplay_WAR_ArticleDisplay&amp;_ArticleDisplay_WAR_ArticleDisplay_articleID=7200581" TargetMode="External"/><Relationship Id="rId28" Type="http://schemas.openxmlformats.org/officeDocument/2006/relationships/hyperlink" Target="http://www.handelsblatt.com/auto/test-technik/die-grosse-sprit-luege-wltp-statt-mnefz/6327340-2.html" TargetMode="External"/><Relationship Id="rId10" Type="http://schemas.openxmlformats.org/officeDocument/2006/relationships/hyperlink" Target="http://www.vdi.de/fileadmin/vdi_de/redakteur_dateien/geu_dateien/FB4-Internetseiten/CO2-Emissionen%20der%20Stromerzeugung_01.pdf" TargetMode="External"/><Relationship Id="rId19" Type="http://schemas.openxmlformats.org/officeDocument/2006/relationships/hyperlink" Target="http://www.umweltschutznews.de/media/1705070154191498.pdf?besucht=6380fd1db1b7cbb6e69e999406d31f1d" TargetMode="External"/><Relationship Id="rId31" Type="http://schemas.openxmlformats.org/officeDocument/2006/relationships/hyperlink" Target="http://ec.europa.eu/research/fch/pdf/a_portfolio_of_power_trains_for_europe_a_fact_based__analysis.pdf" TargetMode="External"/><Relationship Id="rId4" Type="http://schemas.openxmlformats.org/officeDocument/2006/relationships/hyperlink" Target="http://www.umweltbundesamt.de/energie/archiv/co2-strommix.pdf" TargetMode="External"/><Relationship Id="rId9" Type="http://schemas.openxmlformats.org/officeDocument/2006/relationships/hyperlink" Target="http://www.exchangerates.org.uk/EUR-USD-exchange-rate-history.html" TargetMode="External"/><Relationship Id="rId14" Type="http://schemas.openxmlformats.org/officeDocument/2006/relationships/hyperlink" Target="http://www.energy.eu/" TargetMode="External"/><Relationship Id="rId22" Type="http://schemas.openxmlformats.org/officeDocument/2006/relationships/hyperlink" Target="http://www.goingelectric.de/2013/01/22/news/volkswagen-e-golf-preis-markteinfuehrung/" TargetMode="External"/><Relationship Id="rId27" Type="http://schemas.openxmlformats.org/officeDocument/2006/relationships/hyperlink" Target="http://mein-auto-blog.de/der-unsinn-des-nefz-52862/" TargetMode="External"/><Relationship Id="rId30" Type="http://schemas.openxmlformats.org/officeDocument/2006/relationships/hyperlink" Target="http://www.spiegel.de/auto/aktuell/steuerbefreiung-fuer-e-mobile-bringt-nur-minimale-ersparnis-a-863436.html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cea.be/images/uploads/files/20100420_EV_tax_overview.pdf" TargetMode="External"/><Relationship Id="rId13" Type="http://schemas.openxmlformats.org/officeDocument/2006/relationships/hyperlink" Target="http://www.greencarcongress.com/2011/05/spain-20110510.html" TargetMode="External"/><Relationship Id="rId3" Type="http://schemas.openxmlformats.org/officeDocument/2006/relationships/hyperlink" Target="http://www.acea.be/images/uploads/files/20100420_EV_tax_overview.pdf" TargetMode="External"/><Relationship Id="rId7" Type="http://schemas.openxmlformats.org/officeDocument/2006/relationships/hyperlink" Target="http://gas2.org/2010/04/13/ireland-moves-to-ease-switch-to-electric-cars-with-grants-infrastructure/" TargetMode="External"/><Relationship Id="rId12" Type="http://schemas.openxmlformats.org/officeDocument/2006/relationships/hyperlink" Target="http://www.mediafax.ro/english/romanian-clunkers-program-available-for-electric-car-buyers-starting-next-week-8157168" TargetMode="External"/><Relationship Id="rId2" Type="http://schemas.openxmlformats.org/officeDocument/2006/relationships/hyperlink" Target="http://www.acea.be/images/uploads/files/20100420_EV_tax_overview.pdf" TargetMode="External"/><Relationship Id="rId16" Type="http://schemas.openxmlformats.org/officeDocument/2006/relationships/drawing" Target="../drawings/drawing15.xml"/><Relationship Id="rId1" Type="http://schemas.openxmlformats.org/officeDocument/2006/relationships/hyperlink" Target="http://www.going-electric.org/vehicules-electriques/nouvelles/cp100203-avantages-financiers-belgique.htm" TargetMode="External"/><Relationship Id="rId6" Type="http://schemas.openxmlformats.org/officeDocument/2006/relationships/hyperlink" Target="http://www.acea.be/images/uploads/files/20100420_EV_tax_overview.pdf" TargetMode="External"/><Relationship Id="rId11" Type="http://schemas.openxmlformats.org/officeDocument/2006/relationships/hyperlink" Target="http://www.jn.pt/blogs/velocidade/archive/2010/05/17/nissan-j-225-divulgou-pre-231-o-do-carro-el-233-ctrico-leaf.aspx" TargetMode="External"/><Relationship Id="rId5" Type="http://schemas.openxmlformats.org/officeDocument/2006/relationships/hyperlink" Target="http://abccarbon.com/50000-electric-vehicles-france-commits-to-infrastructure-production/" TargetMode="External"/><Relationship Id="rId15" Type="http://schemas.openxmlformats.org/officeDocument/2006/relationships/hyperlink" Target="http://www.zukunft-mobilitaet.net/" TargetMode="External"/><Relationship Id="rId10" Type="http://schemas.openxmlformats.org/officeDocument/2006/relationships/hyperlink" Target="http://www.emc-mec.ca/files/Electric_Mobility_Canada_2008_open.pdf" TargetMode="External"/><Relationship Id="rId4" Type="http://schemas.openxmlformats.org/officeDocument/2006/relationships/hyperlink" Target="http://www.acea.be/images/uploads/files/20100420_EV_tax_overview.pdf" TargetMode="External"/><Relationship Id="rId9" Type="http://schemas.openxmlformats.org/officeDocument/2006/relationships/hyperlink" Target="http://green.autoblog.com/2010/05/17/nissan-announces-european-prices-for-leaf-under-30-000-after-i/" TargetMode="External"/><Relationship Id="rId14" Type="http://schemas.openxmlformats.org/officeDocument/2006/relationships/hyperlink" Target="http://www.acea.be/images/uploads/files/20100420_EV_tax_overview.pd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ec.europa.eu/research/fch/pdf/a_portfolio_of_power_trains_for_europe_a_fact_based__analysis.pdf" TargetMode="External"/><Relationship Id="rId13" Type="http://schemas.openxmlformats.org/officeDocument/2006/relationships/drawing" Target="../drawings/drawing22.xml"/><Relationship Id="rId3" Type="http://schemas.openxmlformats.org/officeDocument/2006/relationships/hyperlink" Target="http://ec.europa.eu/research/fch/pdf/a_portfolio_of_power_trains_for_europe_a_fact_based__analysis.pdf" TargetMode="External"/><Relationship Id="rId7" Type="http://schemas.openxmlformats.org/officeDocument/2006/relationships/hyperlink" Target="http://ec.europa.eu/research/fch/pdf/a_portfolio_of_power_trains_for_europe_a_fact_based__analysis.pdf" TargetMode="External"/><Relationship Id="rId12" Type="http://schemas.openxmlformats.org/officeDocument/2006/relationships/hyperlink" Target="http://europeanclimate.org/documents/Cars-Economic-assessment-vehicles-FINAL.pdf" TargetMode="External"/><Relationship Id="rId2" Type="http://schemas.openxmlformats.org/officeDocument/2006/relationships/hyperlink" Target="http://onlinelibrary.wiley.com/doi/10.1002/fuce.200600040/pdf" TargetMode="External"/><Relationship Id="rId1" Type="http://schemas.openxmlformats.org/officeDocument/2006/relationships/hyperlink" Target="http://ec.europa.eu/research/fch/pdf/a_portfolio_of_power_trains_for_europe_a_fact_based__analysis.pdf" TargetMode="External"/><Relationship Id="rId6" Type="http://schemas.openxmlformats.org/officeDocument/2006/relationships/hyperlink" Target="http://ec.europa.eu/research/fch/pdf/a_portfolio_of_power_trains_for_europe_a_fact_based__analysis.pdf" TargetMode="External"/><Relationship Id="rId11" Type="http://schemas.openxmlformats.org/officeDocument/2006/relationships/hyperlink" Target="http://europeanclimate.org/documents/Cars-Economic-assessment-vehicles-FINAL.pdf" TargetMode="External"/><Relationship Id="rId5" Type="http://schemas.openxmlformats.org/officeDocument/2006/relationships/hyperlink" Target="http://ec.europa.eu/research/fch/pdf/a_portfolio_of_power_trains_for_europe_a_fact_based__analysis.pdf" TargetMode="External"/><Relationship Id="rId10" Type="http://schemas.openxmlformats.org/officeDocument/2006/relationships/hyperlink" Target="http://europeanclimate.org/documents/Cars-Economic-assessment-vehicles-FINAL.pdf" TargetMode="External"/><Relationship Id="rId4" Type="http://schemas.openxmlformats.org/officeDocument/2006/relationships/hyperlink" Target="http://ec.europa.eu/research/fch/pdf/a_portfolio_of_power_trains_for_europe_a_fact_based__analysis.pdf" TargetMode="External"/><Relationship Id="rId9" Type="http://schemas.openxmlformats.org/officeDocument/2006/relationships/hyperlink" Target="http://ec.europa.eu/research/fch/pdf/a_portfolio_of_power_trains_for_europe_a_fact_based__analysis.pdf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http://www.eia.gov/forecasts/ieo/liquid_fuels.cf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versicherungsvergleich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1"/>
  <sheetViews>
    <sheetView tabSelected="1" zoomScaleNormal="100" workbookViewId="0">
      <selection activeCell="F28" sqref="F28"/>
    </sheetView>
  </sheetViews>
  <sheetFormatPr baseColWidth="10" defaultColWidth="11.5" defaultRowHeight="15"/>
  <cols>
    <col min="1" max="1" width="29.6640625" style="142" customWidth="1"/>
    <col min="2" max="2" width="34.1640625" style="142" customWidth="1"/>
    <col min="3" max="3" width="12" style="142" bestFit="1" customWidth="1"/>
    <col min="4" max="4" width="13.5" style="142" bestFit="1" customWidth="1"/>
    <col min="5" max="5" width="13" style="142" bestFit="1" customWidth="1"/>
    <col min="6" max="6" width="7.6640625" style="142" customWidth="1"/>
    <col min="7" max="9" width="6.33203125" style="142" customWidth="1"/>
    <col min="10" max="10" width="11.5" style="142"/>
    <col min="11" max="11" width="10.83203125" style="142" bestFit="1" customWidth="1"/>
    <col min="12" max="12" width="12.6640625" style="142" bestFit="1" customWidth="1"/>
    <col min="13" max="13" width="21" style="142" bestFit="1" customWidth="1"/>
    <col min="14" max="14" width="12" style="142" customWidth="1"/>
    <col min="15" max="23" width="11.5" style="142"/>
    <col min="24" max="24" width="13.1640625" style="142" bestFit="1" customWidth="1"/>
    <col min="25" max="16384" width="11.5" style="142"/>
  </cols>
  <sheetData>
    <row r="1" spans="1:14">
      <c r="A1" s="2" t="s">
        <v>273</v>
      </c>
      <c r="B1" s="2"/>
      <c r="C1" s="2"/>
      <c r="D1" s="588">
        <f>D3-5000</f>
        <v>30437.445653265364</v>
      </c>
      <c r="E1" s="2"/>
      <c r="F1" s="2"/>
      <c r="G1" s="2"/>
      <c r="H1" s="2"/>
      <c r="J1" s="2" t="str">
        <f>A30</f>
        <v>Haltedauer</v>
      </c>
    </row>
    <row r="2" spans="1:14">
      <c r="B2" s="2" t="s">
        <v>249</v>
      </c>
      <c r="C2" s="2" t="s">
        <v>1</v>
      </c>
      <c r="D2" s="2" t="s">
        <v>0</v>
      </c>
      <c r="E2" s="2" t="s">
        <v>360</v>
      </c>
      <c r="F2" s="2" t="s">
        <v>427</v>
      </c>
      <c r="K2" s="142" t="str">
        <f>$A$5</f>
        <v>TCO/year</v>
      </c>
    </row>
    <row r="3" spans="1:14">
      <c r="A3" s="87" t="s">
        <v>353</v>
      </c>
      <c r="B3" s="145" t="s">
        <v>13</v>
      </c>
      <c r="C3" s="271">
        <f>'Cash Flows'!C4-'Cash Flows'!C5</f>
        <v>18942</v>
      </c>
      <c r="D3" s="271">
        <f>('Cash Flows'!D4-'Cash Flows'!D5)</f>
        <v>35437.445653265364</v>
      </c>
      <c r="E3" s="271">
        <f t="shared" ref="E3:E6" si="0">D3-C3</f>
        <v>16495.445653265364</v>
      </c>
      <c r="F3" s="216">
        <f t="shared" ref="F3:F6" si="1">E3/C3</f>
        <v>0.87083970294928537</v>
      </c>
      <c r="K3" s="142" t="str">
        <f>$C$2</f>
        <v>ICE</v>
      </c>
      <c r="L3" s="142" t="str">
        <f>$D$2</f>
        <v>BEV</v>
      </c>
      <c r="M3" s="142" t="s">
        <v>729</v>
      </c>
      <c r="N3" s="142" t="s">
        <v>1019</v>
      </c>
    </row>
    <row r="4" spans="1:14" ht="16" thickBot="1">
      <c r="A4" s="87" t="s">
        <v>798</v>
      </c>
      <c r="B4" s="145" t="s">
        <v>13</v>
      </c>
      <c r="C4" s="271">
        <f>Ergebnis!F$3</f>
        <v>31906.689010341874</v>
      </c>
      <c r="D4" s="271">
        <f>Ergebnis!H$3</f>
        <v>44364.900118064652</v>
      </c>
      <c r="E4" s="272">
        <f t="shared" si="0"/>
        <v>12458.211107722778</v>
      </c>
      <c r="F4" s="216">
        <f t="shared" si="1"/>
        <v>0.39045765932293114</v>
      </c>
      <c r="J4" s="310">
        <f>B30</f>
        <v>6</v>
      </c>
      <c r="K4" s="194">
        <f>$C$5</f>
        <v>5317.7815017236453</v>
      </c>
      <c r="L4" s="194">
        <f>$D$5</f>
        <v>7394.1500196774423</v>
      </c>
    </row>
    <row r="5" spans="1:14" ht="16" thickBot="1">
      <c r="A5" s="87" t="s">
        <v>799</v>
      </c>
      <c r="B5" s="145" t="s">
        <v>20</v>
      </c>
      <c r="C5" s="271">
        <f>C4/Sensitivitätsanalyse!$B$30</f>
        <v>5317.7815017236453</v>
      </c>
      <c r="D5" s="271">
        <f>D4/Sensitivitätsanalyse!$B$30</f>
        <v>7394.1500196774423</v>
      </c>
      <c r="E5" s="273">
        <f t="shared" si="0"/>
        <v>2076.368517953797</v>
      </c>
      <c r="F5" s="216">
        <f t="shared" si="1"/>
        <v>0.39045765932293125</v>
      </c>
      <c r="J5" s="142">
        <v>1</v>
      </c>
      <c r="K5" s="194">
        <f t="dataTable" ref="K5:L16" dt2D="0" dtr="0" r1="B30" ca="1"/>
        <v>9373.0887148280672</v>
      </c>
      <c r="L5" s="194">
        <v>20975.584798025633</v>
      </c>
      <c r="M5" s="273">
        <f>L5-K5</f>
        <v>11602.496083197566</v>
      </c>
      <c r="N5" s="171">
        <f>L5/K5-1</f>
        <v>1.2378519436013247</v>
      </c>
    </row>
    <row r="6" spans="1:14" ht="16" thickBot="1">
      <c r="A6" s="87" t="s">
        <v>800</v>
      </c>
      <c r="B6" s="145" t="s">
        <v>11</v>
      </c>
      <c r="C6" s="271">
        <f>C4/'NR Fahrzeug&amp;Fahrverhalten'!$O$8</f>
        <v>0.3545187667815764</v>
      </c>
      <c r="D6" s="271">
        <f>D4/'NR Fahrzeug&amp;Fahrverhalten'!$O$8</f>
        <v>0.49294333464516282</v>
      </c>
      <c r="E6" s="306">
        <f t="shared" si="0"/>
        <v>0.13842456786358642</v>
      </c>
      <c r="F6" s="216">
        <f t="shared" si="1"/>
        <v>0.39045765932293108</v>
      </c>
      <c r="J6" s="142">
        <v>2</v>
      </c>
      <c r="K6" s="194">
        <v>7042.1858872604726</v>
      </c>
      <c r="L6" s="194">
        <v>13046.67807248739</v>
      </c>
      <c r="M6" s="273">
        <f t="shared" ref="M6:M16" si="2">L6-K6</f>
        <v>6004.4921852269172</v>
      </c>
      <c r="N6" s="171">
        <f t="shared" ref="N6:N16" si="3">L6/K6-1</f>
        <v>0.85264607912285095</v>
      </c>
    </row>
    <row r="7" spans="1:14" ht="16" thickBot="1">
      <c r="A7" s="87" t="s">
        <v>923</v>
      </c>
      <c r="B7" s="145" t="s">
        <v>924</v>
      </c>
      <c r="C7" s="271">
        <f ca="1">'Cash Flows'!$C$9/Sensitivitätsanalyse!$B$29*100</f>
        <v>10.7925094292415</v>
      </c>
      <c r="D7" s="271">
        <f ca="1">'Cash Flows'!$D$10/Sensitivitätsanalyse!$B$29*100</f>
        <v>4.8722739536696329</v>
      </c>
      <c r="E7" s="306">
        <f ca="1">D7-C7</f>
        <v>-5.9202354755718671</v>
      </c>
      <c r="F7" s="216">
        <f ca="1">E7/C7</f>
        <v>-0.54855041029952034</v>
      </c>
      <c r="J7" s="142">
        <v>3</v>
      </c>
      <c r="K7" s="194">
        <v>6227.4915871179028</v>
      </c>
      <c r="L7" s="194">
        <v>10319.865681729359</v>
      </c>
      <c r="M7" s="273">
        <f t="shared" si="2"/>
        <v>4092.3740946114567</v>
      </c>
      <c r="N7" s="171">
        <f t="shared" si="3"/>
        <v>0.6571464669782745</v>
      </c>
    </row>
    <row r="8" spans="1:14" ht="16" thickBot="1">
      <c r="A8" s="87" t="s">
        <v>1036</v>
      </c>
      <c r="B8" s="145" t="s">
        <v>1037</v>
      </c>
      <c r="C8" s="585">
        <f>$B$29/Ergebnis!F9</f>
        <v>990</v>
      </c>
      <c r="D8" s="585">
        <f>$B$29/Ergebnis!H10</f>
        <v>2742.75</v>
      </c>
      <c r="E8" s="306"/>
      <c r="F8" s="216"/>
      <c r="J8" s="142">
        <v>4</v>
      </c>
      <c r="K8" s="194">
        <v>5794.6753688865283</v>
      </c>
      <c r="L8" s="194">
        <v>8901.9928693909478</v>
      </c>
      <c r="M8" s="273">
        <f t="shared" si="2"/>
        <v>3107.3175005044195</v>
      </c>
      <c r="N8" s="171">
        <f t="shared" si="3"/>
        <v>0.53623668328144913</v>
      </c>
    </row>
    <row r="9" spans="1:14" ht="16" thickBot="1">
      <c r="A9" s="584" t="s">
        <v>1170</v>
      </c>
      <c r="B9" s="198" t="s">
        <v>737</v>
      </c>
      <c r="C9" s="591">
        <f>Ergebnis!F35</f>
        <v>2.7669286416830912</v>
      </c>
      <c r="D9" s="591">
        <f ca="1">Ergebnis!H35</f>
        <v>1.0584794807999123</v>
      </c>
      <c r="J9" s="142">
        <v>5</v>
      </c>
      <c r="K9" s="194">
        <v>5516.7120631328862</v>
      </c>
      <c r="L9" s="194">
        <v>8013.5667539777423</v>
      </c>
      <c r="M9" s="273">
        <f t="shared" si="2"/>
        <v>2496.8546908448561</v>
      </c>
      <c r="N9" s="171">
        <f t="shared" si="3"/>
        <v>0.4525983343468023</v>
      </c>
    </row>
    <row r="10" spans="1:14" ht="16" thickBot="1">
      <c r="A10" s="87" t="s">
        <v>354</v>
      </c>
      <c r="B10" s="145" t="s">
        <v>80</v>
      </c>
      <c r="C10" s="274">
        <f>Ergebnis!$F$48</f>
        <v>19.112821850098548</v>
      </c>
      <c r="D10" s="274">
        <f ca="1">Ergebnis!$H$48</f>
        <v>11.247126884799474</v>
      </c>
      <c r="E10" s="274">
        <f ca="1">D10-C10</f>
        <v>-7.865694965299074</v>
      </c>
      <c r="F10" s="216">
        <f ca="1">E10/C10</f>
        <v>-0.41154022294507586</v>
      </c>
      <c r="J10" s="142">
        <v>6</v>
      </c>
      <c r="K10" s="194">
        <v>5317.7815017236453</v>
      </c>
      <c r="L10" s="194">
        <v>7394.1500196774423</v>
      </c>
      <c r="M10" s="273">
        <f t="shared" si="2"/>
        <v>2076.368517953797</v>
      </c>
      <c r="N10" s="171">
        <f t="shared" si="3"/>
        <v>0.39045765932293119</v>
      </c>
    </row>
    <row r="11" spans="1:14" ht="16" thickBot="1">
      <c r="A11" s="87" t="s">
        <v>81</v>
      </c>
      <c r="B11" s="145" t="s">
        <v>274</v>
      </c>
      <c r="C11" s="225"/>
      <c r="D11" s="225"/>
      <c r="E11" s="271">
        <f ca="1">-E4/E10</f>
        <v>1583.8665448742183</v>
      </c>
      <c r="F11" s="216"/>
      <c r="J11" s="142">
        <v>7</v>
      </c>
      <c r="K11" s="194">
        <v>5165.2665681170784</v>
      </c>
      <c r="L11" s="194">
        <v>6931.6694710453712</v>
      </c>
      <c r="M11" s="273">
        <f t="shared" si="2"/>
        <v>1766.4029029282929</v>
      </c>
      <c r="N11" s="171">
        <f t="shared" si="3"/>
        <v>0.34197710411143589</v>
      </c>
    </row>
    <row r="12" spans="1:14" ht="16" thickBot="1">
      <c r="A12" s="253" t="s">
        <v>239</v>
      </c>
      <c r="B12" s="253" t="s">
        <v>74</v>
      </c>
      <c r="C12" s="225">
        <f>Ergebnis!F34</f>
        <v>184.46190944553942</v>
      </c>
      <c r="D12" s="225">
        <f ca="1">Ergebnis!H34</f>
        <v>70.565298719994146</v>
      </c>
      <c r="E12" s="225">
        <f ca="1">D12-C12</f>
        <v>-113.89661072554527</v>
      </c>
      <c r="F12" s="216">
        <f ca="1">E12/C12</f>
        <v>-0.61745327839172204</v>
      </c>
      <c r="J12" s="142">
        <v>8</v>
      </c>
      <c r="K12" s="194">
        <v>5042.7568128616567</v>
      </c>
      <c r="L12" s="194">
        <v>6569.7372758144429</v>
      </c>
      <c r="M12" s="273">
        <f t="shared" si="2"/>
        <v>1526.9804629527862</v>
      </c>
      <c r="N12" s="171">
        <f t="shared" si="3"/>
        <v>0.30280668285612955</v>
      </c>
    </row>
    <row r="13" spans="1:14" ht="16" thickBot="1">
      <c r="A13" s="253" t="str">
        <f>Ergebnis!C31</f>
        <v>TtW Emissionen Haltedauer</v>
      </c>
      <c r="B13" s="253" t="str">
        <f>Ergebnis!D31</f>
        <v>t co2</v>
      </c>
      <c r="C13" s="225">
        <f>Ergebnis!F31</f>
        <v>13.945320354082778</v>
      </c>
      <c r="D13" s="225">
        <f>Ergebnis!H31</f>
        <v>0</v>
      </c>
      <c r="E13" s="225">
        <f t="shared" ref="E13:E18" si="4">D13-C13</f>
        <v>-13.945320354082778</v>
      </c>
      <c r="F13" s="216">
        <f t="shared" ref="F13:F18" si="5">E13/C13</f>
        <v>-1</v>
      </c>
      <c r="J13" s="142">
        <v>9</v>
      </c>
      <c r="K13" s="194">
        <v>4941.0281315783413</v>
      </c>
      <c r="L13" s="194">
        <v>6276.7297526128432</v>
      </c>
      <c r="M13" s="273">
        <f t="shared" si="2"/>
        <v>1335.7016210345018</v>
      </c>
      <c r="N13" s="171">
        <f t="shared" si="3"/>
        <v>0.27032868169642077</v>
      </c>
    </row>
    <row r="14" spans="1:14" ht="16" thickBot="1">
      <c r="A14" s="253" t="str">
        <f>Ergebnis!C19</f>
        <v>WtT Emissionen Haltedauer</v>
      </c>
      <c r="B14" s="253" t="str">
        <f>Ergebnis!D19</f>
        <v>t co2</v>
      </c>
      <c r="C14" s="225">
        <f>Ergebnis!F19</f>
        <v>2.6562514960157677</v>
      </c>
      <c r="D14" s="225">
        <f ca="1">Ergebnis!H19</f>
        <v>6.3508768847994741</v>
      </c>
      <c r="E14" s="225">
        <f ca="1">D14-C14</f>
        <v>3.6946253887837064</v>
      </c>
      <c r="F14" s="216">
        <f ca="1">E14/C14</f>
        <v>1.3909170100517376</v>
      </c>
      <c r="J14" s="142">
        <v>10</v>
      </c>
      <c r="K14" s="194">
        <v>4854.4970080596268</v>
      </c>
      <c r="L14" s="194">
        <v>6033.4777578696294</v>
      </c>
      <c r="M14" s="273">
        <f t="shared" si="2"/>
        <v>1178.9807498100026</v>
      </c>
      <c r="N14" s="171">
        <f t="shared" si="3"/>
        <v>0.24286362682943508</v>
      </c>
    </row>
    <row r="15" spans="1:14" ht="16" thickBot="1">
      <c r="A15" s="253" t="str">
        <f>Ergebnis!C36</f>
        <v>WtW Emissionen Fahrzeugleben</v>
      </c>
      <c r="B15" s="253" t="str">
        <f>Ergebnis!D36</f>
        <v>t co2</v>
      </c>
      <c r="C15" s="225">
        <f>Ergebnis!F36</f>
        <v>33.203143700197096</v>
      </c>
      <c r="D15" s="225">
        <f ca="1">Ergebnis!H36</f>
        <v>12.701753769598948</v>
      </c>
      <c r="E15" s="225">
        <f ca="1">D15-C15</f>
        <v>-20.501389930598148</v>
      </c>
      <c r="F15" s="216">
        <f ca="1">E15/C15</f>
        <v>-0.61745327839172204</v>
      </c>
      <c r="J15" s="142">
        <v>11</v>
      </c>
      <c r="K15" s="194">
        <v>4779.5523015420304</v>
      </c>
      <c r="L15" s="194">
        <v>5827.6106826614114</v>
      </c>
      <c r="M15" s="273">
        <f t="shared" si="2"/>
        <v>1048.058381119381</v>
      </c>
      <c r="N15" s="171">
        <f t="shared" si="3"/>
        <v>0.21927961344438995</v>
      </c>
    </row>
    <row r="16" spans="1:14" ht="16" thickBot="1">
      <c r="A16" s="253" t="str">
        <f>Ergebnis!C37</f>
        <v>WtW Emissionen Haltedauer</v>
      </c>
      <c r="B16" s="253" t="str">
        <f>Ergebnis!D37</f>
        <v>t co2</v>
      </c>
      <c r="C16" s="225">
        <f>Ergebnis!F37</f>
        <v>16.601571850098548</v>
      </c>
      <c r="D16" s="225">
        <f ca="1">Ergebnis!H37</f>
        <v>6.3508768847994741</v>
      </c>
      <c r="E16" s="225">
        <f ca="1">D16-C16</f>
        <v>-10.250694965299074</v>
      </c>
      <c r="F16" s="216">
        <f ca="1">E16/C16</f>
        <v>-0.61745327839172204</v>
      </c>
      <c r="J16" s="142">
        <v>12</v>
      </c>
      <c r="K16" s="194">
        <v>4713.7381824736703</v>
      </c>
      <c r="L16" s="194">
        <v>5650.7432868625137</v>
      </c>
      <c r="M16" s="273">
        <f t="shared" si="2"/>
        <v>937.00510438884339</v>
      </c>
      <c r="N16" s="171">
        <f t="shared" si="3"/>
        <v>0.19878174563720097</v>
      </c>
    </row>
    <row r="17" spans="1:14">
      <c r="A17" s="253" t="str">
        <f>Ergebnis!C42</f>
        <v>WtW Emissionen Fahrzeugleben (eco)</v>
      </c>
      <c r="B17" s="253" t="str">
        <f>Ergebnis!D42</f>
        <v>t co2</v>
      </c>
      <c r="C17" s="225">
        <f>Ergebnis!F42</f>
        <v>33.203143700197096</v>
      </c>
      <c r="D17" s="225">
        <f>Ergebnis!H42</f>
        <v>1.3165200000000001</v>
      </c>
      <c r="E17" s="225">
        <f t="shared" si="4"/>
        <v>-31.886623700197095</v>
      </c>
      <c r="F17" s="216">
        <f t="shared" si="5"/>
        <v>-0.96034953762549335</v>
      </c>
    </row>
    <row r="18" spans="1:14">
      <c r="A18" s="253" t="str">
        <f>Ergebnis!C43</f>
        <v>WtW Emissionen Haltedauer (eco)</v>
      </c>
      <c r="B18" s="253" t="str">
        <f>Ergebnis!D43</f>
        <v>t co2</v>
      </c>
      <c r="C18" s="225">
        <f>Ergebnis!F43</f>
        <v>16.601571850098548</v>
      </c>
      <c r="D18" s="225">
        <f>Ergebnis!H43</f>
        <v>0.65826000000000007</v>
      </c>
      <c r="E18" s="225">
        <f t="shared" si="4"/>
        <v>-15.943311850098548</v>
      </c>
      <c r="F18" s="216">
        <f t="shared" si="5"/>
        <v>-0.96034953762549335</v>
      </c>
      <c r="J18" s="142">
        <f>Umrechnungswerte!C13</f>
        <v>8.9</v>
      </c>
      <c r="M18" s="142" t="s">
        <v>448</v>
      </c>
      <c r="N18" s="142" t="s">
        <v>781</v>
      </c>
    </row>
    <row r="19" spans="1:14">
      <c r="A19" s="142" t="s">
        <v>777</v>
      </c>
      <c r="C19" s="225">
        <f>Ergebnis!E53+Ergebnis!E37</f>
        <v>21.624071850098549</v>
      </c>
      <c r="D19" s="225">
        <f ca="1">Ergebnis!H53+Ergebnis!H37</f>
        <v>15.348376884799475</v>
      </c>
      <c r="E19" s="225">
        <f>Ergebnis!H53+Ergebnis!H43</f>
        <v>9.6557600000000008</v>
      </c>
      <c r="F19" s="386"/>
      <c r="J19" s="612" t="s">
        <v>780</v>
      </c>
      <c r="K19" s="612"/>
      <c r="L19" s="612"/>
      <c r="M19" s="142" t="str">
        <f t="array" ref="M19">IFERROR(MATCH(TRUE,K5:K16&gt;=L5:L16,0),"k.A.")</f>
        <v>k.A.</v>
      </c>
      <c r="N19" s="512" t="str">
        <f>IF(M19="k.A.","k.A.",M19*$B$29)</f>
        <v>k.A.</v>
      </c>
    </row>
    <row r="20" spans="1:14">
      <c r="A20" s="253" t="str">
        <f>Ergebnis!C54</f>
        <v>LCA-Emissionen Fahrzeugleben</v>
      </c>
      <c r="B20" s="253" t="str">
        <f>Ergebnis!D54</f>
        <v>t co2</v>
      </c>
      <c r="C20" s="225">
        <f>Ergebnis!F54</f>
        <v>38.225643700197097</v>
      </c>
      <c r="D20" s="225">
        <f ca="1">Ergebnis!H54</f>
        <v>21.699253769598947</v>
      </c>
      <c r="E20" s="225">
        <f ca="1">D20-C20</f>
        <v>-16.52638993059815</v>
      </c>
      <c r="F20" s="216">
        <f ca="1">E20/C20</f>
        <v>-0.43233777984784955</v>
      </c>
      <c r="M20" s="512"/>
    </row>
    <row r="21" spans="1:14">
      <c r="A21" s="142" t="s">
        <v>788</v>
      </c>
      <c r="B21" s="142" t="s">
        <v>402</v>
      </c>
      <c r="C21" s="383">
        <f>'NR Fahrzeug&amp;Fahrverhalten'!$O$8*'NR Fahrzeug&amp;Fahrverhalten'!$U$24/100*Umrechnungswerte!$C$13*Umrechnungswerte!$C$12</f>
        <v>190317.6</v>
      </c>
      <c r="D21" s="383">
        <f>'NR Fahrzeug&amp;Fahrverhalten'!$O$8*'NR Fahrzeug&amp;Fahrverhalten'!$V$23/100*Umrechnungswerte!$C$12</f>
        <v>59243.4</v>
      </c>
    </row>
    <row r="22" spans="1:14">
      <c r="A22" s="142" t="s">
        <v>789</v>
      </c>
      <c r="B22" s="142" t="s">
        <v>402</v>
      </c>
      <c r="C22" s="383">
        <f>C21/(1-Ergebnis!$M$32)</f>
        <v>226568.57142857145</v>
      </c>
      <c r="D22" s="383"/>
      <c r="J22" s="2" t="str">
        <f>A29</f>
        <v>Jährliche Fahrleistung</v>
      </c>
    </row>
    <row r="23" spans="1:14">
      <c r="B23" s="142" t="s">
        <v>796</v>
      </c>
      <c r="D23" s="142" t="s">
        <v>2</v>
      </c>
      <c r="E23" s="142" t="s">
        <v>797</v>
      </c>
      <c r="K23" s="142" t="str">
        <f>$A$5</f>
        <v>TCO/year</v>
      </c>
    </row>
    <row r="24" spans="1:14">
      <c r="B24" s="142" t="s">
        <v>1</v>
      </c>
      <c r="C24" s="142" t="s">
        <v>0</v>
      </c>
      <c r="K24" s="142" t="str">
        <f>$C$2</f>
        <v>ICE</v>
      </c>
      <c r="L24" s="142" t="str">
        <f>$D$2</f>
        <v>BEV</v>
      </c>
      <c r="M24" s="142" t="s">
        <v>729</v>
      </c>
      <c r="N24" s="142" t="s">
        <v>1019</v>
      </c>
    </row>
    <row r="25" spans="1:14" ht="16" thickBot="1">
      <c r="A25" s="142" t="s">
        <v>784</v>
      </c>
      <c r="B25" s="605">
        <v>2013</v>
      </c>
      <c r="C25" s="605"/>
      <c r="J25" s="311">
        <f>B29</f>
        <v>15000</v>
      </c>
      <c r="K25" s="194">
        <f>$C$5</f>
        <v>5317.7815017236453</v>
      </c>
      <c r="L25" s="194">
        <f>$D$5</f>
        <v>7394.1500196774423</v>
      </c>
    </row>
    <row r="26" spans="1:14" ht="16" thickBot="1">
      <c r="A26" s="142" t="s">
        <v>75</v>
      </c>
      <c r="B26" s="605" t="s">
        <v>76</v>
      </c>
      <c r="C26" s="605"/>
      <c r="J26" s="142">
        <v>10000</v>
      </c>
      <c r="K26" s="194">
        <f t="dataTable" ref="K26:L32" dt2D="0" dtr="0" r1="B29" ca="1"/>
        <v>4778.1560302615699</v>
      </c>
      <c r="L26" s="194">
        <v>7150.5363219939609</v>
      </c>
      <c r="M26" s="273">
        <f>L26-K26</f>
        <v>2372.380291732391</v>
      </c>
      <c r="N26" s="171">
        <f>L26/K26-1</f>
        <v>0.49650540432488133</v>
      </c>
    </row>
    <row r="27" spans="1:14" ht="16" thickBot="1">
      <c r="A27" s="142" t="s">
        <v>277</v>
      </c>
      <c r="B27" s="609" t="s">
        <v>714</v>
      </c>
      <c r="C27" s="609"/>
      <c r="J27" s="142">
        <v>12500</v>
      </c>
      <c r="K27" s="194">
        <v>5047.9687659926067</v>
      </c>
      <c r="L27" s="194">
        <v>7272.3431708357011</v>
      </c>
      <c r="M27" s="273">
        <f>L27-K27</f>
        <v>2224.3744048430945</v>
      </c>
      <c r="N27" s="171">
        <f>L27/K27-1</f>
        <v>0.44064741838902899</v>
      </c>
    </row>
    <row r="28" spans="1:14" ht="16" thickBot="1">
      <c r="A28" s="142" t="s">
        <v>422</v>
      </c>
      <c r="B28" s="610">
        <v>12</v>
      </c>
      <c r="C28" s="610"/>
      <c r="D28" s="142" t="s">
        <v>16</v>
      </c>
      <c r="J28" s="142">
        <v>15000</v>
      </c>
      <c r="K28" s="194">
        <v>5317.7815017236453</v>
      </c>
      <c r="L28" s="194">
        <v>7394.1500196774423</v>
      </c>
      <c r="M28" s="273">
        <f>L28-K28</f>
        <v>2076.368517953797</v>
      </c>
      <c r="N28" s="171">
        <f>L28/K28-1</f>
        <v>0.39045765932293119</v>
      </c>
    </row>
    <row r="29" spans="1:14" ht="16" thickBot="1">
      <c r="A29" s="142" t="s">
        <v>371</v>
      </c>
      <c r="B29" s="610">
        <v>15000</v>
      </c>
      <c r="C29" s="610"/>
      <c r="D29" s="142" t="s">
        <v>17</v>
      </c>
      <c r="J29" s="142">
        <v>17500</v>
      </c>
      <c r="K29" s="194">
        <v>5587.594237454683</v>
      </c>
      <c r="L29" s="194">
        <v>7515.9568685191834</v>
      </c>
      <c r="M29" s="273">
        <f>L29-K29</f>
        <v>1928.3626310645004</v>
      </c>
      <c r="N29" s="171">
        <f>L29/K29-1</f>
        <v>0.34511500819768326</v>
      </c>
    </row>
    <row r="30" spans="1:14" ht="16" thickBot="1">
      <c r="A30" s="142" t="s">
        <v>372</v>
      </c>
      <c r="B30" s="605">
        <v>6</v>
      </c>
      <c r="C30" s="605"/>
      <c r="D30" s="142" t="s">
        <v>16</v>
      </c>
      <c r="E30" s="252">
        <f>MIN(Sensitivitätsanalyse!$B$30/Sensitivitätsanalyse!$B$28,1)</f>
        <v>0.5</v>
      </c>
      <c r="J30" s="142">
        <v>20000</v>
      </c>
      <c r="K30" s="194">
        <v>5857.4069731857207</v>
      </c>
      <c r="L30" s="194">
        <v>7637.7637173609228</v>
      </c>
      <c r="M30" s="273">
        <f>L30-K30</f>
        <v>1780.356744175202</v>
      </c>
      <c r="N30" s="171">
        <f>L30/K30-1</f>
        <v>0.30394964057054463</v>
      </c>
    </row>
    <row r="31" spans="1:14" ht="16" thickBot="1">
      <c r="A31" s="142" t="s">
        <v>837</v>
      </c>
      <c r="B31" s="601">
        <v>125</v>
      </c>
      <c r="C31" s="602"/>
      <c r="D31" s="50"/>
      <c r="E31" s="50"/>
      <c r="F31" s="513"/>
      <c r="J31" s="142">
        <v>22500</v>
      </c>
      <c r="K31" s="194">
        <v>6127.2197089167576</v>
      </c>
      <c r="L31" s="194">
        <v>7759.570566202663</v>
      </c>
      <c r="M31" s="273">
        <f>L31-K31</f>
        <v>1632.3508572859055</v>
      </c>
      <c r="N31" s="171">
        <f>L31/K31-1</f>
        <v>0.26640971514541811</v>
      </c>
    </row>
    <row r="32" spans="1:14" ht="16" thickBot="1">
      <c r="A32" s="142" t="s">
        <v>683</v>
      </c>
      <c r="B32" s="191">
        <v>0</v>
      </c>
      <c r="C32" s="191">
        <v>0.15</v>
      </c>
      <c r="J32" s="142">
        <v>25000</v>
      </c>
      <c r="K32" s="194">
        <v>6397.0324446477944</v>
      </c>
      <c r="L32" s="194">
        <v>7881.3774150444051</v>
      </c>
      <c r="M32" s="273">
        <f>L32-K32</f>
        <v>1484.3449703966107</v>
      </c>
      <c r="N32" s="171">
        <f>L32/K32-1</f>
        <v>0.23203649242681545</v>
      </c>
    </row>
    <row r="33" spans="1:14">
      <c r="A33" s="142" t="s">
        <v>959</v>
      </c>
      <c r="B33" s="274">
        <f>('NR Fahrzeug&amp;Fahrverhalten'!$J$10*'NR Fahrzeug&amp;Fahrverhalten'!$O$9+'NR Fahrzeug&amp;Fahrverhalten'!$J$11*'NR Fahrzeug&amp;Fahrverhalten'!$O$10+'NR Fahrzeug&amp;Fahrverhalten'!$J$12*'NR Fahrzeug&amp;Fahrverhalten'!$O$11)</f>
        <v>6.6</v>
      </c>
      <c r="C33" s="274">
        <f>'NR Fahrzeug&amp;Fahrverhalten'!K10*'NR Fahrzeug&amp;Fahrverhalten'!$O$9+'NR Fahrzeug&amp;Fahrverhalten'!K11*'NR Fahrzeug&amp;Fahrverhalten'!$O$10+'NR Fahrzeug&amp;Fahrverhalten'!K12*'NR Fahrzeug&amp;Fahrverhalten'!$O$11</f>
        <v>15.9</v>
      </c>
      <c r="D33" s="142" t="s">
        <v>932</v>
      </c>
    </row>
    <row r="34" spans="1:14">
      <c r="A34" s="142" t="s">
        <v>960</v>
      </c>
      <c r="B34" s="274">
        <f>'NR Kraftstoffpreisprognosen'!AZ63</f>
        <v>6.6</v>
      </c>
      <c r="C34" s="274">
        <f>'NR Kraftstoffpreisprognosen'!BB63</f>
        <v>15.9</v>
      </c>
      <c r="D34" s="142" t="s">
        <v>932</v>
      </c>
      <c r="M34" s="142" t="s">
        <v>781</v>
      </c>
    </row>
    <row r="35" spans="1:14">
      <c r="A35" s="142" t="s">
        <v>961</v>
      </c>
      <c r="B35" s="274">
        <f>(1+Sensitivitätsanalyse!$B$32)*B34</f>
        <v>6.6</v>
      </c>
      <c r="C35" s="274">
        <f>(1+Sensitivitätsanalyse!$C$32)*Sensitivitätsanalyse!C34</f>
        <v>18.285</v>
      </c>
      <c r="D35" s="142" t="s">
        <v>932</v>
      </c>
      <c r="J35" s="612" t="s">
        <v>782</v>
      </c>
      <c r="K35" s="612"/>
      <c r="L35" s="612"/>
      <c r="M35" s="1" t="str">
        <f t="array" ref="M35">IFERROR(MATCH(TRUE,K26:K32&gt;=L26:L32,0)*(J27-J26)+(J26-(J27-J26)),"k.A.")</f>
        <v>k.A.</v>
      </c>
    </row>
    <row r="36" spans="1:14">
      <c r="A36" s="511" t="s">
        <v>813</v>
      </c>
      <c r="B36" s="271">
        <f>'NR Kraftstoffpreisprognosen'!J63</f>
        <v>1.6</v>
      </c>
      <c r="C36" s="50"/>
      <c r="D36" s="511" t="s">
        <v>9</v>
      </c>
      <c r="E36" s="50"/>
      <c r="F36" s="513"/>
    </row>
    <row r="37" spans="1:14">
      <c r="A37" s="142" t="s">
        <v>958</v>
      </c>
      <c r="B37" s="191">
        <v>0.5</v>
      </c>
      <c r="E37" s="1"/>
      <c r="F37" s="283"/>
    </row>
    <row r="38" spans="1:14">
      <c r="A38" s="198" t="s">
        <v>1015</v>
      </c>
      <c r="C38" s="533">
        <v>0.25</v>
      </c>
      <c r="F38" s="50"/>
      <c r="H38" s="50"/>
      <c r="J38" s="2" t="s">
        <v>621</v>
      </c>
    </row>
    <row r="39" spans="1:14">
      <c r="A39" s="198"/>
      <c r="E39" s="171"/>
      <c r="K39" s="142" t="str">
        <f>$A$5</f>
        <v>TCO/year</v>
      </c>
    </row>
    <row r="40" spans="1:14">
      <c r="A40" s="198" t="s">
        <v>1032</v>
      </c>
      <c r="B40" s="191">
        <v>0.01</v>
      </c>
      <c r="C40" s="191">
        <v>0</v>
      </c>
      <c r="K40" s="142" t="str">
        <f>$C$2</f>
        <v>ICE</v>
      </c>
      <c r="L40" s="142" t="str">
        <f>$D$2</f>
        <v>BEV</v>
      </c>
      <c r="M40" s="142" t="s">
        <v>729</v>
      </c>
      <c r="N40" s="142" t="s">
        <v>964</v>
      </c>
    </row>
    <row r="41" spans="1:14" ht="16" thickBot="1">
      <c r="A41" s="511" t="s">
        <v>949</v>
      </c>
      <c r="B41" s="191">
        <v>0.2</v>
      </c>
      <c r="C41" s="191">
        <v>0.1</v>
      </c>
      <c r="D41" s="511" t="s">
        <v>814</v>
      </c>
      <c r="F41" s="283"/>
      <c r="J41" s="311">
        <f>B25</f>
        <v>2013</v>
      </c>
      <c r="K41" s="454">
        <f>$C$5</f>
        <v>5317.7815017236453</v>
      </c>
      <c r="L41" s="454">
        <f>$D$5</f>
        <v>7394.1500196774423</v>
      </c>
    </row>
    <row r="42" spans="1:14" ht="16" thickBot="1">
      <c r="A42" s="511" t="s">
        <v>949</v>
      </c>
      <c r="B42" s="514">
        <f>'NR Kraftstoffpreisprognosen'!BA36</f>
        <v>-2.7507527533926934E-2</v>
      </c>
      <c r="C42" s="514">
        <f>'NR Kraftstoffpreisprognosen'!BC36</f>
        <v>-1.3083718633998487E-2</v>
      </c>
      <c r="D42" s="511" t="s">
        <v>22</v>
      </c>
      <c r="J42" s="142">
        <v>2013</v>
      </c>
      <c r="K42" s="194">
        <f t="dataTable" ref="K42:L49" dt2D="0" dtr="0" r1="B25" ca="1"/>
        <v>5317.7815017236453</v>
      </c>
      <c r="L42" s="194">
        <v>7394.1500196774423</v>
      </c>
      <c r="M42" s="273">
        <f>L42-K42</f>
        <v>2076.368517953797</v>
      </c>
      <c r="N42" s="252">
        <f>(L42/K42)-1</f>
        <v>0.39045765932293119</v>
      </c>
    </row>
    <row r="43" spans="1:14" ht="16" thickBot="1">
      <c r="B43" s="6"/>
      <c r="J43" s="142">
        <v>2014</v>
      </c>
      <c r="K43" s="194">
        <v>5335.9357958114933</v>
      </c>
      <c r="L43" s="194">
        <v>7203.5325414956087</v>
      </c>
      <c r="M43" s="273">
        <f>L43-K43</f>
        <v>1867.5967456841154</v>
      </c>
      <c r="N43" s="252">
        <f>(L43/K43)-1</f>
        <v>0.35000360145826859</v>
      </c>
    </row>
    <row r="44" spans="1:14" ht="16" thickBot="1">
      <c r="C44" s="142" t="s">
        <v>954</v>
      </c>
      <c r="D44" s="142" t="s">
        <v>380</v>
      </c>
      <c r="E44" s="142" t="s">
        <v>971</v>
      </c>
      <c r="J44" s="142">
        <v>2015</v>
      </c>
      <c r="K44" s="194">
        <v>5321.4019691224166</v>
      </c>
      <c r="L44" s="194">
        <v>7016.6483137051937</v>
      </c>
      <c r="M44" s="273">
        <f>L44-K44</f>
        <v>1695.2463445827771</v>
      </c>
      <c r="N44" s="252">
        <f>(L44/K44)-1</f>
        <v>0.31857137544194014</v>
      </c>
    </row>
    <row r="45" spans="1:14" ht="16" thickBot="1">
      <c r="J45" s="142">
        <v>2016</v>
      </c>
      <c r="K45" s="194">
        <v>5307.1943780447082</v>
      </c>
      <c r="L45" s="194">
        <v>6700.9292772730441</v>
      </c>
      <c r="M45" s="273">
        <f>L45-K45</f>
        <v>1393.734899228336</v>
      </c>
      <c r="N45" s="252">
        <f>(L45/K45)-1</f>
        <v>0.2626123710475099</v>
      </c>
    </row>
    <row r="46" spans="1:14" ht="16" thickBot="1">
      <c r="A46" s="142" t="s">
        <v>425</v>
      </c>
      <c r="B46" s="595" t="s">
        <v>426</v>
      </c>
      <c r="C46" s="598"/>
      <c r="E46" s="50"/>
      <c r="F46" s="196"/>
      <c r="H46" s="196"/>
      <c r="J46" s="142">
        <v>2017</v>
      </c>
      <c r="K46" s="194">
        <v>5293.549246063375</v>
      </c>
      <c r="L46" s="194">
        <v>6415.1029916710759</v>
      </c>
      <c r="M46" s="273">
        <f>L46-K46</f>
        <v>1121.5537456077009</v>
      </c>
      <c r="N46" s="252">
        <f>(L46/K46)-1</f>
        <v>0.21187178837370046</v>
      </c>
    </row>
    <row r="47" spans="1:14" ht="16" thickBot="1">
      <c r="A47" s="50" t="s">
        <v>356</v>
      </c>
      <c r="B47" s="596">
        <v>4.1000000000000003E-3</v>
      </c>
      <c r="C47" s="597"/>
      <c r="D47" s="50" t="s">
        <v>299</v>
      </c>
      <c r="E47" s="142" t="s">
        <v>290</v>
      </c>
      <c r="F47" s="196"/>
      <c r="G47" s="171"/>
      <c r="H47" s="196"/>
      <c r="J47" s="142">
        <v>2018</v>
      </c>
      <c r="K47" s="194">
        <v>5280.613857526012</v>
      </c>
      <c r="L47" s="194">
        <v>6155.1340781562731</v>
      </c>
      <c r="M47" s="273">
        <f>L47-K47</f>
        <v>874.52022063026106</v>
      </c>
      <c r="N47" s="252">
        <f>(L47/K47)-1</f>
        <v>0.16560957574731239</v>
      </c>
    </row>
    <row r="48" spans="1:14" ht="16" thickBot="1">
      <c r="C48" s="142" t="s">
        <v>426</v>
      </c>
      <c r="E48" s="171">
        <v>1</v>
      </c>
      <c r="G48" s="196"/>
      <c r="J48" s="142">
        <v>2019</v>
      </c>
      <c r="K48" s="194">
        <v>5268.48429203658</v>
      </c>
      <c r="L48" s="194">
        <v>5917.4837028125921</v>
      </c>
      <c r="M48" s="273">
        <f>L48-K48</f>
        <v>648.99941077601216</v>
      </c>
      <c r="N48" s="252">
        <f>(L48/K48)-1</f>
        <v>0.1231852226943122</v>
      </c>
    </row>
    <row r="49" spans="1:27" ht="16" thickBot="1">
      <c r="C49" s="142">
        <v>0.5</v>
      </c>
      <c r="D49" s="142" t="s">
        <v>424</v>
      </c>
      <c r="E49" s="196">
        <v>1</v>
      </c>
      <c r="G49" s="196"/>
      <c r="J49" s="142">
        <v>2020</v>
      </c>
      <c r="K49" s="194">
        <v>5219.7666499435136</v>
      </c>
      <c r="L49" s="194">
        <v>5689.9555990737936</v>
      </c>
      <c r="M49" s="273">
        <f>L49-K49</f>
        <v>470.18894913027998</v>
      </c>
      <c r="N49" s="252">
        <f>(L49/K49)-1</f>
        <v>9.0078538115371254E-2</v>
      </c>
    </row>
    <row r="50" spans="1:27">
      <c r="C50" s="286">
        <f>MIN('NR Fahrzeug&amp;Fahrverhalten'!$D$22,'NR Fahrzeug&amp;Fahrverhalten'!$O$8)/'NR Fahrzeug&amp;Fahrverhalten'!$D$22</f>
        <v>0.49090909090909096</v>
      </c>
      <c r="D50" s="142" t="s">
        <v>423</v>
      </c>
      <c r="E50" s="196">
        <v>1</v>
      </c>
    </row>
    <row r="51" spans="1:27">
      <c r="M51" s="142" t="s">
        <v>784</v>
      </c>
    </row>
    <row r="52" spans="1:27">
      <c r="A52" s="364" t="s">
        <v>157</v>
      </c>
      <c r="B52" s="599" t="s">
        <v>158</v>
      </c>
      <c r="C52" s="600"/>
      <c r="D52" s="364"/>
      <c r="F52" s="50"/>
      <c r="L52" s="142" t="s">
        <v>783</v>
      </c>
      <c r="M52" s="142" t="e">
        <f>IFERROR(MATCH(TRUE,K42:K49&gt;=L42:L49,0),"k.A.")+J42-1</f>
        <v>#VALUE!</v>
      </c>
    </row>
    <row r="53" spans="1:27">
      <c r="A53" s="364" t="s">
        <v>952</v>
      </c>
      <c r="B53" s="603">
        <v>0.1</v>
      </c>
      <c r="C53" s="604"/>
      <c r="D53" s="364" t="s">
        <v>8</v>
      </c>
    </row>
    <row r="54" spans="1:27">
      <c r="A54" s="364" t="s">
        <v>237</v>
      </c>
      <c r="B54" s="606" t="s">
        <v>234</v>
      </c>
      <c r="C54" s="606"/>
      <c r="D54" s="364"/>
      <c r="E54" s="510">
        <f>'NR Fahrzeug&amp;Fahrverhalten'!O9+'NR Fahrzeug&amp;Fahrverhalten'!O10+'NR Fahrzeug&amp;Fahrverhalten'!O11</f>
        <v>1</v>
      </c>
      <c r="F54" s="364"/>
    </row>
    <row r="55" spans="1:27">
      <c r="J55" s="2" t="s">
        <v>837</v>
      </c>
      <c r="K55" s="142" t="str">
        <f>$A$5</f>
        <v>TCO/year</v>
      </c>
    </row>
    <row r="56" spans="1:27">
      <c r="K56" s="152"/>
      <c r="L56" s="152"/>
      <c r="M56" s="152"/>
      <c r="N56" s="152"/>
      <c r="O56" s="152"/>
    </row>
    <row r="57" spans="1:27">
      <c r="A57" s="2" t="s">
        <v>956</v>
      </c>
      <c r="B57" s="142" t="s">
        <v>1</v>
      </c>
      <c r="C57" s="142" t="s">
        <v>0</v>
      </c>
      <c r="E57" s="50"/>
      <c r="K57" s="142" t="s">
        <v>1</v>
      </c>
      <c r="N57" s="142" t="s">
        <v>0</v>
      </c>
      <c r="Q57" s="142" t="s">
        <v>8</v>
      </c>
    </row>
    <row r="58" spans="1:27">
      <c r="A58" s="50" t="s">
        <v>953</v>
      </c>
      <c r="B58" s="281">
        <v>0</v>
      </c>
      <c r="C58" s="281">
        <v>0</v>
      </c>
      <c r="F58" s="50"/>
      <c r="G58" s="50"/>
      <c r="J58" s="311">
        <f>C5</f>
        <v>5317.7815017236453</v>
      </c>
      <c r="K58" s="142">
        <v>2013</v>
      </c>
      <c r="L58" s="142">
        <v>2020</v>
      </c>
      <c r="M58" s="311">
        <f>D5</f>
        <v>7394.1500196774423</v>
      </c>
      <c r="N58" s="142">
        <v>2013</v>
      </c>
      <c r="O58" s="142">
        <v>2020</v>
      </c>
      <c r="Q58" s="142">
        <v>2013</v>
      </c>
      <c r="R58" s="142">
        <v>2020</v>
      </c>
    </row>
    <row r="59" spans="1:27">
      <c r="A59" s="50" t="s">
        <v>950</v>
      </c>
      <c r="B59" s="396">
        <v>0.12</v>
      </c>
      <c r="C59" s="396">
        <f>'NR Kraftstoffpreisprognosen'!AS63</f>
        <v>0</v>
      </c>
      <c r="D59" s="50"/>
      <c r="J59" s="142">
        <v>50</v>
      </c>
      <c r="K59" s="194">
        <f t="dataTable" ref="K59:L61" dt2D="1" dtr="1" r1="B25" r2="B31" ca="1"/>
        <v>5147.6821047103813</v>
      </c>
      <c r="L59" s="194">
        <v>4941.3892148081104</v>
      </c>
      <c r="M59" s="142">
        <v>50</v>
      </c>
      <c r="N59" s="194">
        <f t="dataTable" ref="N59:O61" dt2D="1" dtr="1" r1="B25" r2="B31" ca="1"/>
        <v>7365.3875963444734</v>
      </c>
      <c r="O59" s="194">
        <v>5617.8845983254068</v>
      </c>
      <c r="P59" s="194">
        <f>O59-L59</f>
        <v>676.49538351729643</v>
      </c>
      <c r="Q59" s="445">
        <f>(N59/K59)-1</f>
        <v>0.43081632597412778</v>
      </c>
      <c r="R59" s="445">
        <f>(O59/L59)-1</f>
        <v>0.13690388554902921</v>
      </c>
    </row>
    <row r="60" spans="1:27">
      <c r="A60" s="142" t="s">
        <v>955</v>
      </c>
      <c r="C60" s="191">
        <v>1</v>
      </c>
      <c r="J60" s="142">
        <v>125</v>
      </c>
      <c r="K60" s="194">
        <v>5317.7815017236453</v>
      </c>
      <c r="L60" s="194">
        <v>5219.7666499435136</v>
      </c>
      <c r="M60" s="142">
        <v>125</v>
      </c>
      <c r="N60" s="194">
        <v>7394.1500196774423</v>
      </c>
      <c r="O60" s="194">
        <v>5689.9555990737936</v>
      </c>
      <c r="P60" s="194">
        <f>O60-L60</f>
        <v>470.18894913027998</v>
      </c>
      <c r="Q60" s="445">
        <f>(N60/K60)-1</f>
        <v>0.39045765932293119</v>
      </c>
      <c r="R60" s="445">
        <f>(O60/L60)-1</f>
        <v>9.0078538115371254E-2</v>
      </c>
    </row>
    <row r="61" spans="1:27">
      <c r="A61" s="389" t="s">
        <v>951</v>
      </c>
      <c r="C61" s="291">
        <v>2000</v>
      </c>
      <c r="D61" s="50" t="s">
        <v>297</v>
      </c>
      <c r="J61" s="142">
        <v>200</v>
      </c>
      <c r="K61" s="194">
        <v>5444.7859163686417</v>
      </c>
      <c r="L61" s="194">
        <v>5427.6166706992644</v>
      </c>
      <c r="M61" s="142">
        <v>200</v>
      </c>
      <c r="N61" s="194">
        <v>7411.3823567241743</v>
      </c>
      <c r="O61" s="194">
        <v>5729.9736458700072</v>
      </c>
      <c r="P61" s="194">
        <f>O61-L61</f>
        <v>302.35697517074277</v>
      </c>
      <c r="Q61" s="445">
        <f>(N61/K61)-1</f>
        <v>0.36118893755645387</v>
      </c>
      <c r="R61" s="445">
        <f>(O61/L61)-1</f>
        <v>5.5707135104622107E-2</v>
      </c>
    </row>
    <row r="62" spans="1:27">
      <c r="A62" s="389" t="s">
        <v>811</v>
      </c>
      <c r="C62" s="515">
        <f>'NR Kraftstoffpreisprognosen'!AO63</f>
        <v>2000</v>
      </c>
      <c r="D62" s="50" t="s">
        <v>297</v>
      </c>
      <c r="Z62" s="529">
        <f>Q59-Q61</f>
        <v>6.9627388417673908E-2</v>
      </c>
      <c r="AA62" s="529">
        <f>R59-R61</f>
        <v>8.1196750444407106E-2</v>
      </c>
    </row>
    <row r="63" spans="1:27">
      <c r="A63" s="389" t="s">
        <v>812</v>
      </c>
      <c r="C63" s="291">
        <v>2000</v>
      </c>
      <c r="D63" s="50" t="s">
        <v>297</v>
      </c>
    </row>
    <row r="64" spans="1:27">
      <c r="A64" s="50" t="s">
        <v>803</v>
      </c>
      <c r="C64" s="390">
        <v>200</v>
      </c>
      <c r="D64" s="50" t="s">
        <v>297</v>
      </c>
    </row>
    <row r="65" spans="1:20">
      <c r="A65" s="50" t="s">
        <v>810</v>
      </c>
      <c r="C65" s="515">
        <f>'NR Kraftstoffpreisprognosen'!AM63</f>
        <v>2000</v>
      </c>
      <c r="D65" s="50" t="s">
        <v>297</v>
      </c>
    </row>
    <row r="66" spans="1:20">
      <c r="A66" s="50" t="s">
        <v>809</v>
      </c>
      <c r="C66" s="390">
        <v>2000</v>
      </c>
      <c r="D66" s="50" t="s">
        <v>297</v>
      </c>
    </row>
    <row r="67" spans="1:20">
      <c r="B67" s="6"/>
    </row>
    <row r="68" spans="1:20">
      <c r="A68" s="142" t="s">
        <v>416</v>
      </c>
      <c r="B68" s="607">
        <v>0</v>
      </c>
      <c r="C68" s="608"/>
      <c r="D68" s="142" t="s">
        <v>13</v>
      </c>
    </row>
    <row r="69" spans="1:20">
      <c r="A69" s="142" t="s">
        <v>1034</v>
      </c>
      <c r="B69" s="594">
        <v>0</v>
      </c>
      <c r="C69" s="595"/>
      <c r="D69" s="142" t="s">
        <v>22</v>
      </c>
    </row>
    <row r="70" spans="1:20">
      <c r="A70" s="142" t="s">
        <v>1035</v>
      </c>
      <c r="B70" s="594">
        <v>0.05</v>
      </c>
      <c r="C70" s="595"/>
      <c r="D70" s="142" t="s">
        <v>22</v>
      </c>
    </row>
    <row r="71" spans="1:20">
      <c r="A71" s="142" t="s">
        <v>417</v>
      </c>
      <c r="B71" s="594">
        <v>0</v>
      </c>
      <c r="C71" s="595"/>
      <c r="D71" s="142" t="s">
        <v>22</v>
      </c>
    </row>
    <row r="74" spans="1:20">
      <c r="A74" s="130" t="s">
        <v>276</v>
      </c>
    </row>
    <row r="75" spans="1:20">
      <c r="A75" s="285" t="s">
        <v>37</v>
      </c>
    </row>
    <row r="76" spans="1:20">
      <c r="J76" s="2" t="s">
        <v>787</v>
      </c>
    </row>
    <row r="77" spans="1:20">
      <c r="K77" s="142" t="s">
        <v>161</v>
      </c>
    </row>
    <row r="78" spans="1:20">
      <c r="K78" s="142" t="s">
        <v>779</v>
      </c>
      <c r="L78" s="142" t="str">
        <f>$C$2</f>
        <v>ICE</v>
      </c>
      <c r="M78" s="142" t="str">
        <f>$D$2</f>
        <v>BEV</v>
      </c>
      <c r="N78" s="142" t="s">
        <v>778</v>
      </c>
      <c r="Q78" s="142" t="str">
        <f>K78</f>
        <v>Fahrleistung</v>
      </c>
      <c r="R78" s="142" t="str">
        <f>L78</f>
        <v>ICE</v>
      </c>
      <c r="S78" s="142" t="str">
        <f>M78</f>
        <v>BEV</v>
      </c>
      <c r="T78" s="142" t="str">
        <f>N78</f>
        <v>BEV (eco)</v>
      </c>
    </row>
    <row r="79" spans="1:20">
      <c r="K79" s="512">
        <f>'NR Fahrzeug&amp;Fahrverhalten'!$O$8</f>
        <v>90000</v>
      </c>
      <c r="L79" s="283">
        <f>$C$19</f>
        <v>21.624071850098549</v>
      </c>
      <c r="M79" s="283">
        <f ca="1">$D$19</f>
        <v>15.348376884799475</v>
      </c>
      <c r="N79" s="516">
        <f>$E$19</f>
        <v>9.6557600000000008</v>
      </c>
      <c r="P79" s="142">
        <f t="shared" ref="P79:P91" si="6">J79</f>
        <v>0</v>
      </c>
      <c r="Q79" s="142">
        <v>0</v>
      </c>
      <c r="R79" s="383">
        <f>Ergebnis!$F$53</f>
        <v>5.0225000000000009</v>
      </c>
      <c r="S79" s="383">
        <f>Ergebnis!$H$53</f>
        <v>8.9975000000000005</v>
      </c>
      <c r="T79" s="383">
        <f>Ergebnis!$H$53</f>
        <v>8.9975000000000005</v>
      </c>
    </row>
    <row r="80" spans="1:20">
      <c r="H80" s="50"/>
      <c r="J80" s="142">
        <v>1</v>
      </c>
      <c r="K80" s="1">
        <f t="dataTable" ref="K80:N91" dt2D="0" dtr="0" r1="B30" ca="1"/>
        <v>15000</v>
      </c>
      <c r="L80" s="383">
        <v>7.7894286416830916</v>
      </c>
      <c r="M80" s="516">
        <v>10.100488375752009</v>
      </c>
      <c r="N80" s="516">
        <v>9.1072100000000002</v>
      </c>
      <c r="P80" s="142">
        <f t="shared" si="6"/>
        <v>1</v>
      </c>
      <c r="Q80" s="1">
        <f t="shared" ref="Q80:T91" si="7">K80</f>
        <v>15000</v>
      </c>
      <c r="R80" s="383">
        <f t="shared" si="7"/>
        <v>7.7894286416830916</v>
      </c>
      <c r="S80" s="383">
        <f t="shared" si="7"/>
        <v>10.100488375752009</v>
      </c>
      <c r="T80" s="383">
        <f t="shared" si="7"/>
        <v>9.1072100000000002</v>
      </c>
    </row>
    <row r="81" spans="6:20">
      <c r="J81" s="142">
        <v>2</v>
      </c>
      <c r="K81" s="1">
        <v>30000</v>
      </c>
      <c r="L81" s="383">
        <v>10.556357283366182</v>
      </c>
      <c r="M81" s="516">
        <v>11.186961015146153</v>
      </c>
      <c r="N81" s="516">
        <v>9.21692</v>
      </c>
      <c r="P81" s="142">
        <f t="shared" si="6"/>
        <v>2</v>
      </c>
      <c r="Q81" s="1">
        <f t="shared" si="7"/>
        <v>30000</v>
      </c>
      <c r="R81" s="383">
        <f t="shared" si="7"/>
        <v>10.556357283366182</v>
      </c>
      <c r="S81" s="383">
        <f t="shared" si="7"/>
        <v>11.186961015146153</v>
      </c>
      <c r="T81" s="383">
        <f t="shared" si="7"/>
        <v>9.21692</v>
      </c>
    </row>
    <row r="82" spans="6:20">
      <c r="F82" s="171"/>
      <c r="G82" s="50"/>
      <c r="H82" s="171"/>
      <c r="J82" s="142">
        <v>3</v>
      </c>
      <c r="K82" s="1">
        <v>45000</v>
      </c>
      <c r="L82" s="383">
        <v>13.323285925049275</v>
      </c>
      <c r="M82" s="516">
        <v>12.255992404671751</v>
      </c>
      <c r="N82" s="516">
        <v>9.3266299999999998</v>
      </c>
      <c r="P82" s="142">
        <f t="shared" si="6"/>
        <v>3</v>
      </c>
      <c r="Q82" s="1">
        <f t="shared" si="7"/>
        <v>45000</v>
      </c>
      <c r="R82" s="383">
        <f t="shared" si="7"/>
        <v>13.323285925049275</v>
      </c>
      <c r="S82" s="383">
        <f t="shared" si="7"/>
        <v>12.255992404671751</v>
      </c>
      <c r="T82" s="383">
        <f t="shared" si="7"/>
        <v>9.3266299999999998</v>
      </c>
    </row>
    <row r="83" spans="6:20">
      <c r="J83" s="142">
        <v>4</v>
      </c>
      <c r="K83" s="1">
        <v>60000</v>
      </c>
      <c r="L83" s="383">
        <v>16.090214566732364</v>
      </c>
      <c r="M83" s="516">
        <v>13.30660086337928</v>
      </c>
      <c r="N83" s="516">
        <v>9.4363400000000013</v>
      </c>
      <c r="P83" s="142">
        <f t="shared" si="6"/>
        <v>4</v>
      </c>
      <c r="Q83" s="1">
        <f t="shared" si="7"/>
        <v>60000</v>
      </c>
      <c r="R83" s="383">
        <f t="shared" si="7"/>
        <v>16.090214566732364</v>
      </c>
      <c r="S83" s="383">
        <f t="shared" si="7"/>
        <v>13.30660086337928</v>
      </c>
      <c r="T83" s="383">
        <f t="shared" si="7"/>
        <v>9.4363400000000013</v>
      </c>
    </row>
    <row r="84" spans="6:20">
      <c r="J84" s="142">
        <v>5</v>
      </c>
      <c r="K84" s="1">
        <v>75000</v>
      </c>
      <c r="L84" s="383">
        <v>18.857143208415458</v>
      </c>
      <c r="M84" s="516">
        <v>14.337754106857563</v>
      </c>
      <c r="N84" s="516">
        <v>9.546050000000001</v>
      </c>
      <c r="P84" s="142">
        <f t="shared" si="6"/>
        <v>5</v>
      </c>
      <c r="Q84" s="1">
        <f t="shared" si="7"/>
        <v>75000</v>
      </c>
      <c r="R84" s="383">
        <f t="shared" si="7"/>
        <v>18.857143208415458</v>
      </c>
      <c r="S84" s="383">
        <f t="shared" si="7"/>
        <v>14.337754106857563</v>
      </c>
      <c r="T84" s="383">
        <f t="shared" si="7"/>
        <v>9.546050000000001</v>
      </c>
    </row>
    <row r="85" spans="6:20">
      <c r="J85" s="142">
        <v>6</v>
      </c>
      <c r="K85" s="1">
        <v>90000</v>
      </c>
      <c r="L85" s="383">
        <v>21.624071850098549</v>
      </c>
      <c r="M85" s="516">
        <v>15.348376884799475</v>
      </c>
      <c r="N85" s="516">
        <v>9.6557600000000008</v>
      </c>
      <c r="P85" s="142">
        <f t="shared" si="6"/>
        <v>6</v>
      </c>
      <c r="Q85" s="1">
        <f t="shared" si="7"/>
        <v>90000</v>
      </c>
      <c r="R85" s="383">
        <f t="shared" si="7"/>
        <v>21.624071850098549</v>
      </c>
      <c r="S85" s="383">
        <f t="shared" si="7"/>
        <v>15.348376884799475</v>
      </c>
      <c r="T85" s="383">
        <f t="shared" si="7"/>
        <v>9.6557600000000008</v>
      </c>
    </row>
    <row r="86" spans="6:20">
      <c r="J86" s="142">
        <v>7</v>
      </c>
      <c r="K86" s="1">
        <v>105000</v>
      </c>
      <c r="L86" s="383">
        <v>24.391000491781639</v>
      </c>
      <c r="M86" s="516">
        <v>16.337360860241368</v>
      </c>
      <c r="N86" s="516">
        <v>9.7654700000000005</v>
      </c>
      <c r="P86" s="142">
        <f t="shared" si="6"/>
        <v>7</v>
      </c>
      <c r="Q86" s="1">
        <f t="shared" si="7"/>
        <v>105000</v>
      </c>
      <c r="R86" s="383">
        <f t="shared" si="7"/>
        <v>24.391000491781639</v>
      </c>
      <c r="S86" s="383">
        <f t="shared" si="7"/>
        <v>16.337360860241368</v>
      </c>
      <c r="T86" s="383">
        <f t="shared" si="7"/>
        <v>9.7654700000000005</v>
      </c>
    </row>
    <row r="87" spans="6:20">
      <c r="J87" s="142">
        <v>8</v>
      </c>
      <c r="K87" s="1">
        <v>120000</v>
      </c>
      <c r="L87" s="383">
        <v>27.15792913346473</v>
      </c>
      <c r="M87" s="516">
        <v>17.303576830241369</v>
      </c>
      <c r="N87" s="516">
        <v>9.8751800000000003</v>
      </c>
      <c r="P87" s="142">
        <f t="shared" si="6"/>
        <v>8</v>
      </c>
      <c r="Q87" s="1">
        <f t="shared" si="7"/>
        <v>120000</v>
      </c>
      <c r="R87" s="383">
        <f t="shared" si="7"/>
        <v>27.15792913346473</v>
      </c>
      <c r="S87" s="383">
        <f t="shared" si="7"/>
        <v>17.303576830241369</v>
      </c>
      <c r="T87" s="383">
        <f t="shared" si="7"/>
        <v>9.8751800000000003</v>
      </c>
    </row>
    <row r="88" spans="6:20">
      <c r="J88" s="142">
        <v>9</v>
      </c>
      <c r="K88" s="1">
        <v>135000</v>
      </c>
      <c r="L88" s="383">
        <v>29.924857775147821</v>
      </c>
      <c r="M88" s="516">
        <v>18.242477550547743</v>
      </c>
      <c r="N88" s="516">
        <v>9.98489</v>
      </c>
      <c r="P88" s="142">
        <f t="shared" si="6"/>
        <v>9</v>
      </c>
      <c r="Q88" s="1">
        <f t="shared" si="7"/>
        <v>135000</v>
      </c>
      <c r="R88" s="383">
        <f t="shared" si="7"/>
        <v>29.924857775147821</v>
      </c>
      <c r="S88" s="383">
        <f t="shared" si="7"/>
        <v>18.242477550547743</v>
      </c>
      <c r="T88" s="383">
        <f t="shared" si="7"/>
        <v>9.98489</v>
      </c>
    </row>
    <row r="89" spans="6:20">
      <c r="J89" s="142">
        <v>10</v>
      </c>
      <c r="K89" s="1">
        <v>150000</v>
      </c>
      <c r="L89" s="383">
        <v>32.691786416830908</v>
      </c>
      <c r="M89" s="516">
        <v>19.154087800594997</v>
      </c>
      <c r="N89" s="516">
        <v>10.0946</v>
      </c>
      <c r="P89" s="142">
        <f t="shared" si="6"/>
        <v>10</v>
      </c>
      <c r="Q89" s="1">
        <f t="shared" si="7"/>
        <v>150000</v>
      </c>
      <c r="R89" s="383">
        <f t="shared" si="7"/>
        <v>32.691786416830908</v>
      </c>
      <c r="S89" s="383">
        <f t="shared" si="7"/>
        <v>19.154087800594997</v>
      </c>
      <c r="T89" s="383">
        <f t="shared" si="7"/>
        <v>10.0946</v>
      </c>
    </row>
    <row r="90" spans="6:20">
      <c r="J90" s="142">
        <v>11</v>
      </c>
      <c r="K90" s="1">
        <v>165000</v>
      </c>
      <c r="L90" s="383">
        <v>35.458715058514002</v>
      </c>
      <c r="M90" s="516">
        <v>20.038483216303938</v>
      </c>
      <c r="N90" s="516">
        <v>10.20431</v>
      </c>
      <c r="P90" s="142">
        <f t="shared" si="6"/>
        <v>11</v>
      </c>
      <c r="Q90" s="1">
        <f t="shared" si="7"/>
        <v>165000</v>
      </c>
      <c r="R90" s="383">
        <f t="shared" si="7"/>
        <v>35.458715058514002</v>
      </c>
      <c r="S90" s="383">
        <f t="shared" si="7"/>
        <v>20.038483216303938</v>
      </c>
      <c r="T90" s="383">
        <f t="shared" si="7"/>
        <v>10.20431</v>
      </c>
    </row>
    <row r="91" spans="6:20">
      <c r="J91" s="142">
        <v>12</v>
      </c>
      <c r="K91" s="1">
        <v>180000</v>
      </c>
      <c r="L91" s="383">
        <v>38.225643700197097</v>
      </c>
      <c r="M91" s="516">
        <v>20.895790752950809</v>
      </c>
      <c r="N91" s="516">
        <v>10.314020000000001</v>
      </c>
      <c r="P91" s="142">
        <f t="shared" si="6"/>
        <v>12</v>
      </c>
      <c r="Q91" s="1">
        <f t="shared" si="7"/>
        <v>180000</v>
      </c>
      <c r="R91" s="383">
        <f t="shared" si="7"/>
        <v>38.225643700197097</v>
      </c>
      <c r="S91" s="383">
        <f t="shared" si="7"/>
        <v>20.895790752950809</v>
      </c>
      <c r="T91" s="383">
        <f t="shared" si="7"/>
        <v>10.314020000000001</v>
      </c>
    </row>
    <row r="93" spans="6:20">
      <c r="J93" s="283"/>
      <c r="K93" s="283"/>
      <c r="M93" s="142" t="s">
        <v>448</v>
      </c>
      <c r="N93" s="142" t="s">
        <v>781</v>
      </c>
    </row>
    <row r="94" spans="6:20">
      <c r="J94" s="613" t="s">
        <v>785</v>
      </c>
      <c r="K94" s="613"/>
      <c r="L94" s="613"/>
      <c r="M94" s="517">
        <f t="array" ref="M94">MATCH(TRUE,L80:L91&gt;=M80:M91,0)</f>
        <v>3</v>
      </c>
      <c r="N94" s="512">
        <f>M94*$B$29</f>
        <v>45000</v>
      </c>
    </row>
    <row r="95" spans="6:20">
      <c r="J95" s="613" t="s">
        <v>786</v>
      </c>
      <c r="K95" s="613"/>
      <c r="L95" s="613"/>
      <c r="M95" s="142">
        <f t="array" ref="M95">MATCH(TRUE,L80:L91&gt;=N80:N91,0)</f>
        <v>2</v>
      </c>
      <c r="N95" s="512">
        <f>M95*$B$29</f>
        <v>30000</v>
      </c>
    </row>
    <row r="98" spans="10:16">
      <c r="J98" s="2" t="s">
        <v>794</v>
      </c>
      <c r="N98" s="2" t="s">
        <v>795</v>
      </c>
    </row>
    <row r="99" spans="10:16">
      <c r="K99" s="142" t="s">
        <v>791</v>
      </c>
      <c r="L99" s="142" t="s">
        <v>790</v>
      </c>
      <c r="O99" s="142" t="s">
        <v>791</v>
      </c>
      <c r="P99" s="142" t="s">
        <v>790</v>
      </c>
    </row>
    <row r="100" spans="10:16">
      <c r="J100" s="387"/>
      <c r="K100" s="283">
        <f>Sensitivitätsanalyse!$C$20</f>
        <v>38.225643700197097</v>
      </c>
      <c r="L100" s="283"/>
      <c r="N100" s="387"/>
      <c r="O100" s="283">
        <f>Sensitivitätsanalyse!$C$20</f>
        <v>38.225643700197097</v>
      </c>
      <c r="P100" s="283"/>
    </row>
    <row r="101" spans="10:16">
      <c r="J101" s="142">
        <v>3.35</v>
      </c>
      <c r="K101" s="383">
        <f t="dataTable" ref="K101:K111" dt2D="0" dtr="0" r1="B35" ca="1"/>
        <v>21.875610817524283</v>
      </c>
      <c r="L101" s="383">
        <f t="shared" ref="L101:L111" ca="1" si="8">K101-$D$20</f>
        <v>0.17635704792533602</v>
      </c>
      <c r="M101" s="383"/>
      <c r="N101" s="383">
        <v>3</v>
      </c>
      <c r="O101" s="383">
        <f t="dataTable" ref="O101:O111" dt2D="0" dtr="0" r1="B35"/>
        <v>20.114838045544136</v>
      </c>
      <c r="P101" s="383">
        <f t="shared" ref="P101:P111" ca="1" si="9">O101-$D$20</f>
        <v>-1.5844157240548107</v>
      </c>
    </row>
    <row r="102" spans="10:16">
      <c r="J102" s="142">
        <v>3.4</v>
      </c>
      <c r="K102" s="383">
        <v>22.127149784950017</v>
      </c>
      <c r="L102" s="383">
        <f t="shared" ca="1" si="8"/>
        <v>0.42789601535107025</v>
      </c>
      <c r="M102" s="383"/>
      <c r="N102" s="383">
        <v>3.25</v>
      </c>
      <c r="O102" s="383">
        <v>21.372532882672814</v>
      </c>
      <c r="P102" s="383">
        <f t="shared" ca="1" si="9"/>
        <v>-0.32672088692613244</v>
      </c>
    </row>
    <row r="103" spans="10:16">
      <c r="J103" s="142">
        <v>3.45</v>
      </c>
      <c r="K103" s="383">
        <v>22.378688752375755</v>
      </c>
      <c r="L103" s="383">
        <f t="shared" ca="1" si="8"/>
        <v>0.67943498277680803</v>
      </c>
      <c r="M103" s="383"/>
      <c r="N103" s="383">
        <v>3.5</v>
      </c>
      <c r="O103" s="383">
        <v>22.630227719801489</v>
      </c>
      <c r="P103" s="383">
        <f t="shared" ca="1" si="9"/>
        <v>0.93097395020254226</v>
      </c>
    </row>
    <row r="104" spans="10:16">
      <c r="J104" s="142">
        <v>3.5</v>
      </c>
      <c r="K104" s="383">
        <v>22.630227719801489</v>
      </c>
      <c r="L104" s="383">
        <f t="shared" ca="1" si="8"/>
        <v>0.93097395020254226</v>
      </c>
      <c r="M104" s="383"/>
      <c r="N104" s="383">
        <v>3.75</v>
      </c>
      <c r="O104" s="383">
        <v>23.887922556930167</v>
      </c>
      <c r="P104" s="383">
        <f t="shared" ca="1" si="9"/>
        <v>2.1886687873312205</v>
      </c>
    </row>
    <row r="105" spans="10:16">
      <c r="J105" s="142">
        <v>3.55</v>
      </c>
      <c r="K105" s="383">
        <v>22.881766687227227</v>
      </c>
      <c r="L105" s="383">
        <f t="shared" ca="1" si="8"/>
        <v>1.18251291762828</v>
      </c>
      <c r="M105" s="383"/>
      <c r="N105" s="383">
        <v>4</v>
      </c>
      <c r="O105" s="383">
        <v>25.145617394058846</v>
      </c>
      <c r="P105" s="383">
        <f t="shared" ca="1" si="9"/>
        <v>3.4463636244598987</v>
      </c>
    </row>
    <row r="106" spans="10:16">
      <c r="J106" s="142">
        <v>3.6</v>
      </c>
      <c r="K106" s="383">
        <v>23.133305654652965</v>
      </c>
      <c r="L106" s="383">
        <f t="shared" ca="1" si="8"/>
        <v>1.4340518850540178</v>
      </c>
      <c r="M106" s="383"/>
      <c r="N106" s="383">
        <v>4.25</v>
      </c>
      <c r="O106" s="383">
        <v>26.403312231187524</v>
      </c>
      <c r="P106" s="383">
        <f t="shared" ca="1" si="9"/>
        <v>4.704058461588577</v>
      </c>
    </row>
    <row r="107" spans="10:16">
      <c r="J107" s="142">
        <v>3.65</v>
      </c>
      <c r="K107" s="383">
        <v>23.384844622078695</v>
      </c>
      <c r="L107" s="383">
        <f t="shared" ca="1" si="8"/>
        <v>1.6855908524797485</v>
      </c>
      <c r="M107" s="383"/>
      <c r="N107" s="383">
        <v>4.5</v>
      </c>
      <c r="O107" s="383">
        <v>27.661007068316202</v>
      </c>
      <c r="P107" s="383">
        <f t="shared" ca="1" si="9"/>
        <v>5.9617532987172552</v>
      </c>
    </row>
    <row r="108" spans="10:16">
      <c r="J108" s="142">
        <v>3.7</v>
      </c>
      <c r="K108" s="383">
        <v>23.636383589504433</v>
      </c>
      <c r="L108" s="383">
        <f t="shared" ca="1" si="8"/>
        <v>1.9371298199054863</v>
      </c>
      <c r="M108" s="383"/>
      <c r="N108" s="383">
        <v>4.75</v>
      </c>
      <c r="O108" s="383">
        <v>28.918701905444884</v>
      </c>
      <c r="P108" s="383">
        <f t="shared" ca="1" si="9"/>
        <v>7.219448135845937</v>
      </c>
    </row>
    <row r="109" spans="10:16">
      <c r="J109" s="142">
        <v>3.75</v>
      </c>
      <c r="K109" s="383">
        <v>23.887922556930167</v>
      </c>
      <c r="L109" s="383">
        <f t="shared" ca="1" si="8"/>
        <v>2.1886687873312205</v>
      </c>
      <c r="M109" s="383"/>
      <c r="N109" s="383">
        <v>5</v>
      </c>
      <c r="O109" s="383">
        <v>30.176396742573559</v>
      </c>
      <c r="P109" s="383">
        <f t="shared" ca="1" si="9"/>
        <v>8.4771429729746117</v>
      </c>
    </row>
    <row r="110" spans="10:16">
      <c r="J110" s="142">
        <v>3.8</v>
      </c>
      <c r="K110" s="383">
        <v>24.139461524355905</v>
      </c>
      <c r="L110" s="383">
        <f t="shared" ca="1" si="8"/>
        <v>2.4402077547569583</v>
      </c>
      <c r="M110" s="383"/>
      <c r="N110" s="383">
        <v>5.25</v>
      </c>
      <c r="O110" s="383">
        <v>31.434091579702233</v>
      </c>
      <c r="P110" s="383">
        <f t="shared" ca="1" si="9"/>
        <v>9.7348378101032864</v>
      </c>
    </row>
    <row r="111" spans="10:16">
      <c r="J111" s="142">
        <v>3.85</v>
      </c>
      <c r="K111" s="383">
        <v>24.391000491781639</v>
      </c>
      <c r="L111" s="383">
        <f t="shared" ca="1" si="8"/>
        <v>2.6917467221826925</v>
      </c>
      <c r="M111" s="383"/>
      <c r="N111" s="383">
        <v>5.5</v>
      </c>
      <c r="O111" s="383">
        <v>32.691786416830908</v>
      </c>
      <c r="P111" s="383">
        <f t="shared" ca="1" si="9"/>
        <v>10.992532647231961</v>
      </c>
    </row>
    <row r="114" spans="10:16">
      <c r="J114" s="611" t="s">
        <v>792</v>
      </c>
      <c r="K114" s="611"/>
      <c r="L114" s="611"/>
      <c r="M114" s="518">
        <f t="array" aca="1" ref="M114" ca="1">MATCH(TRUE,K101:K111&gt;=L101:L111,0)*(J101+(J102-J101))</f>
        <v>3.4</v>
      </c>
      <c r="N114" s="142" t="s">
        <v>793</v>
      </c>
    </row>
    <row r="117" spans="10:16">
      <c r="K117" s="142">
        <v>125</v>
      </c>
      <c r="M117" s="142">
        <v>50</v>
      </c>
      <c r="O117" s="142">
        <v>200</v>
      </c>
    </row>
    <row r="118" spans="10:16">
      <c r="K118" s="142" t="s">
        <v>499</v>
      </c>
      <c r="L118" s="142" t="s">
        <v>500</v>
      </c>
      <c r="M118" s="142" t="s">
        <v>499</v>
      </c>
      <c r="N118" s="142" t="s">
        <v>500</v>
      </c>
      <c r="O118" s="142" t="s">
        <v>499</v>
      </c>
      <c r="P118" s="142" t="s">
        <v>500</v>
      </c>
    </row>
    <row r="119" spans="10:16">
      <c r="J119" s="142">
        <v>2013</v>
      </c>
      <c r="K119" s="283">
        <v>26.168099999999999</v>
      </c>
      <c r="L119" s="454">
        <v>1.6</v>
      </c>
      <c r="M119" s="283">
        <v>26.168099999999999</v>
      </c>
      <c r="N119" s="454">
        <v>1.6</v>
      </c>
      <c r="O119" s="283">
        <v>26.168099999999999</v>
      </c>
      <c r="P119" s="454">
        <v>1.6</v>
      </c>
    </row>
    <row r="120" spans="10:16">
      <c r="J120" s="142">
        <v>2014</v>
      </c>
      <c r="K120" s="283">
        <v>26.379997994649692</v>
      </c>
      <c r="L120" s="454">
        <v>1.6274002438627739</v>
      </c>
      <c r="M120" s="283">
        <v>25.857300608473224</v>
      </c>
      <c r="N120" s="454">
        <v>1.4937636576168234</v>
      </c>
      <c r="O120" s="283">
        <v>26.71035991508769</v>
      </c>
      <c r="P120" s="454">
        <v>1.7271797651858225</v>
      </c>
    </row>
    <row r="121" spans="10:16">
      <c r="J121" s="142">
        <v>2015</v>
      </c>
      <c r="K121" s="283">
        <v>26.571412244315987</v>
      </c>
      <c r="L121" s="454">
        <v>1.636221152168966</v>
      </c>
      <c r="M121" s="283">
        <v>25.626183497424638</v>
      </c>
      <c r="N121" s="454">
        <v>1.459563194305606</v>
      </c>
      <c r="O121" s="283">
        <v>27.153652012690628</v>
      </c>
      <c r="P121" s="454">
        <v>1.768122504700316</v>
      </c>
    </row>
    <row r="122" spans="10:16">
      <c r="J122" s="142">
        <v>2016</v>
      </c>
      <c r="K122" s="283">
        <v>26.750418003261807</v>
      </c>
      <c r="L122" s="454">
        <v>1.6434283590331118</v>
      </c>
      <c r="M122" s="283">
        <v>25.446391539418393</v>
      </c>
      <c r="N122" s="454">
        <v>1.4316193811088913</v>
      </c>
      <c r="O122" s="283">
        <v>27.53717794769975</v>
      </c>
      <c r="P122" s="454">
        <v>1.8015751586700506</v>
      </c>
    </row>
    <row r="123" spans="10:16">
      <c r="J123" s="142">
        <v>2017</v>
      </c>
      <c r="K123" s="283">
        <v>26.921280435453497</v>
      </c>
      <c r="L123" s="454">
        <v>1.6495219656109632</v>
      </c>
      <c r="M123" s="283">
        <v>25.302513305628914</v>
      </c>
      <c r="N123" s="454">
        <v>1.4079932236923689</v>
      </c>
      <c r="O123" s="283">
        <v>27.881088725111052</v>
      </c>
      <c r="P123" s="454">
        <v>1.829858974594726</v>
      </c>
    </row>
    <row r="124" spans="10:16">
      <c r="J124" s="142">
        <v>2018</v>
      </c>
      <c r="K124" s="283">
        <v>27.086525651101027</v>
      </c>
      <c r="L124" s="454">
        <v>1.654800487725548</v>
      </c>
      <c r="M124" s="283">
        <v>25.185219491488791</v>
      </c>
      <c r="N124" s="454">
        <v>1.3875273152336469</v>
      </c>
      <c r="O124" s="283">
        <v>28.19707671189175</v>
      </c>
      <c r="P124" s="454">
        <v>1.8543595303716442</v>
      </c>
    </row>
    <row r="125" spans="10:16">
      <c r="J125" s="142">
        <v>2019</v>
      </c>
      <c r="K125" s="283">
        <v>27.247772893512526</v>
      </c>
      <c r="L125" s="454">
        <v>1.6594564742034499</v>
      </c>
      <c r="M125" s="283">
        <v>25.088425630721975</v>
      </c>
      <c r="N125" s="454">
        <v>1.3694751046009597</v>
      </c>
      <c r="O125" s="283">
        <v>28.492513025696084</v>
      </c>
      <c r="P125" s="454">
        <v>1.8759705521542782</v>
      </c>
    </row>
    <row r="126" spans="10:16">
      <c r="J126" s="142">
        <v>2020</v>
      </c>
      <c r="K126" s="283">
        <v>27.406122343458541</v>
      </c>
      <c r="L126" s="454">
        <v>1.6636213960317401</v>
      </c>
      <c r="M126" s="283">
        <v>25.007939933453336</v>
      </c>
      <c r="N126" s="454">
        <v>1.3533268519224293</v>
      </c>
      <c r="O126" s="283">
        <v>28.772335155529756</v>
      </c>
      <c r="P126" s="454">
        <v>1.8953022698861381</v>
      </c>
    </row>
    <row r="127" spans="10:16">
      <c r="J127" s="142">
        <v>2021</v>
      </c>
      <c r="K127" s="283">
        <v>27.562355819410335</v>
      </c>
      <c r="L127" s="454">
        <v>1.6673890261144788</v>
      </c>
      <c r="M127" s="283">
        <v>24.940750387879294</v>
      </c>
      <c r="N127" s="454">
        <v>1.3387189804944382</v>
      </c>
      <c r="O127" s="283">
        <v>29.040007592607143</v>
      </c>
      <c r="P127" s="454">
        <v>1.9127899357488778</v>
      </c>
    </row>
    <row r="128" spans="10:16">
      <c r="J128" s="142">
        <v>2022</v>
      </c>
      <c r="K128" s="283">
        <v>27.717049142164846</v>
      </c>
      <c r="L128" s="454">
        <v>1.6708286028958859</v>
      </c>
      <c r="M128" s="283">
        <v>24.884619250064141</v>
      </c>
      <c r="N128" s="454">
        <v>1.3253830387257151</v>
      </c>
      <c r="O128" s="283">
        <v>29.29805227243774</v>
      </c>
      <c r="P128" s="454">
        <v>1.9287549238558725</v>
      </c>
    </row>
    <row r="129" spans="10:20">
      <c r="J129" s="142">
        <v>2023</v>
      </c>
      <c r="K129" s="283">
        <v>27.870639024540974</v>
      </c>
      <c r="L129" s="454">
        <v>1.6739927068137863</v>
      </c>
      <c r="M129" s="283">
        <v>24.837838275585902</v>
      </c>
      <c r="N129" s="454">
        <v>1.3131151615184342</v>
      </c>
      <c r="O129" s="283">
        <v>29.548360676925974</v>
      </c>
      <c r="P129" s="454">
        <v>1.9434412892516517</v>
      </c>
    </row>
    <row r="130" spans="10:20">
      <c r="J130" s="142">
        <v>2024</v>
      </c>
      <c r="K130" s="283">
        <v>28.023464903594515</v>
      </c>
      <c r="L130" s="454">
        <v>1.676922209473737</v>
      </c>
      <c r="M130" s="283">
        <v>24.799073745147997</v>
      </c>
      <c r="N130" s="454">
        <v>1.3017568813091924</v>
      </c>
      <c r="O130" s="283">
        <v>29.792387064568548</v>
      </c>
      <c r="P130" s="454">
        <v>1.9570387397805482</v>
      </c>
    </row>
    <row r="131" spans="10:20">
      <c r="J131" s="142">
        <v>2025</v>
      </c>
      <c r="K131" s="283">
        <v>28.175796185427242</v>
      </c>
      <c r="L131" s="454">
        <v>1.6796495112020779</v>
      </c>
      <c r="M131" s="283">
        <v>24.767264405534959</v>
      </c>
      <c r="N131" s="454">
        <v>1.2911825754144972</v>
      </c>
      <c r="O131" s="283">
        <v>30.03127321331921</v>
      </c>
      <c r="P131" s="454">
        <v>1.9696976633703662</v>
      </c>
    </row>
    <row r="132" spans="10:20">
      <c r="J132" s="142">
        <v>2026</v>
      </c>
      <c r="K132" s="283">
        <v>28.32785060298848</v>
      </c>
      <c r="L132" s="454">
        <v>1.6822007315883221</v>
      </c>
      <c r="M132" s="283">
        <v>24.741552003841676</v>
      </c>
      <c r="N132" s="454">
        <v>1.2812909728504704</v>
      </c>
      <c r="O132" s="283">
        <v>30.265931817742931</v>
      </c>
      <c r="P132" s="454">
        <v>1.9815392955574664</v>
      </c>
    </row>
    <row r="133" spans="10:20">
      <c r="J133" s="142">
        <v>2027</v>
      </c>
      <c r="K133" s="283">
        <v>28.479806948638657</v>
      </c>
      <c r="L133" s="454">
        <v>1.6845972347675124</v>
      </c>
      <c r="M133" s="283">
        <v>24.721232659601299</v>
      </c>
      <c r="N133" s="454">
        <v>1.2719992405015939</v>
      </c>
      <c r="O133" s="283">
        <v>30.497103926475155</v>
      </c>
      <c r="P133" s="454">
        <v>1.9926627991701693</v>
      </c>
    </row>
    <row r="134" spans="10:20">
      <c r="J134" s="142">
        <v>2028</v>
      </c>
      <c r="K134" s="283">
        <v>28.631814127911309</v>
      </c>
      <c r="L134" s="454">
        <v>1.6868567180662235</v>
      </c>
      <c r="M134" s="283">
        <v>24.705721990109602</v>
      </c>
      <c r="N134" s="454">
        <v>1.2632387622177832</v>
      </c>
      <c r="O134" s="283">
        <v>30.725399525472746</v>
      </c>
      <c r="P134" s="454">
        <v>2.0031503173400997</v>
      </c>
    </row>
    <row r="135" spans="10:20">
      <c r="J135" s="142">
        <v>2029</v>
      </c>
      <c r="K135" s="283">
        <v>28.783997738546674</v>
      </c>
      <c r="L135" s="454">
        <v>1.6889940059169675</v>
      </c>
      <c r="M135" s="283">
        <v>24.694529566314415</v>
      </c>
      <c r="N135" s="454">
        <v>1.254952060646068</v>
      </c>
      <c r="O135" s="283">
        <v>30.951326857821673</v>
      </c>
      <c r="P135" s="454">
        <v>2.0130706585003266</v>
      </c>
    </row>
    <row r="136" spans="10:20">
      <c r="J136" s="142">
        <v>2030</v>
      </c>
      <c r="K136" s="283">
        <v>28.936464943239205</v>
      </c>
      <c r="L136" s="454">
        <v>1.6910216398945139</v>
      </c>
      <c r="M136" s="283">
        <v>24.687239852919138</v>
      </c>
      <c r="N136" s="454">
        <v>1.2470905095392526</v>
      </c>
      <c r="O136" s="283">
        <v>31.175314024062878</v>
      </c>
      <c r="P136" s="454">
        <v>2.0224820350719601</v>
      </c>
      <c r="T136" s="1"/>
    </row>
    <row r="137" spans="10:20">
      <c r="J137" s="142">
        <v>2031</v>
      </c>
      <c r="K137" s="283">
        <v>29.089308140100414</v>
      </c>
      <c r="L137" s="454">
        <v>1.6929503246440751</v>
      </c>
      <c r="M137" s="283">
        <v>24.683497751203706</v>
      </c>
      <c r="N137" s="454">
        <v>1.2396126048012603</v>
      </c>
      <c r="O137" s="283">
        <v>31.397725173103275</v>
      </c>
      <c r="P137" s="454">
        <v>2.0314341332647761</v>
      </c>
    </row>
    <row r="138" spans="10:20">
      <c r="J138" s="142">
        <v>2032</v>
      </c>
      <c r="K138" s="283">
        <v>29.242607769470879</v>
      </c>
      <c r="L138" s="454">
        <v>1.6947892699772527</v>
      </c>
      <c r="M138" s="283">
        <v>24.68299747113198</v>
      </c>
      <c r="N138" s="454">
        <v>1.2324826381112615</v>
      </c>
      <c r="O138" s="283">
        <v>31.61887282703406</v>
      </c>
      <c r="P138" s="454">
        <v>2.0399697009346998</v>
      </c>
    </row>
    <row r="139" spans="10:20">
      <c r="J139" s="142">
        <v>2033</v>
      </c>
      <c r="K139" s="283">
        <v>29.396434489544561</v>
      </c>
      <c r="L139" s="454">
        <v>1.6965464568615549</v>
      </c>
      <c r="M139" s="283">
        <v>24.685473852548157</v>
      </c>
      <c r="N139" s="454">
        <v>1.2256696656279917</v>
      </c>
      <c r="O139" s="283">
        <v>31.839027393764241</v>
      </c>
      <c r="P139" s="454">
        <v>2.0481257821890266</v>
      </c>
    </row>
    <row r="140" spans="10:20">
      <c r="J140" s="142">
        <v>2034</v>
      </c>
      <c r="K140" s="283">
        <v>29.550850883485836</v>
      </c>
      <c r="L140" s="454">
        <v>1.6982288467586597</v>
      </c>
      <c r="M140" s="283">
        <v>24.690695515493402</v>
      </c>
      <c r="N140" s="454">
        <v>1.2191466963425381</v>
      </c>
      <c r="O140" s="283">
        <v>32.058424601423241</v>
      </c>
      <c r="P140" s="454">
        <v>2.0559346890416941</v>
      </c>
    </row>
    <row r="141" spans="10:20">
      <c r="J141" s="142">
        <v>2035</v>
      </c>
      <c r="K141" s="283">
        <v>29.707205745602693</v>
      </c>
      <c r="L141" s="454">
        <v>1.6999748319438033</v>
      </c>
      <c r="M141" s="283">
        <v>24.700749537802768</v>
      </c>
      <c r="N141" s="454">
        <v>1.2130431182077959</v>
      </c>
      <c r="O141" s="283">
        <v>32.278206600538475</v>
      </c>
      <c r="P141" s="454">
        <v>2.0635415368293266</v>
      </c>
    </row>
  </sheetData>
  <scenarios current="1" show="0">
    <scenario name="2020" locked="1" count="1" user="Max" comment="Erstellt von Max am 4/15/2013">
      <inputCells r="B25" val="2020"/>
    </scenario>
    <scenario name="2013" locked="1" count="1" user="Max" comment="Erstellt von Max am 4/15/2013">
      <inputCells r="B25" val="2013"/>
    </scenario>
  </scenarios>
  <mergeCells count="21">
    <mergeCell ref="J114:L114"/>
    <mergeCell ref="J35:L35"/>
    <mergeCell ref="J19:L19"/>
    <mergeCell ref="J94:L94"/>
    <mergeCell ref="J95:L95"/>
    <mergeCell ref="B25:C25"/>
    <mergeCell ref="B26:C26"/>
    <mergeCell ref="B27:C27"/>
    <mergeCell ref="B28:C28"/>
    <mergeCell ref="B29:C29"/>
    <mergeCell ref="B30:C30"/>
    <mergeCell ref="B54:C54"/>
    <mergeCell ref="B68:C68"/>
    <mergeCell ref="B69:C69"/>
    <mergeCell ref="B70:C70"/>
    <mergeCell ref="B71:C71"/>
    <mergeCell ref="B47:C47"/>
    <mergeCell ref="B46:C46"/>
    <mergeCell ref="B52:C52"/>
    <mergeCell ref="B31:C31"/>
    <mergeCell ref="B53:C53"/>
  </mergeCells>
  <conditionalFormatting sqref="F19 E20:F20 E3:F6 E10:F18">
    <cfRule type="cellIs" dxfId="27" priority="34" operator="lessThan">
      <formula>0</formula>
    </cfRule>
    <cfRule type="cellIs" dxfId="26" priority="35" operator="greaterThan">
      <formula>0</formula>
    </cfRule>
  </conditionalFormatting>
  <conditionalFormatting sqref="M5:M16">
    <cfRule type="cellIs" dxfId="25" priority="32" operator="lessThan">
      <formula>0</formula>
    </cfRule>
    <cfRule type="cellIs" dxfId="24" priority="33" operator="greaterThan">
      <formula>0</formula>
    </cfRule>
  </conditionalFormatting>
  <conditionalFormatting sqref="J5:J16">
    <cfRule type="cellIs" dxfId="23" priority="31" operator="equal">
      <formula>$J$4</formula>
    </cfRule>
  </conditionalFormatting>
  <conditionalFormatting sqref="J26:J32">
    <cfRule type="cellIs" dxfId="22" priority="28" operator="equal">
      <formula>$J$25</formula>
    </cfRule>
  </conditionalFormatting>
  <conditionalFormatting sqref="M26:M32">
    <cfRule type="cellIs" dxfId="21" priority="26" operator="lessThan">
      <formula>0</formula>
    </cfRule>
    <cfRule type="cellIs" dxfId="20" priority="27" operator="greaterThan">
      <formula>0</formula>
    </cfRule>
  </conditionalFormatting>
  <conditionalFormatting sqref="E54">
    <cfRule type="cellIs" dxfId="19" priority="20" operator="greaterThan">
      <formula>1</formula>
    </cfRule>
    <cfRule type="cellIs" dxfId="18" priority="21" operator="lessThan">
      <formula>1</formula>
    </cfRule>
  </conditionalFormatting>
  <conditionalFormatting sqref="J42:J49">
    <cfRule type="cellIs" dxfId="17" priority="16" operator="equal">
      <formula>$J$41</formula>
    </cfRule>
  </conditionalFormatting>
  <conditionalFormatting sqref="M42:M49">
    <cfRule type="cellIs" dxfId="16" priority="14" operator="lessThan">
      <formula>0</formula>
    </cfRule>
    <cfRule type="cellIs" dxfId="15" priority="15" operator="greaterThan">
      <formula>0</formula>
    </cfRule>
  </conditionalFormatting>
  <conditionalFormatting sqref="E30">
    <cfRule type="cellIs" dxfId="14" priority="5" operator="greaterThan">
      <formula>1</formula>
    </cfRule>
    <cfRule type="cellIs" dxfId="13" priority="6" operator="greaterThan">
      <formula>1</formula>
    </cfRule>
  </conditionalFormatting>
  <conditionalFormatting sqref="E7:F7">
    <cfRule type="cellIs" dxfId="12" priority="3" operator="lessThan">
      <formula>0</formula>
    </cfRule>
    <cfRule type="cellIs" dxfId="11" priority="4" operator="greaterThan">
      <formula>0</formula>
    </cfRule>
  </conditionalFormatting>
  <conditionalFormatting sqref="E8:F8">
    <cfRule type="cellIs" dxfId="10" priority="1" operator="lessThan">
      <formula>0</formula>
    </cfRule>
    <cfRule type="cellIs" dxfId="9" priority="2" operator="greaterThan">
      <formula>0</formula>
    </cfRule>
  </conditionalFormatting>
  <dataValidations count="1">
    <dataValidation type="whole" allowBlank="1" showInputMessage="1" sqref="B30" xr:uid="{00000000-0002-0000-0100-000000000000}">
      <formula1>1</formula1>
      <formula2>10</formula2>
    </dataValidation>
  </dataValidations>
  <pageMargins left="0.7" right="0.7" top="0.78740157499999996" bottom="0.78740157499999996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100-000001000000}">
          <x14:formula1>
            <xm:f>'NR Kraftstoffpreisprognosen'!$J$37:$J$40</xm:f>
          </x14:formula1>
          <xm:sqref>B26</xm:sqref>
        </x14:dataValidation>
        <x14:dataValidation type="list" allowBlank="1" showInputMessage="1" showErrorMessage="1" xr:uid="{00000000-0002-0000-0100-000002000000}">
          <x14:formula1>
            <xm:f>'NR Fahrzeug&amp;Fahrverhalten'!$H$1:$K$1</xm:f>
          </x14:formula1>
          <xm:sqref>B27</xm:sqref>
        </x14:dataValidation>
        <x14:dataValidation type="list" allowBlank="1" showInputMessage="1" showErrorMessage="1" xr:uid="{00000000-0002-0000-0100-000003000000}">
          <x14:formula1>
            <xm:f>'NR Kraftstoffpreisprognosen'!$E$71:$E$75</xm:f>
          </x14:formula1>
          <xm:sqref>B31</xm:sqref>
        </x14:dataValidation>
        <x14:dataValidation type="list" allowBlank="1" showInputMessage="1" showErrorMessage="1" xr:uid="{00000000-0002-0000-0100-000004000000}">
          <x14:formula1>
            <xm:f>'NR Kraftstoffpreisprognosen'!$CA$10:$CA$10</xm:f>
          </x14:formula1>
          <xm:sqref>B46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9"/>
  <sheetViews>
    <sheetView zoomScaleNormal="100" workbookViewId="0">
      <selection activeCell="I11" sqref="I11"/>
    </sheetView>
  </sheetViews>
  <sheetFormatPr baseColWidth="10" defaultColWidth="11.5" defaultRowHeight="15"/>
  <cols>
    <col min="1" max="1" width="25.33203125" style="125" bestFit="1" customWidth="1"/>
    <col min="2" max="2" width="11.5" style="125"/>
    <col min="3" max="4" width="12.6640625" style="125" customWidth="1"/>
    <col min="5" max="5" width="13.33203125" style="125" bestFit="1" customWidth="1"/>
    <col min="6" max="9" width="12.1640625" style="125" bestFit="1" customWidth="1"/>
    <col min="10" max="10" width="12.33203125" style="125" customWidth="1"/>
    <col min="11" max="12" width="11.5" style="125"/>
    <col min="13" max="13" width="31.33203125" style="125" customWidth="1"/>
    <col min="14" max="14" width="11.5" style="125"/>
    <col min="15" max="16" width="12" style="125" bestFit="1" customWidth="1"/>
    <col min="17" max="17" width="13.33203125" style="125" customWidth="1"/>
    <col min="18" max="18" width="11.5" style="125" bestFit="1" customWidth="1"/>
    <col min="19" max="19" width="11.5" style="125"/>
    <col min="20" max="20" width="31.83203125" style="125" bestFit="1" customWidth="1"/>
    <col min="21" max="21" width="12.33203125" style="125" customWidth="1"/>
    <col min="22" max="23" width="12" style="125" bestFit="1" customWidth="1"/>
    <col min="24" max="24" width="13" style="125" bestFit="1" customWidth="1"/>
    <col min="25" max="25" width="6.33203125" style="125" bestFit="1" customWidth="1"/>
    <col min="26" max="16384" width="11.5" style="125"/>
  </cols>
  <sheetData>
    <row r="1" spans="1:12">
      <c r="A1" s="124" t="s">
        <v>457</v>
      </c>
      <c r="B1" s="124"/>
      <c r="K1" s="142"/>
    </row>
    <row r="2" spans="1:12" ht="15.75" customHeight="1">
      <c r="A2" s="126" t="s">
        <v>456</v>
      </c>
      <c r="B2" s="126" t="s">
        <v>249</v>
      </c>
      <c r="C2" s="126" t="s">
        <v>1</v>
      </c>
      <c r="D2" s="126" t="s">
        <v>0</v>
      </c>
      <c r="E2" s="126" t="s">
        <v>709</v>
      </c>
      <c r="K2" s="142"/>
    </row>
    <row r="3" spans="1:12" ht="15" customHeight="1">
      <c r="A3" s="247" t="s">
        <v>699</v>
      </c>
      <c r="B3" s="127" t="s">
        <v>13</v>
      </c>
      <c r="C3" s="488">
        <f>'NR Fahrzeug&amp;Fahrverhalten'!$C$10</f>
        <v>18942</v>
      </c>
      <c r="D3" s="128">
        <f>'NR Fahrzeug&amp;Fahrverhalten'!$D$10</f>
        <v>35437.445653265364</v>
      </c>
      <c r="E3" s="129" t="s">
        <v>447</v>
      </c>
      <c r="K3" s="142"/>
    </row>
    <row r="4" spans="1:12" ht="15" customHeight="1">
      <c r="A4" s="248" t="s">
        <v>700</v>
      </c>
      <c r="B4" s="131" t="s">
        <v>13</v>
      </c>
      <c r="C4" s="132">
        <v>0</v>
      </c>
      <c r="D4" s="133">
        <f>Sensitivitätsanalyse!$C$58</f>
        <v>0</v>
      </c>
      <c r="E4" s="134"/>
      <c r="K4" s="142"/>
    </row>
    <row r="5" spans="1:12" ht="15" customHeight="1">
      <c r="A5" s="248" t="s">
        <v>55</v>
      </c>
      <c r="B5" s="131" t="s">
        <v>13</v>
      </c>
      <c r="C5" s="136">
        <f>INDEX('NR Wertverlust'!$J$1:$T$18,MATCH(Sensitivitätsanalyse!$B$30,'NR Wertverlust'!$J:$J,0),6)</f>
        <v>7626.178350000001</v>
      </c>
      <c r="D5" s="136">
        <f>INDEX('NR Wertverlust'!$J$1:$T$18,MATCH(Sensitivitätsanalyse!$B$30,'NR Wertverlust'!$J:$J,0),7)</f>
        <v>8884.2099623784015</v>
      </c>
      <c r="E5" s="137" t="s">
        <v>447</v>
      </c>
      <c r="K5" s="142"/>
    </row>
    <row r="6" spans="1:12" ht="15" customHeight="1">
      <c r="A6" s="248" t="s">
        <v>702</v>
      </c>
      <c r="B6" s="131" t="s">
        <v>20</v>
      </c>
      <c r="C6" s="132">
        <f>'NR Fahrzeug&amp;Fahrverhalten'!$C$37*12</f>
        <v>488.52592233537825</v>
      </c>
      <c r="D6" s="133">
        <f>'NR Fahrzeug&amp;Fahrverhalten'!$D$37*12</f>
        <v>913.95369142494451</v>
      </c>
      <c r="E6" s="134" t="s">
        <v>447</v>
      </c>
      <c r="K6" s="142"/>
    </row>
    <row r="7" spans="1:12" ht="15" customHeight="1">
      <c r="A7" s="248" t="s">
        <v>703</v>
      </c>
      <c r="B7" s="131" t="s">
        <v>20</v>
      </c>
      <c r="C7" s="132">
        <f ca="1">Sensitivitätsanalyse!B29/Ergebnis!E9*'NR Fahrzeug&amp;Fahrverhalten'!$O$15</f>
        <v>1618.8764143862252</v>
      </c>
      <c r="D7" s="133">
        <v>0</v>
      </c>
      <c r="E7" s="134" t="s">
        <v>447</v>
      </c>
      <c r="K7" s="142"/>
    </row>
    <row r="8" spans="1:12" ht="15" customHeight="1">
      <c r="A8" s="248" t="s">
        <v>711</v>
      </c>
      <c r="B8" s="131" t="s">
        <v>20</v>
      </c>
      <c r="C8" s="132">
        <v>0</v>
      </c>
      <c r="D8" s="133">
        <f ca="1">Sensitivitätsanalyse!$B$29/Ergebnis!G10*'NR Fahrzeug&amp;Fahrverhalten'!$O$16</f>
        <v>730.8410930504449</v>
      </c>
      <c r="E8" s="134" t="s">
        <v>447</v>
      </c>
      <c r="K8" s="142"/>
    </row>
    <row r="9" spans="1:12" ht="15" customHeight="1">
      <c r="A9" s="248" t="s">
        <v>704</v>
      </c>
      <c r="B9" s="131" t="s">
        <v>20</v>
      </c>
      <c r="C9" s="132">
        <f>'NR Fahrzeug&amp;Fahrverhalten'!$C$17</f>
        <v>49.28</v>
      </c>
      <c r="D9" s="133">
        <f>'NR Fahrzeug&amp;Fahrverhalten'!$D$17*12</f>
        <v>0</v>
      </c>
      <c r="E9" s="134" t="s">
        <v>447</v>
      </c>
      <c r="K9" s="142"/>
    </row>
    <row r="10" spans="1:12" ht="15" customHeight="1">
      <c r="A10" s="248" t="s">
        <v>705</v>
      </c>
      <c r="B10" s="131" t="s">
        <v>20</v>
      </c>
      <c r="C10" s="132">
        <f ca="1">'NR Fahrzeug&amp;Fahrverhalten'!$C$25</f>
        <v>369.6978900020415</v>
      </c>
      <c r="D10" s="133">
        <f ca="1">'NR Fahrzeug&amp;Fahrverhalten'!$D$25</f>
        <v>249.79595338755863</v>
      </c>
      <c r="E10" s="134" t="s">
        <v>447</v>
      </c>
      <c r="K10" s="142"/>
    </row>
    <row r="11" spans="1:12" ht="15" customHeight="1">
      <c r="A11" s="248" t="s">
        <v>706</v>
      </c>
      <c r="B11" s="131" t="s">
        <v>20</v>
      </c>
      <c r="C11" s="132">
        <f>('NR Fahrzeug&amp;Fahrverhalten'!$C$18)*12</f>
        <v>905.43100000000027</v>
      </c>
      <c r="D11" s="132">
        <f>('NR Fahrzeug&amp;Fahrverhalten'!$D$18)*12</f>
        <v>1074.02</v>
      </c>
      <c r="E11" s="134" t="s">
        <v>447</v>
      </c>
      <c r="K11" s="142"/>
    </row>
    <row r="12" spans="1:12" ht="15" customHeight="1">
      <c r="A12" s="248" t="s">
        <v>701</v>
      </c>
      <c r="B12" s="131" t="s">
        <v>20</v>
      </c>
      <c r="C12" s="132">
        <v>0</v>
      </c>
      <c r="D12" s="132" t="e">
        <f>'NR Fahrzeug&amp;Fahrverhalten'!$D$40</f>
        <v>#REF!</v>
      </c>
      <c r="E12" s="134"/>
      <c r="K12" s="142"/>
      <c r="L12" s="142"/>
    </row>
    <row r="13" spans="1:12" ht="15" customHeight="1">
      <c r="A13" s="248" t="s">
        <v>707</v>
      </c>
      <c r="B13" s="131" t="s">
        <v>20</v>
      </c>
      <c r="C13" s="132">
        <f>'NR Fahrzeug&amp;Fahrverhalten'!C27*12</f>
        <v>360</v>
      </c>
      <c r="D13" s="132">
        <f>'NR Fahrzeug&amp;Fahrverhalten'!D27*12</f>
        <v>240</v>
      </c>
      <c r="E13" s="134"/>
    </row>
    <row r="14" spans="1:12" ht="15" customHeight="1">
      <c r="A14" s="249" t="s">
        <v>708</v>
      </c>
      <c r="B14" s="138" t="s">
        <v>20</v>
      </c>
      <c r="C14" s="139">
        <f>'NR Fahrzeug&amp;Fahrverhalten'!$C$26*12</f>
        <v>240</v>
      </c>
      <c r="D14" s="139">
        <f>'NR Fahrzeug&amp;Fahrverhalten'!$D$26*12</f>
        <v>0</v>
      </c>
      <c r="E14" s="140"/>
    </row>
    <row r="15" spans="1:12" ht="15" customHeight="1">
      <c r="C15" s="592">
        <f ca="1">SUM(C6:C11)</f>
        <v>3431.8112267236456</v>
      </c>
      <c r="D15" s="592">
        <f ca="1">SUM(D6:D11)</f>
        <v>2968.6107378629481</v>
      </c>
      <c r="E15" s="125">
        <f ca="1">D15/C15</f>
        <v>0.8650273985778304</v>
      </c>
      <c r="F15" s="125">
        <f ca="1">1-E15</f>
        <v>0.1349726014221696</v>
      </c>
    </row>
    <row r="16" spans="1:12">
      <c r="A16" s="141" t="s">
        <v>459</v>
      </c>
      <c r="K16" s="141" t="s">
        <v>460</v>
      </c>
    </row>
    <row r="35" spans="2:21">
      <c r="F35" s="142"/>
    </row>
    <row r="36" spans="2:21">
      <c r="F36" s="142"/>
    </row>
    <row r="37" spans="2:21">
      <c r="F37" s="142"/>
    </row>
    <row r="38" spans="2:21">
      <c r="F38" s="142"/>
    </row>
    <row r="39" spans="2:21">
      <c r="F39" s="142"/>
    </row>
    <row r="40" spans="2:21">
      <c r="F40" s="142"/>
    </row>
    <row r="41" spans="2:21">
      <c r="F41" s="142"/>
    </row>
    <row r="42" spans="2:21">
      <c r="F42" s="142"/>
    </row>
    <row r="43" spans="2:21">
      <c r="F43" s="4"/>
      <c r="G43" s="4"/>
      <c r="H43" s="4"/>
      <c r="I43" s="4"/>
      <c r="J43" s="4"/>
      <c r="K43" s="4"/>
    </row>
    <row r="45" spans="2:21">
      <c r="F45" s="142"/>
    </row>
    <row r="46" spans="2:21">
      <c r="F46" s="142"/>
    </row>
    <row r="47" spans="2:21">
      <c r="F47" s="142"/>
    </row>
    <row r="48" spans="2:21"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</row>
    <row r="49" spans="1:21">
      <c r="B49" s="578"/>
      <c r="C49" s="578" t="s">
        <v>699</v>
      </c>
      <c r="D49" t="s">
        <v>55</v>
      </c>
      <c r="E49" t="s">
        <v>400</v>
      </c>
      <c r="F49" s="578" t="s">
        <v>702</v>
      </c>
      <c r="G49" s="578" t="s">
        <v>703</v>
      </c>
      <c r="H49" s="578" t="s">
        <v>706</v>
      </c>
      <c r="I49" s="578" t="s">
        <v>705</v>
      </c>
      <c r="J49" s="578" t="s">
        <v>704</v>
      </c>
      <c r="K49" s="578" t="s">
        <v>421</v>
      </c>
      <c r="L49" s="578"/>
      <c r="M49" s="578"/>
      <c r="N49" s="578"/>
      <c r="O49" s="578"/>
      <c r="P49"/>
      <c r="Q49"/>
      <c r="R49"/>
      <c r="S49"/>
      <c r="T49"/>
      <c r="U49"/>
    </row>
    <row r="50" spans="1:21">
      <c r="B50"/>
      <c r="C50" s="579">
        <f>'Cash Flows'!A22</f>
        <v>18942</v>
      </c>
      <c r="D50" s="579">
        <f>'Cash Flows'!A32</f>
        <v>-7626.178350000001</v>
      </c>
      <c r="E50" s="4"/>
      <c r="F50" s="579">
        <f>'Cash Flows'!A24</f>
        <v>2931.1555340122695</v>
      </c>
      <c r="G50" s="579">
        <f ca="1">'Cash Flows'!A25</f>
        <v>9713.2584863173506</v>
      </c>
      <c r="H50" s="579">
        <f>'Cash Flows'!A29</f>
        <v>5432.5860000000011</v>
      </c>
      <c r="I50" s="579">
        <f ca="1">'Cash Flows'!A28</f>
        <v>2218.187340012249</v>
      </c>
      <c r="J50" s="579">
        <f>'Cash Flows'!A27</f>
        <v>295.68</v>
      </c>
      <c r="K50" s="4"/>
      <c r="L50"/>
      <c r="M50"/>
      <c r="N50"/>
      <c r="O50"/>
      <c r="P50"/>
      <c r="Q50" s="577"/>
      <c r="R50" s="577"/>
      <c r="S50" s="577"/>
      <c r="T50" s="577"/>
      <c r="U50" s="577"/>
    </row>
    <row r="51" spans="1:21">
      <c r="B51" t="s">
        <v>1027</v>
      </c>
      <c r="C51" s="4">
        <f>C50</f>
        <v>18942</v>
      </c>
      <c r="D51" s="4">
        <f>C51+D50</f>
        <v>11315.821649999998</v>
      </c>
      <c r="E51" s="326">
        <f>D51</f>
        <v>11315.821649999998</v>
      </c>
      <c r="F51" s="4">
        <f>E51+F50</f>
        <v>14246.977184012267</v>
      </c>
      <c r="G51" s="4">
        <f ca="1">F51+G50</f>
        <v>23960.235670329617</v>
      </c>
      <c r="H51" s="4">
        <f ca="1">G51+H50</f>
        <v>29392.82167032962</v>
      </c>
      <c r="I51" s="4">
        <f ca="1">H51+I50</f>
        <v>31611.00901034187</v>
      </c>
      <c r="J51" s="4">
        <f ca="1">I51+J50</f>
        <v>31906.68901034187</v>
      </c>
      <c r="K51" s="326">
        <f ca="1">J51</f>
        <v>31906.68901034187</v>
      </c>
      <c r="L51"/>
      <c r="M51"/>
      <c r="N51"/>
      <c r="O51"/>
      <c r="P51"/>
      <c r="Q51" s="577"/>
      <c r="R51" s="577"/>
      <c r="S51" s="577"/>
      <c r="T51" s="577"/>
      <c r="U51" s="577"/>
    </row>
    <row r="52" spans="1:21">
      <c r="B52" t="s">
        <v>1026</v>
      </c>
      <c r="C52" s="4"/>
      <c r="D52" s="4">
        <f>C51</f>
        <v>18942</v>
      </c>
      <c r="E52" s="4"/>
      <c r="F52" s="4">
        <f>E51</f>
        <v>11315.821649999998</v>
      </c>
      <c r="G52" s="4">
        <f>F51</f>
        <v>14246.977184012267</v>
      </c>
      <c r="H52" s="4">
        <f ca="1">G51</f>
        <v>23960.235670329617</v>
      </c>
      <c r="I52" s="4">
        <f ca="1">H51</f>
        <v>29392.82167032962</v>
      </c>
      <c r="J52" s="4">
        <f ca="1">I51</f>
        <v>31611.00901034187</v>
      </c>
      <c r="K52" s="4"/>
      <c r="L52"/>
      <c r="M52"/>
      <c r="N52"/>
      <c r="O52"/>
      <c r="P52"/>
      <c r="Q52" s="577"/>
      <c r="R52" s="577"/>
      <c r="S52" s="577"/>
      <c r="T52" s="577"/>
      <c r="U52" s="577"/>
    </row>
    <row r="53" spans="1:21">
      <c r="B53" t="s">
        <v>1025</v>
      </c>
      <c r="C53" s="4">
        <f t="shared" ref="C53:K53" si="0">C51-C52</f>
        <v>18942</v>
      </c>
      <c r="D53" s="4">
        <f t="shared" si="0"/>
        <v>-7626.178350000002</v>
      </c>
      <c r="E53" s="4">
        <f t="shared" si="0"/>
        <v>11315.821649999998</v>
      </c>
      <c r="F53" s="4">
        <f t="shared" si="0"/>
        <v>2931.1555340122686</v>
      </c>
      <c r="G53" s="4">
        <f t="shared" ca="1" si="0"/>
        <v>9713.2584863173506</v>
      </c>
      <c r="H53" s="4">
        <f t="shared" ca="1" si="0"/>
        <v>5432.586000000003</v>
      </c>
      <c r="I53" s="4">
        <f t="shared" ca="1" si="0"/>
        <v>2218.1873400122495</v>
      </c>
      <c r="J53" s="4">
        <f t="shared" ca="1" si="0"/>
        <v>295.68000000000029</v>
      </c>
      <c r="K53" s="4">
        <f t="shared" ca="1" si="0"/>
        <v>31906.68901034187</v>
      </c>
      <c r="L53"/>
      <c r="M53"/>
      <c r="N53"/>
      <c r="O53"/>
      <c r="P53"/>
      <c r="Q53" s="577"/>
      <c r="R53" s="577"/>
      <c r="S53" s="577"/>
      <c r="T53" s="577"/>
      <c r="U53" s="577"/>
    </row>
    <row r="54" spans="1:21">
      <c r="B54"/>
      <c r="C54" s="4"/>
      <c r="D54" s="4"/>
      <c r="E54" s="4"/>
      <c r="F54" s="4"/>
      <c r="G54" s="4"/>
      <c r="H54" s="4"/>
      <c r="I54" s="4"/>
      <c r="J54" s="4"/>
      <c r="K54" s="4"/>
      <c r="L54"/>
      <c r="M54"/>
      <c r="N54"/>
      <c r="O54"/>
      <c r="P54"/>
      <c r="Q54" s="577"/>
      <c r="R54" s="577"/>
      <c r="S54" s="577"/>
      <c r="T54" s="577"/>
      <c r="U54" s="577"/>
    </row>
    <row r="55" spans="1:21">
      <c r="A55" s="142"/>
      <c r="B55" t="s">
        <v>1024</v>
      </c>
      <c r="C55" s="4">
        <f t="shared" ref="C55:K55" si="1">C52</f>
        <v>0</v>
      </c>
      <c r="D55" s="4">
        <f t="shared" si="1"/>
        <v>18942</v>
      </c>
      <c r="E55" s="4">
        <f t="shared" si="1"/>
        <v>0</v>
      </c>
      <c r="F55" s="4">
        <f t="shared" si="1"/>
        <v>11315.821649999998</v>
      </c>
      <c r="G55" s="4">
        <f t="shared" si="1"/>
        <v>14246.977184012267</v>
      </c>
      <c r="H55" s="4">
        <f t="shared" ca="1" si="1"/>
        <v>23960.235670329617</v>
      </c>
      <c r="I55" s="4">
        <f t="shared" ca="1" si="1"/>
        <v>29392.82167032962</v>
      </c>
      <c r="J55" s="4">
        <f t="shared" ca="1" si="1"/>
        <v>31611.00901034187</v>
      </c>
      <c r="K55" s="4">
        <f t="shared" si="1"/>
        <v>0</v>
      </c>
      <c r="L55"/>
      <c r="M55"/>
      <c r="N55"/>
      <c r="O55"/>
      <c r="P55"/>
      <c r="Q55" s="577"/>
      <c r="R55" s="577"/>
      <c r="S55" s="577"/>
      <c r="T55" s="577"/>
      <c r="U55" s="577"/>
    </row>
    <row r="56" spans="1:21">
      <c r="B56" t="s">
        <v>1023</v>
      </c>
      <c r="C56" s="4">
        <f t="shared" ref="C56:K56" si="2">C55-C58</f>
        <v>0</v>
      </c>
      <c r="D56" s="4">
        <f t="shared" si="2"/>
        <v>11315.821649999998</v>
      </c>
      <c r="E56" s="4">
        <f t="shared" si="2"/>
        <v>0</v>
      </c>
      <c r="F56" s="4">
        <f t="shared" si="2"/>
        <v>11315.821649999998</v>
      </c>
      <c r="G56" s="4">
        <f t="shared" ca="1" si="2"/>
        <v>14246.977184012267</v>
      </c>
      <c r="H56" s="4">
        <f t="shared" ca="1" si="2"/>
        <v>23960.235670329617</v>
      </c>
      <c r="I56" s="4">
        <f t="shared" ca="1" si="2"/>
        <v>29392.82167032962</v>
      </c>
      <c r="J56" s="4">
        <f t="shared" ca="1" si="2"/>
        <v>31611.00901034187</v>
      </c>
      <c r="K56" s="4">
        <f t="shared" ca="1" si="2"/>
        <v>0</v>
      </c>
      <c r="L56"/>
      <c r="M56"/>
      <c r="N56"/>
      <c r="O56"/>
      <c r="P56"/>
      <c r="Q56" s="577"/>
      <c r="R56" s="577"/>
      <c r="S56" s="577"/>
      <c r="T56" s="577"/>
      <c r="U56" s="577"/>
    </row>
    <row r="57" spans="1:21">
      <c r="B57" t="s">
        <v>1022</v>
      </c>
      <c r="C57" s="4">
        <f t="shared" ref="C57:K57" si="3">IF(C53&gt;0,C53,0)</f>
        <v>18942</v>
      </c>
      <c r="D57" s="4">
        <f t="shared" si="3"/>
        <v>0</v>
      </c>
      <c r="E57" s="4">
        <f t="shared" si="3"/>
        <v>11315.821649999998</v>
      </c>
      <c r="F57" s="4">
        <f t="shared" si="3"/>
        <v>2931.1555340122686</v>
      </c>
      <c r="G57" s="4">
        <f t="shared" ca="1" si="3"/>
        <v>9713.2584863173506</v>
      </c>
      <c r="H57" s="4">
        <f t="shared" ca="1" si="3"/>
        <v>5432.586000000003</v>
      </c>
      <c r="I57" s="4">
        <f t="shared" ca="1" si="3"/>
        <v>2218.1873400122495</v>
      </c>
      <c r="J57" s="4">
        <f t="shared" ca="1" si="3"/>
        <v>295.68000000000029</v>
      </c>
      <c r="K57" s="4">
        <f t="shared" ca="1" si="3"/>
        <v>31906.68901034187</v>
      </c>
      <c r="L57"/>
      <c r="M57"/>
      <c r="N57"/>
      <c r="O57"/>
      <c r="P57"/>
      <c r="Q57" s="577"/>
      <c r="R57" s="577"/>
      <c r="S57" s="577"/>
      <c r="T57" s="577"/>
      <c r="U57" s="577"/>
    </row>
    <row r="58" spans="1:21">
      <c r="B58" t="s">
        <v>1021</v>
      </c>
      <c r="C58" s="4">
        <f t="shared" ref="C58:K58" si="4">IF(C53&lt;0,(C53*-1),0)</f>
        <v>0</v>
      </c>
      <c r="D58" s="4">
        <f t="shared" si="4"/>
        <v>7626.178350000002</v>
      </c>
      <c r="E58" s="4">
        <f t="shared" si="4"/>
        <v>0</v>
      </c>
      <c r="F58" s="4">
        <f t="shared" si="4"/>
        <v>0</v>
      </c>
      <c r="G58" s="4">
        <f t="shared" ca="1" si="4"/>
        <v>0</v>
      </c>
      <c r="H58" s="4">
        <f t="shared" ca="1" si="4"/>
        <v>0</v>
      </c>
      <c r="I58" s="4">
        <f t="shared" ca="1" si="4"/>
        <v>0</v>
      </c>
      <c r="J58" s="4">
        <f t="shared" ca="1" si="4"/>
        <v>0</v>
      </c>
      <c r="K58" s="4">
        <f t="shared" ca="1" si="4"/>
        <v>0</v>
      </c>
      <c r="L58"/>
      <c r="M58"/>
      <c r="N58"/>
      <c r="O58"/>
      <c r="P58"/>
      <c r="Q58" s="577"/>
      <c r="R58" s="577"/>
      <c r="S58" s="577"/>
      <c r="T58" s="577"/>
      <c r="U58" s="577"/>
    </row>
    <row r="59" spans="1:21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 s="577"/>
      <c r="R59" s="577"/>
      <c r="S59" s="577"/>
      <c r="T59" s="577"/>
      <c r="U59" s="577"/>
    </row>
    <row r="60" spans="1:21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 s="577"/>
      <c r="R60" s="577"/>
      <c r="S60" s="577"/>
      <c r="T60" s="577"/>
      <c r="U60" s="577"/>
    </row>
    <row r="61" spans="1:21">
      <c r="A61" s="142"/>
      <c r="B61" t="s">
        <v>1020</v>
      </c>
      <c r="C61" s="4">
        <f>C51</f>
        <v>18942</v>
      </c>
      <c r="D61" s="4">
        <f>C61</f>
        <v>18942</v>
      </c>
      <c r="E61"/>
      <c r="F61"/>
      <c r="G61"/>
      <c r="H61"/>
      <c r="I61"/>
      <c r="J61"/>
      <c r="K61"/>
      <c r="L61"/>
      <c r="M61"/>
      <c r="N61"/>
      <c r="O61"/>
      <c r="P61"/>
      <c r="Q61" s="577"/>
      <c r="R61" s="577"/>
      <c r="S61" s="577"/>
      <c r="T61" s="577"/>
      <c r="U61" s="577"/>
    </row>
    <row r="62" spans="1:21">
      <c r="B62"/>
      <c r="C62" s="576">
        <v>0.65</v>
      </c>
      <c r="D62" s="576">
        <v>2.35</v>
      </c>
      <c r="E62"/>
      <c r="F62"/>
      <c r="G62"/>
      <c r="H62"/>
      <c r="I62"/>
      <c r="J62"/>
      <c r="K62"/>
      <c r="L62"/>
      <c r="M62"/>
      <c r="N62"/>
      <c r="O62"/>
      <c r="P62"/>
      <c r="Q62" s="577"/>
      <c r="R62" s="577"/>
      <c r="S62" s="577"/>
      <c r="T62" s="577"/>
      <c r="U62" s="577"/>
    </row>
    <row r="63" spans="1:21">
      <c r="B63"/>
      <c r="C63" s="4"/>
      <c r="D63" s="4">
        <f>D51</f>
        <v>11315.821649999998</v>
      </c>
      <c r="E63" s="4">
        <f>D63</f>
        <v>11315.821649999998</v>
      </c>
      <c r="F63"/>
      <c r="G63"/>
      <c r="H63"/>
      <c r="I63"/>
      <c r="J63"/>
      <c r="K63"/>
      <c r="L63"/>
      <c r="M63"/>
      <c r="N63"/>
      <c r="O63"/>
      <c r="P63"/>
      <c r="Q63" s="577"/>
      <c r="R63" s="577"/>
      <c r="S63" s="577"/>
      <c r="T63" s="577"/>
      <c r="U63" s="577"/>
    </row>
    <row r="64" spans="1:21">
      <c r="B64"/>
      <c r="C64" s="576"/>
      <c r="D64" s="576">
        <f>C62+1</f>
        <v>1.65</v>
      </c>
      <c r="E64" s="576">
        <f>D62+1</f>
        <v>3.35</v>
      </c>
      <c r="F64"/>
      <c r="G64"/>
      <c r="H64"/>
      <c r="I64"/>
      <c r="J64"/>
      <c r="K64"/>
      <c r="L64"/>
      <c r="M64"/>
      <c r="N64"/>
      <c r="O64"/>
      <c r="P64"/>
      <c r="Q64" s="577"/>
      <c r="R64" s="577"/>
      <c r="S64" s="577"/>
      <c r="T64" s="577"/>
      <c r="U64" s="577"/>
    </row>
    <row r="65" spans="2:21">
      <c r="B65"/>
      <c r="C65"/>
      <c r="D65"/>
      <c r="E65" s="4">
        <f>E$51</f>
        <v>11315.821649999998</v>
      </c>
      <c r="F65" s="4">
        <f>E65</f>
        <v>11315.821649999998</v>
      </c>
      <c r="L65"/>
      <c r="M65"/>
      <c r="N65"/>
      <c r="O65"/>
      <c r="P65"/>
      <c r="Q65" s="577"/>
      <c r="R65" s="577"/>
      <c r="S65" s="577"/>
      <c r="T65" s="577"/>
      <c r="U65" s="577"/>
    </row>
    <row r="66" spans="2:21">
      <c r="B66"/>
      <c r="C66"/>
      <c r="D66"/>
      <c r="E66" s="576">
        <f>D64+1</f>
        <v>2.65</v>
      </c>
      <c r="F66" s="576">
        <f>E64+1</f>
        <v>4.3499999999999996</v>
      </c>
      <c r="L66"/>
      <c r="M66"/>
      <c r="N66"/>
      <c r="O66"/>
      <c r="P66"/>
      <c r="Q66" s="577"/>
      <c r="R66" s="577"/>
      <c r="S66" s="577"/>
      <c r="T66" s="577"/>
      <c r="U66" s="577"/>
    </row>
    <row r="67" spans="2:21">
      <c r="B67"/>
      <c r="C67"/>
      <c r="D67"/>
      <c r="E67"/>
      <c r="F67" s="4">
        <f>F$51</f>
        <v>14246.977184012267</v>
      </c>
      <c r="G67" s="4">
        <f>F67</f>
        <v>14246.977184012267</v>
      </c>
      <c r="H67"/>
      <c r="I67"/>
      <c r="J67"/>
      <c r="K67"/>
      <c r="L67"/>
      <c r="M67"/>
      <c r="N67"/>
      <c r="O67"/>
      <c r="P67"/>
      <c r="Q67" s="577"/>
      <c r="R67" s="577"/>
      <c r="S67" s="577"/>
      <c r="T67" s="577"/>
      <c r="U67" s="577"/>
    </row>
    <row r="68" spans="2:21">
      <c r="E68"/>
      <c r="F68" s="576">
        <f>E66+1</f>
        <v>3.65</v>
      </c>
      <c r="G68" s="576">
        <f>F66+1</f>
        <v>5.35</v>
      </c>
      <c r="H68"/>
      <c r="I68"/>
      <c r="J68"/>
      <c r="K68"/>
      <c r="L68"/>
      <c r="M68"/>
      <c r="N68"/>
      <c r="O68"/>
      <c r="P68"/>
      <c r="Q68" s="577"/>
      <c r="R68" s="577"/>
      <c r="S68" s="577"/>
      <c r="T68" s="577"/>
      <c r="U68" s="577"/>
    </row>
    <row r="69" spans="2:21">
      <c r="E69"/>
      <c r="F69"/>
      <c r="G69" s="4">
        <f ca="1">G$51</f>
        <v>23960.235670329617</v>
      </c>
      <c r="H69" s="4">
        <f ca="1">G69</f>
        <v>23960.235670329617</v>
      </c>
      <c r="I69"/>
      <c r="J69"/>
      <c r="K69"/>
      <c r="L69"/>
      <c r="M69"/>
      <c r="N69"/>
      <c r="O69"/>
      <c r="P69"/>
      <c r="Q69" s="577"/>
      <c r="R69" s="577"/>
      <c r="S69" s="577"/>
      <c r="T69" s="577"/>
      <c r="U69" s="577"/>
    </row>
    <row r="70" spans="2:21">
      <c r="E70"/>
      <c r="F70"/>
      <c r="G70" s="576">
        <f>F68+1</f>
        <v>4.6500000000000004</v>
      </c>
      <c r="H70" s="576">
        <f>G68+1</f>
        <v>6.35</v>
      </c>
      <c r="I70" s="576"/>
      <c r="J70"/>
      <c r="K70"/>
      <c r="L70"/>
      <c r="M70"/>
      <c r="N70"/>
      <c r="O70"/>
      <c r="P70"/>
      <c r="Q70" s="577"/>
      <c r="R70" s="577"/>
      <c r="S70" s="577"/>
      <c r="T70" s="577"/>
      <c r="U70" s="577"/>
    </row>
    <row r="71" spans="2:21">
      <c r="E71"/>
      <c r="F71"/>
      <c r="G71"/>
      <c r="H71" s="4">
        <f ca="1">H$51</f>
        <v>29392.82167032962</v>
      </c>
      <c r="I71" s="4">
        <f ca="1">H71</f>
        <v>29392.82167032962</v>
      </c>
      <c r="J71"/>
      <c r="K71"/>
      <c r="L71"/>
      <c r="M71"/>
      <c r="N71"/>
      <c r="O71"/>
      <c r="P71"/>
      <c r="Q71"/>
      <c r="R71"/>
      <c r="S71"/>
      <c r="T71"/>
      <c r="U71"/>
    </row>
    <row r="72" spans="2:21">
      <c r="E72"/>
      <c r="F72"/>
      <c r="G72"/>
      <c r="H72" s="576">
        <f>G70+1</f>
        <v>5.65</v>
      </c>
      <c r="I72" s="576">
        <f>H70+1</f>
        <v>7.35</v>
      </c>
      <c r="J72"/>
      <c r="K72"/>
      <c r="L72"/>
      <c r="M72"/>
      <c r="N72"/>
      <c r="O72"/>
      <c r="P72"/>
      <c r="Q72"/>
      <c r="R72"/>
      <c r="S72"/>
      <c r="T72"/>
      <c r="U72"/>
    </row>
    <row r="73" spans="2:21">
      <c r="E73"/>
      <c r="F73"/>
      <c r="G73"/>
      <c r="H73"/>
      <c r="I73" s="4">
        <f ca="1">I$51</f>
        <v>31611.00901034187</v>
      </c>
      <c r="J73" s="4">
        <f ca="1">I73</f>
        <v>31611.00901034187</v>
      </c>
      <c r="K73"/>
      <c r="L73"/>
      <c r="M73"/>
      <c r="N73"/>
      <c r="O73"/>
      <c r="P73"/>
      <c r="Q73"/>
      <c r="R73"/>
      <c r="S73"/>
      <c r="T73"/>
      <c r="U73"/>
    </row>
    <row r="74" spans="2:21">
      <c r="E74"/>
      <c r="F74"/>
      <c r="G74"/>
      <c r="H74"/>
      <c r="I74" s="576">
        <f>H72+1</f>
        <v>6.65</v>
      </c>
      <c r="J74" s="576">
        <f>I72+1</f>
        <v>8.35</v>
      </c>
      <c r="K74"/>
      <c r="L74" s="576"/>
      <c r="M74"/>
      <c r="N74"/>
      <c r="O74"/>
      <c r="P74"/>
      <c r="Q74"/>
      <c r="R74"/>
      <c r="S74"/>
      <c r="T74"/>
      <c r="U74"/>
    </row>
    <row r="75" spans="2:21">
      <c r="E75"/>
      <c r="F75"/>
      <c r="G75"/>
      <c r="H75"/>
      <c r="I75"/>
      <c r="J75" s="4">
        <f ca="1">J$51</f>
        <v>31906.68901034187</v>
      </c>
      <c r="K75" s="4">
        <f ca="1">J75</f>
        <v>31906.68901034187</v>
      </c>
      <c r="L75"/>
      <c r="M75"/>
      <c r="N75"/>
      <c r="O75"/>
      <c r="P75"/>
      <c r="Q75"/>
      <c r="R75"/>
      <c r="S75"/>
      <c r="T75"/>
      <c r="U75"/>
    </row>
    <row r="76" spans="2:21">
      <c r="C76" s="4"/>
      <c r="D76" s="4"/>
      <c r="E76" s="4"/>
      <c r="F76"/>
      <c r="G76"/>
      <c r="H76"/>
      <c r="I76"/>
      <c r="J76" s="576">
        <f>I74+1</f>
        <v>7.65</v>
      </c>
      <c r="K76" s="576">
        <f>J74+1</f>
        <v>9.35</v>
      </c>
      <c r="L76" s="576"/>
      <c r="M76" s="576"/>
      <c r="N76"/>
      <c r="O76"/>
      <c r="P76"/>
      <c r="Q76"/>
      <c r="R76"/>
      <c r="S76"/>
      <c r="T76"/>
      <c r="U76"/>
    </row>
    <row r="77" spans="2:21">
      <c r="E77"/>
      <c r="F77"/>
      <c r="G77"/>
      <c r="H77"/>
      <c r="I77"/>
      <c r="J77"/>
      <c r="K77" s="4">
        <f ca="1">K$51</f>
        <v>31906.68901034187</v>
      </c>
      <c r="L77"/>
      <c r="M77"/>
      <c r="N77"/>
      <c r="O77"/>
      <c r="P77"/>
      <c r="Q77"/>
      <c r="R77"/>
      <c r="S77"/>
      <c r="T77"/>
      <c r="U77"/>
    </row>
    <row r="78" spans="2:21">
      <c r="E78"/>
      <c r="F78"/>
      <c r="G78" s="4"/>
      <c r="H78" s="4"/>
      <c r="I78" s="4"/>
      <c r="J78"/>
      <c r="K78" s="576">
        <f>J76+1</f>
        <v>8.65</v>
      </c>
      <c r="L78"/>
      <c r="M78"/>
      <c r="N78"/>
      <c r="O78" s="578"/>
      <c r="P78"/>
      <c r="Q78"/>
      <c r="R78"/>
    </row>
    <row r="79" spans="2:21">
      <c r="E79"/>
      <c r="F79"/>
      <c r="G79"/>
      <c r="H79"/>
      <c r="I79"/>
      <c r="J79"/>
      <c r="K79"/>
      <c r="L79"/>
      <c r="M79"/>
      <c r="N79"/>
      <c r="O79"/>
      <c r="P79"/>
      <c r="Q79" s="577"/>
      <c r="R79" s="577"/>
      <c r="S79" s="125">
        <v>2931</v>
      </c>
    </row>
    <row r="80" spans="2:21">
      <c r="B80" s="578"/>
      <c r="C80" s="578" t="s">
        <v>699</v>
      </c>
      <c r="D80" t="s">
        <v>55</v>
      </c>
      <c r="E80" t="s">
        <v>400</v>
      </c>
      <c r="F80" s="578" t="s">
        <v>702</v>
      </c>
      <c r="G80" s="578" t="s">
        <v>711</v>
      </c>
      <c r="H80" s="578" t="s">
        <v>706</v>
      </c>
      <c r="I80" s="578" t="s">
        <v>705</v>
      </c>
      <c r="J80" s="578" t="s">
        <v>704</v>
      </c>
      <c r="K80" s="578" t="s">
        <v>421</v>
      </c>
      <c r="L80" s="578"/>
      <c r="M80" s="578"/>
      <c r="N80" s="578"/>
      <c r="O80"/>
      <c r="P80"/>
      <c r="Q80" s="577"/>
      <c r="R80" s="577"/>
      <c r="S80" s="125">
        <v>5484</v>
      </c>
    </row>
    <row r="81" spans="1:19">
      <c r="B81"/>
      <c r="C81" s="579">
        <f>'Cash Flows'!A42</f>
        <v>35437.445653265364</v>
      </c>
      <c r="D81" s="579">
        <f>'Cash Flows'!A52</f>
        <v>-8884.2099623784015</v>
      </c>
      <c r="E81" s="4"/>
      <c r="F81" s="579">
        <f>'Cash Flows'!A44</f>
        <v>5483.7221485496666</v>
      </c>
      <c r="G81" s="580">
        <f ca="1">'Cash Flows'!A46</f>
        <v>4385.0465583026689</v>
      </c>
      <c r="H81" s="579">
        <f>'Cash Flows'!A49</f>
        <v>6444.12</v>
      </c>
      <c r="I81" s="579">
        <f ca="1">'Cash Flows'!A48</f>
        <v>1498.7757203253518</v>
      </c>
      <c r="J81" s="579">
        <f>'Cash Flows'!A47</f>
        <v>0</v>
      </c>
      <c r="K81" s="4"/>
      <c r="L81"/>
      <c r="M81"/>
      <c r="N81"/>
      <c r="O81"/>
      <c r="P81"/>
      <c r="Q81" s="577"/>
      <c r="R81" s="577"/>
      <c r="S81" s="125">
        <f>S80-S79</f>
        <v>2553</v>
      </c>
    </row>
    <row r="82" spans="1:19">
      <c r="B82" t="s">
        <v>1027</v>
      </c>
      <c r="C82" s="4">
        <f>C81</f>
        <v>35437.445653265364</v>
      </c>
      <c r="D82" s="4">
        <f>C82+D81</f>
        <v>26553.235690886962</v>
      </c>
      <c r="E82" s="326">
        <f>D82</f>
        <v>26553.235690886962</v>
      </c>
      <c r="F82" s="4">
        <f>E82+F81</f>
        <v>32036.957839436629</v>
      </c>
      <c r="G82" s="4">
        <f ca="1">F82+G81</f>
        <v>36422.0043977393</v>
      </c>
      <c r="H82" s="4">
        <f ca="1">G82+H81</f>
        <v>42866.124397739302</v>
      </c>
      <c r="I82" s="4">
        <f ca="1">H82+I81</f>
        <v>44364.900118064652</v>
      </c>
      <c r="J82" s="4">
        <f ca="1">I82+J81</f>
        <v>44364.900118064652</v>
      </c>
      <c r="K82" s="326">
        <f ca="1">J82</f>
        <v>44364.900118064652</v>
      </c>
      <c r="L82"/>
      <c r="M82" s="4">
        <f ca="1">ROUNDUP(K82,-4)</f>
        <v>50000</v>
      </c>
      <c r="N82"/>
      <c r="O82"/>
      <c r="P82"/>
      <c r="Q82" s="577"/>
      <c r="R82" s="577"/>
    </row>
    <row r="83" spans="1:19">
      <c r="B83" t="s">
        <v>1026</v>
      </c>
      <c r="C83" s="4"/>
      <c r="D83" s="4">
        <f>C82</f>
        <v>35437.445653265364</v>
      </c>
      <c r="E83" s="4"/>
      <c r="F83" s="4">
        <f>E82</f>
        <v>26553.235690886962</v>
      </c>
      <c r="G83" s="4">
        <f>F82</f>
        <v>32036.957839436629</v>
      </c>
      <c r="H83" s="4">
        <f ca="1">G82</f>
        <v>36422.0043977393</v>
      </c>
      <c r="I83" s="4">
        <f ca="1">H82</f>
        <v>42866.124397739302</v>
      </c>
      <c r="J83" s="4">
        <f ca="1">I82</f>
        <v>44364.900118064652</v>
      </c>
      <c r="K83" s="4"/>
      <c r="L83"/>
      <c r="M83"/>
      <c r="N83"/>
      <c r="O83"/>
      <c r="P83"/>
      <c r="Q83" s="577"/>
      <c r="R83" s="577"/>
    </row>
    <row r="84" spans="1:19">
      <c r="B84" t="s">
        <v>1025</v>
      </c>
      <c r="C84" s="4">
        <f t="shared" ref="C84:K84" si="5">C82-C83</f>
        <v>35437.445653265364</v>
      </c>
      <c r="D84" s="4">
        <f t="shared" si="5"/>
        <v>-8884.2099623784015</v>
      </c>
      <c r="E84" s="4">
        <f t="shared" si="5"/>
        <v>26553.235690886962</v>
      </c>
      <c r="F84" s="4">
        <f t="shared" si="5"/>
        <v>5483.7221485496666</v>
      </c>
      <c r="G84" s="4">
        <f t="shared" ca="1" si="5"/>
        <v>4385.0465583026707</v>
      </c>
      <c r="H84" s="4">
        <f t="shared" ca="1" si="5"/>
        <v>6444.1200000000026</v>
      </c>
      <c r="I84" s="4">
        <f t="shared" ca="1" si="5"/>
        <v>1498.7757203253495</v>
      </c>
      <c r="J84" s="4">
        <f t="shared" ca="1" si="5"/>
        <v>0</v>
      </c>
      <c r="K84" s="4">
        <f t="shared" ca="1" si="5"/>
        <v>44364.900118064652</v>
      </c>
      <c r="L84"/>
      <c r="M84"/>
      <c r="N84"/>
      <c r="O84"/>
      <c r="P84"/>
      <c r="Q84" s="577"/>
      <c r="R84" s="577"/>
    </row>
    <row r="85" spans="1:19">
      <c r="B85"/>
      <c r="C85" s="4"/>
      <c r="D85" s="4"/>
      <c r="E85" s="4"/>
      <c r="F85" s="4"/>
      <c r="G85" s="4"/>
      <c r="H85" s="4"/>
      <c r="I85" s="4"/>
      <c r="J85" s="4"/>
      <c r="K85" s="4"/>
      <c r="L85"/>
      <c r="M85"/>
      <c r="N85"/>
      <c r="O85"/>
      <c r="P85"/>
      <c r="Q85" s="577"/>
      <c r="R85" s="577"/>
    </row>
    <row r="86" spans="1:19">
      <c r="A86" s="142"/>
      <c r="B86" t="s">
        <v>1024</v>
      </c>
      <c r="C86" s="4">
        <f t="shared" ref="C86:K86" si="6">C83</f>
        <v>0</v>
      </c>
      <c r="D86" s="4">
        <f t="shared" si="6"/>
        <v>35437.445653265364</v>
      </c>
      <c r="E86" s="4">
        <f t="shared" si="6"/>
        <v>0</v>
      </c>
      <c r="F86" s="4">
        <f t="shared" si="6"/>
        <v>26553.235690886962</v>
      </c>
      <c r="G86" s="4">
        <f t="shared" si="6"/>
        <v>32036.957839436629</v>
      </c>
      <c r="H86" s="4">
        <f t="shared" ca="1" si="6"/>
        <v>36422.0043977393</v>
      </c>
      <c r="I86" s="4">
        <f t="shared" ca="1" si="6"/>
        <v>42866.124397739302</v>
      </c>
      <c r="J86" s="4">
        <f t="shared" ca="1" si="6"/>
        <v>44364.900118064652</v>
      </c>
      <c r="K86" s="4">
        <f t="shared" si="6"/>
        <v>0</v>
      </c>
      <c r="L86"/>
      <c r="M86"/>
      <c r="N86"/>
      <c r="O86"/>
      <c r="P86"/>
      <c r="Q86" s="577"/>
      <c r="R86" s="577"/>
    </row>
    <row r="87" spans="1:19">
      <c r="B87" t="s">
        <v>1023</v>
      </c>
      <c r="C87" s="4">
        <f t="shared" ref="C87:K87" si="7">C86-C89</f>
        <v>0</v>
      </c>
      <c r="D87" s="4">
        <f t="shared" si="7"/>
        <v>26553.235690886962</v>
      </c>
      <c r="E87" s="4">
        <f t="shared" si="7"/>
        <v>0</v>
      </c>
      <c r="F87" s="4">
        <f t="shared" si="7"/>
        <v>26553.235690886962</v>
      </c>
      <c r="G87" s="4">
        <f t="shared" ca="1" si="7"/>
        <v>32036.957839436629</v>
      </c>
      <c r="H87" s="4">
        <f t="shared" ca="1" si="7"/>
        <v>36422.0043977393</v>
      </c>
      <c r="I87" s="4">
        <f t="shared" ca="1" si="7"/>
        <v>42866.124397739302</v>
      </c>
      <c r="J87" s="4">
        <f t="shared" ca="1" si="7"/>
        <v>44364.900118064652</v>
      </c>
      <c r="K87" s="4">
        <f t="shared" ca="1" si="7"/>
        <v>0</v>
      </c>
      <c r="L87"/>
      <c r="M87"/>
      <c r="N87"/>
      <c r="O87"/>
      <c r="P87"/>
      <c r="Q87" s="577"/>
      <c r="R87" s="577"/>
    </row>
    <row r="88" spans="1:19">
      <c r="B88" t="s">
        <v>1022</v>
      </c>
      <c r="C88" s="4">
        <f t="shared" ref="C88:K88" si="8">IF(C84&gt;0,C84,0)</f>
        <v>35437.445653265364</v>
      </c>
      <c r="D88" s="4">
        <f t="shared" si="8"/>
        <v>0</v>
      </c>
      <c r="E88" s="4">
        <f t="shared" si="8"/>
        <v>26553.235690886962</v>
      </c>
      <c r="F88" s="4">
        <f t="shared" si="8"/>
        <v>5483.7221485496666</v>
      </c>
      <c r="G88" s="4">
        <f t="shared" ca="1" si="8"/>
        <v>4385.0465583026707</v>
      </c>
      <c r="H88" s="4">
        <f t="shared" ca="1" si="8"/>
        <v>6444.1200000000026</v>
      </c>
      <c r="I88" s="4">
        <f t="shared" ca="1" si="8"/>
        <v>1498.7757203253495</v>
      </c>
      <c r="J88" s="4">
        <f t="shared" ca="1" si="8"/>
        <v>0</v>
      </c>
      <c r="K88" s="4">
        <f t="shared" ca="1" si="8"/>
        <v>44364.900118064652</v>
      </c>
      <c r="L88"/>
      <c r="M88"/>
      <c r="N88"/>
      <c r="O88"/>
      <c r="P88"/>
      <c r="Q88" s="577"/>
      <c r="R88" s="577"/>
    </row>
    <row r="89" spans="1:19">
      <c r="B89" t="s">
        <v>1021</v>
      </c>
      <c r="C89" s="4">
        <f t="shared" ref="C89:K89" si="9">IF(C84&lt;0,(C84*-1),0)</f>
        <v>0</v>
      </c>
      <c r="D89" s="4">
        <f t="shared" si="9"/>
        <v>8884.2099623784015</v>
      </c>
      <c r="E89" s="4">
        <f t="shared" si="9"/>
        <v>0</v>
      </c>
      <c r="F89" s="4">
        <f t="shared" si="9"/>
        <v>0</v>
      </c>
      <c r="G89" s="4">
        <f t="shared" ca="1" si="9"/>
        <v>0</v>
      </c>
      <c r="H89" s="4">
        <f t="shared" ca="1" si="9"/>
        <v>0</v>
      </c>
      <c r="I89" s="4">
        <f t="shared" ca="1" si="9"/>
        <v>0</v>
      </c>
      <c r="J89" s="4">
        <f t="shared" ca="1" si="9"/>
        <v>0</v>
      </c>
      <c r="K89" s="4">
        <f t="shared" ca="1" si="9"/>
        <v>0</v>
      </c>
      <c r="L89"/>
      <c r="M89"/>
      <c r="N89"/>
      <c r="O89"/>
      <c r="P89"/>
      <c r="Q89" s="577"/>
      <c r="R89" s="577"/>
    </row>
    <row r="90" spans="1:19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 s="577"/>
      <c r="R90" s="577"/>
    </row>
    <row r="91" spans="1:19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 s="577"/>
      <c r="R91" s="577"/>
    </row>
    <row r="92" spans="1:19">
      <c r="A92" s="142"/>
      <c r="B92" t="s">
        <v>1020</v>
      </c>
      <c r="C92" s="4">
        <f>C82</f>
        <v>35437.445653265364</v>
      </c>
      <c r="D92" s="4">
        <f>C92</f>
        <v>35437.445653265364</v>
      </c>
      <c r="E92"/>
      <c r="F92"/>
      <c r="G92"/>
      <c r="H92"/>
      <c r="I92"/>
      <c r="J92"/>
      <c r="K92"/>
      <c r="L92"/>
      <c r="M92"/>
      <c r="N92"/>
      <c r="O92"/>
      <c r="P92"/>
      <c r="Q92" s="577"/>
      <c r="R92" s="577"/>
    </row>
    <row r="93" spans="1:19">
      <c r="B93"/>
      <c r="C93" s="576">
        <v>0.65</v>
      </c>
      <c r="D93" s="576">
        <v>2.35</v>
      </c>
      <c r="E93"/>
      <c r="F93"/>
      <c r="G93"/>
      <c r="H93"/>
      <c r="I93"/>
      <c r="J93"/>
      <c r="K93"/>
      <c r="L93"/>
      <c r="M93"/>
      <c r="N93"/>
      <c r="O93"/>
      <c r="P93"/>
      <c r="Q93" s="577"/>
      <c r="R93" s="577"/>
    </row>
    <row r="94" spans="1:19">
      <c r="B94"/>
      <c r="C94" s="4"/>
      <c r="D94" s="4">
        <f>D82</f>
        <v>26553.235690886962</v>
      </c>
      <c r="E94" s="4">
        <f>D94</f>
        <v>26553.235690886962</v>
      </c>
      <c r="F94"/>
      <c r="G94"/>
      <c r="H94"/>
      <c r="I94"/>
      <c r="J94"/>
      <c r="K94"/>
      <c r="L94"/>
      <c r="M94"/>
      <c r="N94"/>
      <c r="O94"/>
      <c r="P94"/>
      <c r="Q94" s="577"/>
      <c r="R94" s="577"/>
    </row>
    <row r="95" spans="1:19">
      <c r="B95"/>
      <c r="C95" s="576"/>
      <c r="D95" s="576">
        <f>C93+1</f>
        <v>1.65</v>
      </c>
      <c r="E95" s="576">
        <f>D93+1</f>
        <v>3.35</v>
      </c>
      <c r="F95"/>
      <c r="G95"/>
      <c r="H95"/>
      <c r="I95"/>
      <c r="J95"/>
      <c r="K95"/>
      <c r="L95"/>
      <c r="M95"/>
      <c r="N95"/>
      <c r="O95"/>
      <c r="P95"/>
      <c r="Q95" s="577"/>
      <c r="R95" s="577"/>
    </row>
    <row r="96" spans="1:19">
      <c r="B96"/>
      <c r="C96"/>
      <c r="D96"/>
      <c r="E96" s="4">
        <f>E$82</f>
        <v>26553.235690886962</v>
      </c>
      <c r="F96" s="4">
        <f>E96</f>
        <v>26553.235690886962</v>
      </c>
      <c r="L96"/>
      <c r="M96"/>
      <c r="N96"/>
      <c r="O96"/>
      <c r="P96"/>
      <c r="Q96" s="577"/>
      <c r="R96" s="577"/>
    </row>
    <row r="97" spans="2:18">
      <c r="B97"/>
      <c r="C97"/>
      <c r="D97"/>
      <c r="E97" s="576">
        <f>D95+1</f>
        <v>2.65</v>
      </c>
      <c r="F97" s="576">
        <f>E95+1</f>
        <v>4.3499999999999996</v>
      </c>
      <c r="L97"/>
      <c r="M97"/>
      <c r="N97"/>
      <c r="O97"/>
      <c r="P97"/>
      <c r="Q97" s="577"/>
      <c r="R97" s="577"/>
    </row>
    <row r="98" spans="2:18">
      <c r="B98"/>
      <c r="C98"/>
      <c r="D98"/>
      <c r="E98"/>
      <c r="F98" s="4">
        <f>F$82</f>
        <v>32036.957839436629</v>
      </c>
      <c r="G98" s="4">
        <f>F98</f>
        <v>32036.957839436629</v>
      </c>
      <c r="H98"/>
      <c r="I98"/>
      <c r="J98"/>
      <c r="K98"/>
      <c r="L98"/>
      <c r="M98"/>
      <c r="N98"/>
      <c r="O98"/>
      <c r="P98"/>
      <c r="Q98" s="577"/>
      <c r="R98" s="577"/>
    </row>
    <row r="99" spans="2:18">
      <c r="E99"/>
      <c r="F99" s="576">
        <f>E97+1</f>
        <v>3.65</v>
      </c>
      <c r="G99" s="576">
        <f>F97+1</f>
        <v>5.35</v>
      </c>
      <c r="H99"/>
      <c r="I99"/>
      <c r="J99"/>
      <c r="K99"/>
      <c r="L99"/>
      <c r="M99"/>
      <c r="N99"/>
      <c r="O99"/>
      <c r="P99"/>
      <c r="Q99" s="577"/>
      <c r="R99" s="577"/>
    </row>
    <row r="100" spans="2:18">
      <c r="E100"/>
      <c r="F100"/>
      <c r="G100" s="4">
        <f ca="1">G$82</f>
        <v>36422.0043977393</v>
      </c>
      <c r="H100" s="4">
        <f ca="1">G100</f>
        <v>36422.0043977393</v>
      </c>
      <c r="I100"/>
      <c r="J100"/>
      <c r="K100"/>
      <c r="L100"/>
      <c r="M100"/>
      <c r="N100"/>
      <c r="O100"/>
      <c r="P100"/>
      <c r="Q100"/>
      <c r="R100"/>
    </row>
    <row r="101" spans="2:18">
      <c r="E101"/>
      <c r="F101"/>
      <c r="G101" s="576">
        <f>F99+1</f>
        <v>4.6500000000000004</v>
      </c>
      <c r="H101" s="576">
        <f>G99+1</f>
        <v>6.35</v>
      </c>
      <c r="I101" s="576"/>
      <c r="J101"/>
      <c r="K101"/>
      <c r="L101"/>
      <c r="M101"/>
      <c r="N101"/>
      <c r="O101"/>
      <c r="P101"/>
      <c r="Q101"/>
      <c r="R101"/>
    </row>
    <row r="102" spans="2:18">
      <c r="E102"/>
      <c r="F102"/>
      <c r="G102"/>
      <c r="H102" s="4">
        <f ca="1">H$82</f>
        <v>42866.124397739302</v>
      </c>
      <c r="I102" s="4">
        <f ca="1">H102</f>
        <v>42866.124397739302</v>
      </c>
      <c r="J102"/>
      <c r="K102"/>
      <c r="L102"/>
      <c r="M102"/>
      <c r="N102"/>
      <c r="O102"/>
      <c r="P102"/>
      <c r="Q102"/>
      <c r="R102"/>
    </row>
    <row r="103" spans="2:18">
      <c r="E103"/>
      <c r="F103"/>
      <c r="G103"/>
      <c r="H103" s="576">
        <f>G101+1</f>
        <v>5.65</v>
      </c>
      <c r="I103" s="576">
        <f>H101+1</f>
        <v>7.35</v>
      </c>
      <c r="J103"/>
      <c r="K103"/>
      <c r="L103"/>
      <c r="M103"/>
      <c r="N103"/>
      <c r="O103"/>
      <c r="P103"/>
      <c r="Q103"/>
      <c r="R103"/>
    </row>
    <row r="104" spans="2:18">
      <c r="E104"/>
      <c r="F104"/>
      <c r="G104"/>
      <c r="H104"/>
      <c r="I104" s="4">
        <f ca="1">I$82</f>
        <v>44364.900118064652</v>
      </c>
      <c r="J104" s="4">
        <f ca="1">I104</f>
        <v>44364.900118064652</v>
      </c>
      <c r="K104"/>
      <c r="L104"/>
      <c r="M104"/>
      <c r="N104"/>
      <c r="O104"/>
      <c r="P104"/>
      <c r="Q104"/>
      <c r="R104"/>
    </row>
    <row r="105" spans="2:18">
      <c r="E105"/>
      <c r="F105"/>
      <c r="G105"/>
      <c r="H105"/>
      <c r="I105" s="576">
        <f>H103+1</f>
        <v>6.65</v>
      </c>
      <c r="J105" s="576">
        <f>I103+1</f>
        <v>8.35</v>
      </c>
      <c r="K105"/>
      <c r="L105" s="576"/>
      <c r="M105"/>
      <c r="N105"/>
      <c r="O105"/>
      <c r="P105"/>
      <c r="Q105"/>
      <c r="R105"/>
    </row>
    <row r="106" spans="2:18">
      <c r="E106"/>
      <c r="F106"/>
      <c r="G106"/>
      <c r="H106"/>
      <c r="I106"/>
      <c r="J106" s="4">
        <f ca="1">J$82</f>
        <v>44364.900118064652</v>
      </c>
      <c r="K106" s="4">
        <f ca="1">J106</f>
        <v>44364.900118064652</v>
      </c>
      <c r="L106"/>
      <c r="M106"/>
      <c r="N106"/>
    </row>
    <row r="107" spans="2:18">
      <c r="E107"/>
      <c r="F107"/>
      <c r="G107"/>
      <c r="H107"/>
      <c r="I107"/>
      <c r="J107" s="576">
        <f>I105+1</f>
        <v>7.65</v>
      </c>
      <c r="K107" s="576">
        <f>J105+1</f>
        <v>9.35</v>
      </c>
      <c r="L107" s="576"/>
      <c r="M107" s="576"/>
      <c r="N107"/>
    </row>
    <row r="108" spans="2:18">
      <c r="G108"/>
      <c r="H108"/>
      <c r="I108"/>
      <c r="J108"/>
      <c r="K108" s="4">
        <f ca="1">K$82</f>
        <v>44364.900118064652</v>
      </c>
    </row>
    <row r="109" spans="2:18">
      <c r="G109"/>
      <c r="H109"/>
      <c r="I109"/>
      <c r="J109"/>
      <c r="K109" s="576">
        <f>J107+1</f>
        <v>8.65</v>
      </c>
    </row>
  </sheetData>
  <dataConsolidate/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9"/>
  <sheetViews>
    <sheetView workbookViewId="0">
      <selection activeCell="E29" sqref="E29"/>
    </sheetView>
  </sheetViews>
  <sheetFormatPr baseColWidth="10" defaultRowHeight="15" customHeight="1"/>
  <cols>
    <col min="1" max="1" width="33" bestFit="1" customWidth="1"/>
    <col min="2" max="2" width="11.33203125" bestFit="1" customWidth="1"/>
  </cols>
  <sheetData>
    <row r="1" spans="1:2" ht="15" customHeight="1">
      <c r="A1" s="113" t="s">
        <v>461</v>
      </c>
    </row>
    <row r="2" spans="1:2" ht="15" customHeight="1">
      <c r="A2" s="99" t="s">
        <v>451</v>
      </c>
      <c r="B2" s="4" t="s">
        <v>465</v>
      </c>
    </row>
    <row r="3" spans="1:2" ht="15" customHeight="1">
      <c r="A3" s="99" t="str">
        <f>IF(B3&gt;0,"Wertverlust",0)</f>
        <v>Wertverlust</v>
      </c>
      <c r="B3" s="4">
        <f>'Cash Flows'!A22+'Cash Flows'!A32</f>
        <v>11315.821649999998</v>
      </c>
    </row>
    <row r="4" spans="1:2" ht="15" customHeight="1">
      <c r="A4" s="121" t="str">
        <f ca="1">IF(B4&gt;0,'Eingabe und Ausgabe'!A7,0)</f>
        <v>Benzinkosten</v>
      </c>
      <c r="B4" s="4">
        <f ca="1">'Cash Flows'!A25</f>
        <v>9713.2584863173506</v>
      </c>
    </row>
    <row r="5" spans="1:2" ht="15" customHeight="1">
      <c r="A5" s="121" t="str">
        <f>IF(B5&gt;0,'Eingabe und Ausgabe'!A11,0)</f>
        <v>Versicherung</v>
      </c>
      <c r="B5" s="4">
        <f>'Cash Flows'!A29</f>
        <v>5432.5860000000011</v>
      </c>
    </row>
    <row r="6" spans="1:2" ht="15" customHeight="1">
      <c r="A6" s="121" t="str">
        <f>IF(B6&gt;0,'Eingabe und Ausgabe'!A6,0)</f>
        <v>Zinsen</v>
      </c>
      <c r="B6" s="4">
        <f>'Cash Flows'!A24</f>
        <v>2931.1555340122695</v>
      </c>
    </row>
    <row r="7" spans="1:2" ht="15" customHeight="1">
      <c r="A7" s="121" t="str">
        <f ca="1">IF(B7&gt;0,'Eingabe und Ausgabe'!A10,0)</f>
        <v>Wartung</v>
      </c>
      <c r="B7" s="4">
        <f ca="1">'Cash Flows'!A28</f>
        <v>2218.187340012249</v>
      </c>
    </row>
    <row r="8" spans="1:2" ht="15" customHeight="1">
      <c r="A8" s="121" t="str">
        <f>IF(B8&gt;0,'Eingabe und Ausgabe'!A9,0)</f>
        <v>Kfz-Steuern</v>
      </c>
      <c r="B8" s="4">
        <f>'Cash Flows'!A27</f>
        <v>295.68</v>
      </c>
    </row>
    <row r="9" spans="1:2" ht="15" customHeight="1">
      <c r="A9" s="121">
        <f>IF(B9&gt;0,'Eingabe und Ausgabe'!A12,)</f>
        <v>0</v>
      </c>
      <c r="B9" s="4">
        <f>'Cash Flows'!A23</f>
        <v>0</v>
      </c>
    </row>
    <row r="10" spans="1:2" ht="15" customHeight="1">
      <c r="A10" s="121">
        <f>IF(B10&gt;0,'Eingabe und Ausgabe'!A8,0)</f>
        <v>0</v>
      </c>
      <c r="B10" s="4">
        <f>'Cash Flows'!A26</f>
        <v>0</v>
      </c>
    </row>
    <row r="11" spans="1:2" ht="15" customHeight="1">
      <c r="A11" s="121">
        <f>IF(B11&gt;0,'Eingabe und Ausgabe'!A13,0)</f>
        <v>0</v>
      </c>
      <c r="B11" s="4">
        <f>'Cash Flows'!A30</f>
        <v>0</v>
      </c>
    </row>
    <row r="12" spans="1:2" ht="15" customHeight="1">
      <c r="A12" s="121">
        <f>IF(B12&gt;0,'Eingabe und Ausgabe'!A14,0)</f>
        <v>0</v>
      </c>
      <c r="B12" s="4">
        <f>'Cash Flows'!A31</f>
        <v>0</v>
      </c>
    </row>
    <row r="14" spans="1:2" ht="15" customHeight="1">
      <c r="A14">
        <f ca="1">COUNTIF(Tabelle5[Spalte2],"&gt;0")</f>
        <v>6</v>
      </c>
    </row>
    <row r="16" spans="1:2" ht="15" customHeight="1">
      <c r="A16" s="113" t="s">
        <v>462</v>
      </c>
    </row>
    <row r="17" spans="1:2" ht="15" customHeight="1">
      <c r="A17" s="99" t="s">
        <v>451</v>
      </c>
      <c r="B17" s="4" t="s">
        <v>465</v>
      </c>
    </row>
    <row r="18" spans="1:2" ht="15" customHeight="1">
      <c r="A18" s="99" t="str">
        <f>IF(B18&gt;0,"Wertverlust",0)</f>
        <v>Wertverlust</v>
      </c>
      <c r="B18" s="4">
        <f>'Cash Flows'!A42+'Cash Flows'!A52</f>
        <v>26553.235690886962</v>
      </c>
    </row>
    <row r="19" spans="1:2" ht="15" customHeight="1">
      <c r="A19" s="121" t="str">
        <f>IF(B19&gt;0,'Eingabe und Ausgabe'!A11,0)</f>
        <v>Versicherung</v>
      </c>
      <c r="B19" s="4">
        <f>'Cash Flows'!A49</f>
        <v>6444.12</v>
      </c>
    </row>
    <row r="20" spans="1:2" ht="15" customHeight="1">
      <c r="A20" s="121" t="str">
        <f>IF(B20&gt;0,'Eingabe und Ausgabe'!A6,0)</f>
        <v>Zinsen</v>
      </c>
      <c r="B20" s="4">
        <f>'Cash Flows'!A44</f>
        <v>5483.7221485496666</v>
      </c>
    </row>
    <row r="21" spans="1:2" ht="15" customHeight="1">
      <c r="A21" s="121" t="str">
        <f ca="1">IF(B21&gt;0,'Eingabe und Ausgabe'!A8,0)</f>
        <v>Stromkosten</v>
      </c>
      <c r="B21" s="4">
        <f ca="1">'Cash Flows'!A46</f>
        <v>4385.0465583026689</v>
      </c>
    </row>
    <row r="22" spans="1:2" ht="15" customHeight="1">
      <c r="A22" s="121" t="str">
        <f ca="1">IF(B22&gt;0,'Eingabe und Ausgabe'!A10,0)</f>
        <v>Wartung</v>
      </c>
      <c r="B22" s="4">
        <f ca="1">'Cash Flows'!A48</f>
        <v>1498.7757203253518</v>
      </c>
    </row>
    <row r="23" spans="1:2" ht="15" customHeight="1">
      <c r="A23" s="121">
        <f>IF(B23&gt;0,'Eingabe und Ausgabe'!A12,0)</f>
        <v>0</v>
      </c>
      <c r="B23" s="4">
        <f>'Cash Flows'!A43</f>
        <v>0</v>
      </c>
    </row>
    <row r="24" spans="1:2" ht="15" customHeight="1">
      <c r="A24" s="121">
        <f>IF(B24&gt;0,'Eingabe und Ausgabe'!A7,0)</f>
        <v>0</v>
      </c>
      <c r="B24" s="4">
        <f>'Cash Flows'!A45</f>
        <v>0</v>
      </c>
    </row>
    <row r="25" spans="1:2" ht="15" customHeight="1">
      <c r="A25" s="121">
        <f>IF(B25&gt;0,'Eingabe und Ausgabe'!A9,0)</f>
        <v>0</v>
      </c>
      <c r="B25" s="4">
        <f>'Cash Flows'!A47</f>
        <v>0</v>
      </c>
    </row>
    <row r="26" spans="1:2" ht="15" customHeight="1">
      <c r="A26" s="121">
        <f>IF(B26&gt;0,'Eingabe und Ausgabe'!A13,0)</f>
        <v>0</v>
      </c>
      <c r="B26" s="4">
        <f>'Cash Flows'!A50</f>
        <v>0</v>
      </c>
    </row>
    <row r="27" spans="1:2" ht="15" customHeight="1">
      <c r="A27" s="121">
        <f>IF(B27&gt;0,'Eingabe und Ausgabe'!A14,0)</f>
        <v>0</v>
      </c>
      <c r="B27" s="4">
        <f>'Cash Flows'!A51</f>
        <v>0</v>
      </c>
    </row>
    <row r="29" spans="1:2" ht="15" customHeight="1">
      <c r="A29">
        <f ca="1">COUNTIF(Tabelle6[Spalte2],"&gt;0")</f>
        <v>5</v>
      </c>
    </row>
  </sheetData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B71"/>
  <sheetViews>
    <sheetView zoomScale="85" zoomScaleNormal="85" workbookViewId="0">
      <selection activeCell="I39" sqref="I39"/>
    </sheetView>
  </sheetViews>
  <sheetFormatPr baseColWidth="10" defaultRowHeight="15" customHeight="1"/>
  <cols>
    <col min="1" max="1" width="17.5" bestFit="1" customWidth="1"/>
    <col min="2" max="2" width="19" bestFit="1" customWidth="1"/>
    <col min="3" max="9" width="11.33203125" bestFit="1" customWidth="1"/>
    <col min="10" max="12" width="12.33203125" bestFit="1" customWidth="1"/>
    <col min="13" max="15" width="10.5" customWidth="1"/>
    <col min="16" max="18" width="11.5" customWidth="1"/>
    <col min="19" max="19" width="10" customWidth="1"/>
    <col min="20" max="20" width="20.6640625" bestFit="1" customWidth="1"/>
    <col min="21" max="21" width="9.5" bestFit="1" customWidth="1"/>
    <col min="26" max="26" width="19" customWidth="1"/>
    <col min="27" max="27" width="2.83203125" customWidth="1"/>
    <col min="28" max="28" width="13" bestFit="1" customWidth="1"/>
    <col min="29" max="29" width="8.5" bestFit="1" customWidth="1"/>
    <col min="30" max="30" width="6.83203125" bestFit="1" customWidth="1"/>
  </cols>
  <sheetData>
    <row r="2" spans="1:20" ht="15" customHeight="1">
      <c r="A2" s="614" t="s">
        <v>458</v>
      </c>
      <c r="B2" s="614"/>
      <c r="C2" s="614"/>
    </row>
    <row r="3" spans="1:20" ht="15" customHeight="1">
      <c r="A3" s="114" t="s">
        <v>456</v>
      </c>
      <c r="B3" s="114" t="s">
        <v>249</v>
      </c>
      <c r="C3" s="114" t="s">
        <v>1</v>
      </c>
      <c r="D3" s="114" t="s">
        <v>0</v>
      </c>
    </row>
    <row r="4" spans="1:20" ht="15" customHeight="1">
      <c r="A4" s="104" t="str">
        <f>IF('Eingabe und Ausgabe'!$E3="x",'Eingabe und Ausgabe'!A3,0)</f>
        <v>Kaufpreis</v>
      </c>
      <c r="B4" s="105" t="str">
        <f>IF('Eingabe und Ausgabe'!$E3="x",'Eingabe und Ausgabe'!B3,0)</f>
        <v>€</v>
      </c>
      <c r="C4" s="106">
        <f>IF('Eingabe und Ausgabe'!$E3="x",'Eingabe und Ausgabe'!C3,0)</f>
        <v>18942</v>
      </c>
      <c r="D4" s="119">
        <f>IF('Eingabe und Ausgabe'!$E3="x",'Eingabe und Ausgabe'!D3,0)</f>
        <v>35437.445653265364</v>
      </c>
    </row>
    <row r="5" spans="1:20" ht="15" customHeight="1">
      <c r="A5" s="107">
        <f>IF('Eingabe und Ausgabe'!$E4="x",'Eingabe und Ausgabe'!A4,0)</f>
        <v>0</v>
      </c>
      <c r="B5" s="108">
        <f>IF('Eingabe und Ausgabe'!$E4="x",'Eingabe und Ausgabe'!B4,0)</f>
        <v>0</v>
      </c>
      <c r="C5" s="109">
        <f>IF('Eingabe und Ausgabe'!$E4="x",'Eingabe und Ausgabe'!C4,0)</f>
        <v>0</v>
      </c>
      <c r="D5" s="120">
        <f>IF('Eingabe und Ausgabe'!$E4="x",'Eingabe und Ausgabe'!D4,0)</f>
        <v>0</v>
      </c>
    </row>
    <row r="6" spans="1:20" ht="15" customHeight="1">
      <c r="A6" s="107" t="str">
        <f>IF('Eingabe und Ausgabe'!$E5="x",'Eingabe und Ausgabe'!A5,0)</f>
        <v>Restwert</v>
      </c>
      <c r="B6" s="108" t="str">
        <f>IF('Eingabe und Ausgabe'!$E5="x",'Eingabe und Ausgabe'!B5,0)</f>
        <v>€</v>
      </c>
      <c r="C6" s="115">
        <f>IF('Eingabe und Ausgabe'!$E5="x",'Eingabe und Ausgabe'!C5,0)</f>
        <v>7626.178350000001</v>
      </c>
      <c r="D6" s="120">
        <f>IF('Eingabe und Ausgabe'!$E5="x",'Eingabe und Ausgabe'!D5,0)</f>
        <v>8884.2099623784015</v>
      </c>
      <c r="Q6" s="366"/>
      <c r="R6" s="366"/>
      <c r="S6" s="366"/>
      <c r="T6" s="366"/>
    </row>
    <row r="7" spans="1:20" ht="15" customHeight="1">
      <c r="A7" s="104">
        <f>IF('Eingabe und Ausgabe'!$E12="x",'Eingabe und Ausgabe'!A12,0)</f>
        <v>0</v>
      </c>
      <c r="B7" s="105">
        <f>IF('Eingabe und Ausgabe'!$E12="x",'Eingabe und Ausgabe'!B12,0)</f>
        <v>0</v>
      </c>
      <c r="C7" s="106">
        <f>IF('Eingabe und Ausgabe'!$E12="x",'Eingabe und Ausgabe'!C12,0)</f>
        <v>0</v>
      </c>
      <c r="D7" s="119">
        <f>IF('Eingabe und Ausgabe'!$E12="x",'Eingabe und Ausgabe'!D12,0)</f>
        <v>0</v>
      </c>
      <c r="Q7" s="366"/>
      <c r="R7" s="366"/>
      <c r="S7" s="366"/>
      <c r="T7" s="366"/>
    </row>
    <row r="8" spans="1:20" ht="15" customHeight="1">
      <c r="A8" s="107" t="str">
        <f>IF('Eingabe und Ausgabe'!$E6="x",'Eingabe und Ausgabe'!A6,0)</f>
        <v>Zinsen</v>
      </c>
      <c r="B8" s="108" t="str">
        <f>IF('Eingabe und Ausgabe'!$E6="x",'Eingabe und Ausgabe'!B6,0)</f>
        <v>€/y</v>
      </c>
      <c r="C8" s="109">
        <f>IF('Eingabe und Ausgabe'!$E6="x",'Eingabe und Ausgabe'!C6,0)</f>
        <v>488.52592233537825</v>
      </c>
      <c r="D8" s="120">
        <f>IF('Eingabe und Ausgabe'!$E6="x",'Eingabe und Ausgabe'!D6,0)</f>
        <v>913.95369142494451</v>
      </c>
      <c r="E8" s="6">
        <f t="shared" ref="E8:F13" ca="1" si="0">C8/E$14</f>
        <v>0.14235221288723812</v>
      </c>
      <c r="F8" s="6">
        <f t="shared" ca="1" si="0"/>
        <v>0.30787252763320666</v>
      </c>
      <c r="Q8" s="366"/>
      <c r="R8" s="366"/>
      <c r="S8" s="366"/>
      <c r="T8" s="366"/>
    </row>
    <row r="9" spans="1:20" ht="15" customHeight="1">
      <c r="A9" s="107" t="str">
        <f>IF('Eingabe und Ausgabe'!$E7="x",'Eingabe und Ausgabe'!A7,0)</f>
        <v>Benzinkosten</v>
      </c>
      <c r="B9" s="108" t="str">
        <f>IF('Eingabe und Ausgabe'!$E7="x",'Eingabe und Ausgabe'!B7,0)</f>
        <v>€/y</v>
      </c>
      <c r="C9" s="109">
        <f ca="1">IF('Eingabe und Ausgabe'!$E7="x",'Eingabe und Ausgabe'!C7,0)</f>
        <v>1618.8764143862252</v>
      </c>
      <c r="D9" s="120">
        <f>IF('Eingabe und Ausgabe'!$E7="x",'Eingabe und Ausgabe'!D7,0)</f>
        <v>0</v>
      </c>
      <c r="E9" s="6">
        <f t="shared" ca="1" si="0"/>
        <v>0.47172653372655593</v>
      </c>
      <c r="F9" s="6">
        <f t="shared" ca="1" si="0"/>
        <v>0</v>
      </c>
      <c r="Q9" s="366"/>
      <c r="R9" s="366"/>
      <c r="S9" s="366"/>
      <c r="T9" s="366"/>
    </row>
    <row r="10" spans="1:20" ht="15" customHeight="1">
      <c r="A10" s="107" t="str">
        <f>IF('Eingabe und Ausgabe'!$E8="x",'Eingabe und Ausgabe'!A8,0)</f>
        <v>Stromkosten</v>
      </c>
      <c r="B10" s="108" t="str">
        <f>IF('Eingabe und Ausgabe'!$E8="x",'Eingabe und Ausgabe'!B8,0)</f>
        <v>€/y</v>
      </c>
      <c r="C10" s="109">
        <f>IF('Eingabe und Ausgabe'!$E8="x",'Eingabe und Ausgabe'!C8,0)</f>
        <v>0</v>
      </c>
      <c r="D10" s="120">
        <f ca="1">IF('Eingabe und Ausgabe'!$E8="x",'Eingabe und Ausgabe'!D8,0)</f>
        <v>730.8410930504449</v>
      </c>
      <c r="E10" s="6">
        <f t="shared" ca="1" si="0"/>
        <v>0</v>
      </c>
      <c r="F10" s="6">
        <f t="shared" ca="1" si="0"/>
        <v>0.24618960099045012</v>
      </c>
      <c r="Q10" s="366"/>
      <c r="R10" s="366"/>
      <c r="S10" s="366"/>
      <c r="T10" s="366"/>
    </row>
    <row r="11" spans="1:20" ht="15" customHeight="1">
      <c r="A11" s="107" t="str">
        <f>IF('Eingabe und Ausgabe'!$E9="x",'Eingabe und Ausgabe'!A9,0)</f>
        <v>Kfz-Steuern</v>
      </c>
      <c r="B11" s="108" t="str">
        <f>IF('Eingabe und Ausgabe'!$E9="x",'Eingabe und Ausgabe'!B9,0)</f>
        <v>€/y</v>
      </c>
      <c r="C11" s="109">
        <f>IF('Eingabe und Ausgabe'!$E9="x",'Eingabe und Ausgabe'!C9,0)</f>
        <v>49.28</v>
      </c>
      <c r="D11" s="120">
        <f>IF('Eingabe und Ausgabe'!$E9="x",'Eingabe und Ausgabe'!D9,0)</f>
        <v>0</v>
      </c>
      <c r="E11" s="6">
        <f t="shared" ca="1" si="0"/>
        <v>1.435976420155478E-2</v>
      </c>
      <c r="F11" s="6">
        <f t="shared" ca="1" si="0"/>
        <v>0</v>
      </c>
      <c r="Q11" s="366"/>
      <c r="R11" s="366"/>
      <c r="S11" s="366"/>
      <c r="T11" s="366"/>
    </row>
    <row r="12" spans="1:20" ht="15" customHeight="1">
      <c r="A12" s="107" t="str">
        <f>IF('Eingabe und Ausgabe'!$E10="x",'Eingabe und Ausgabe'!A10,0)</f>
        <v>Wartung</v>
      </c>
      <c r="B12" s="108" t="str">
        <f>IF('Eingabe und Ausgabe'!$E10="x",'Eingabe und Ausgabe'!B10,0)</f>
        <v>€/y</v>
      </c>
      <c r="C12" s="109">
        <f ca="1">IF('Eingabe und Ausgabe'!$E10="x",'Eingabe und Ausgabe'!C10,0)</f>
        <v>369.6978900020415</v>
      </c>
      <c r="D12" s="120">
        <f ca="1">IF('Eingabe und Ausgabe'!$E10="x",'Eingabe und Ausgabe'!D10,0)</f>
        <v>249.79595338755863</v>
      </c>
      <c r="E12" s="6">
        <f t="shared" ca="1" si="0"/>
        <v>0.10772675580847509</v>
      </c>
      <c r="F12" s="6">
        <f t="shared" ca="1" si="0"/>
        <v>8.4145742047467775E-2</v>
      </c>
      <c r="Q12" s="366"/>
      <c r="R12" s="366"/>
      <c r="S12" s="366"/>
      <c r="T12" s="366"/>
    </row>
    <row r="13" spans="1:20" ht="15" customHeight="1">
      <c r="A13" s="107" t="str">
        <f>IF('Eingabe und Ausgabe'!$E11="x",'Eingabe und Ausgabe'!A11,0)</f>
        <v>Versicherung</v>
      </c>
      <c r="B13" s="108" t="str">
        <f>IF('Eingabe und Ausgabe'!$E11="x",'Eingabe und Ausgabe'!B11,0)</f>
        <v>€/y</v>
      </c>
      <c r="C13" s="109">
        <f>IF('Eingabe und Ausgabe'!$E11="x",'Eingabe und Ausgabe'!C11,0)</f>
        <v>905.43100000000027</v>
      </c>
      <c r="D13" s="120">
        <f>IF('Eingabe und Ausgabe'!$E11="x",'Eingabe und Ausgabe'!D11,0)</f>
        <v>1074.02</v>
      </c>
      <c r="E13" s="6">
        <f t="shared" ca="1" si="0"/>
        <v>0.26383473337617591</v>
      </c>
      <c r="F13" s="6">
        <f t="shared" ca="1" si="0"/>
        <v>0.36179212932887539</v>
      </c>
      <c r="Q13" s="366"/>
      <c r="R13" s="366"/>
      <c r="S13" s="366"/>
      <c r="T13" s="366"/>
    </row>
    <row r="14" spans="1:20" ht="15" customHeight="1">
      <c r="A14" s="107">
        <f>IF('Eingabe und Ausgabe'!$E13="x",'Eingabe und Ausgabe'!A13,0)</f>
        <v>0</v>
      </c>
      <c r="B14" s="108">
        <f>IF('Eingabe und Ausgabe'!$E13="x",'Eingabe und Ausgabe'!B13,0)</f>
        <v>0</v>
      </c>
      <c r="C14" s="109">
        <f>IF('Eingabe und Ausgabe'!$E13="x",'Eingabe und Ausgabe'!C13,0)</f>
        <v>0</v>
      </c>
      <c r="D14" s="109">
        <f>IF('Eingabe und Ausgabe'!$E13="x",'Eingabe und Ausgabe'!D13,0)</f>
        <v>0</v>
      </c>
      <c r="E14" s="4">
        <f ca="1">SUM(C7:C13)</f>
        <v>3431.8112267236456</v>
      </c>
      <c r="F14" s="4">
        <f ca="1">SUM(D7:D13)</f>
        <v>2968.6107378629481</v>
      </c>
      <c r="H14" s="171">
        <f ca="1">360/F14</f>
        <v>0.12126884653767635</v>
      </c>
      <c r="Q14" s="366"/>
      <c r="R14" s="366"/>
      <c r="S14" s="366"/>
      <c r="T14" s="366"/>
    </row>
    <row r="15" spans="1:20" ht="15" customHeight="1">
      <c r="A15" s="110">
        <f>IF('Eingabe und Ausgabe'!$E14="x",'Eingabe und Ausgabe'!A14,0)</f>
        <v>0</v>
      </c>
      <c r="B15" s="111">
        <f>IF('Eingabe und Ausgabe'!$E14="x",'Eingabe und Ausgabe'!B14,0)</f>
        <v>0</v>
      </c>
      <c r="C15" s="112">
        <f>IF('Eingabe und Ausgabe'!$E14="x",'Eingabe und Ausgabe'!C14,0)</f>
        <v>0</v>
      </c>
      <c r="D15" s="112">
        <f>IF('Eingabe und Ausgabe'!$E14="x",'Eingabe und Ausgabe'!D14,0)</f>
        <v>0</v>
      </c>
      <c r="L15" s="4"/>
      <c r="M15" s="4"/>
    </row>
    <row r="18" spans="1:28" ht="23">
      <c r="A18" s="98" t="s">
        <v>451</v>
      </c>
      <c r="B18" s="99" t="s">
        <v>465</v>
      </c>
      <c r="C18" s="102" t="s">
        <v>466</v>
      </c>
      <c r="D18" s="102" t="s">
        <v>467</v>
      </c>
      <c r="E18" s="102" t="s">
        <v>468</v>
      </c>
      <c r="F18" s="102" t="s">
        <v>469</v>
      </c>
      <c r="G18" s="102" t="s">
        <v>470</v>
      </c>
      <c r="H18" s="102" t="s">
        <v>471</v>
      </c>
      <c r="I18" s="102" t="s">
        <v>472</v>
      </c>
      <c r="J18" s="102" t="s">
        <v>473</v>
      </c>
      <c r="K18" s="102" t="s">
        <v>474</v>
      </c>
      <c r="L18" s="102" t="s">
        <v>475</v>
      </c>
      <c r="M18" s="307" t="s">
        <v>719</v>
      </c>
      <c r="N18" s="307" t="s">
        <v>720</v>
      </c>
      <c r="O18" s="307" t="s">
        <v>721</v>
      </c>
      <c r="P18" s="307" t="s">
        <v>722</v>
      </c>
      <c r="Q18" s="614" t="s">
        <v>459</v>
      </c>
      <c r="R18" s="614"/>
      <c r="S18" s="614"/>
    </row>
    <row r="19" spans="1:28" ht="15" customHeight="1">
      <c r="A19" s="98" t="s">
        <v>464</v>
      </c>
      <c r="B19" s="99" t="s">
        <v>463</v>
      </c>
      <c r="C19" s="102">
        <v>1</v>
      </c>
      <c r="D19" s="102">
        <v>2</v>
      </c>
      <c r="E19" s="102">
        <v>3</v>
      </c>
      <c r="F19" s="102">
        <v>4</v>
      </c>
      <c r="G19" s="102">
        <v>5</v>
      </c>
      <c r="H19" s="102">
        <v>6</v>
      </c>
      <c r="I19" s="102">
        <v>7</v>
      </c>
      <c r="J19" s="102">
        <v>8</v>
      </c>
      <c r="K19" s="102">
        <v>9</v>
      </c>
      <c r="L19" s="102">
        <v>10</v>
      </c>
      <c r="M19" s="102">
        <v>11</v>
      </c>
      <c r="N19" s="102">
        <v>12</v>
      </c>
      <c r="O19">
        <v>13</v>
      </c>
      <c r="P19">
        <v>14</v>
      </c>
      <c r="Q19" s="310" t="s">
        <v>1</v>
      </c>
    </row>
    <row r="20" spans="1:28" ht="15" customHeight="1" thickBot="1">
      <c r="A20" s="100"/>
      <c r="B20" s="101" t="s">
        <v>448</v>
      </c>
      <c r="C20" s="103">
        <f>Sensitivitätsanalyse!$B$25</f>
        <v>2013</v>
      </c>
      <c r="D20" s="103">
        <f>C20+1</f>
        <v>2014</v>
      </c>
      <c r="E20" s="103">
        <f t="shared" ref="E20:J20" si="1">D20+1</f>
        <v>2015</v>
      </c>
      <c r="F20" s="103">
        <f t="shared" si="1"/>
        <v>2016</v>
      </c>
      <c r="G20" s="103">
        <f t="shared" si="1"/>
        <v>2017</v>
      </c>
      <c r="H20" s="103">
        <f t="shared" si="1"/>
        <v>2018</v>
      </c>
      <c r="I20" s="103">
        <f t="shared" si="1"/>
        <v>2019</v>
      </c>
      <c r="J20" s="103">
        <f t="shared" si="1"/>
        <v>2020</v>
      </c>
      <c r="K20" s="103">
        <f t="shared" ref="K20:P20" si="2">J20+1</f>
        <v>2021</v>
      </c>
      <c r="L20" s="103">
        <f t="shared" si="2"/>
        <v>2022</v>
      </c>
      <c r="M20" s="103">
        <f t="shared" si="2"/>
        <v>2023</v>
      </c>
      <c r="N20" s="103">
        <f t="shared" si="2"/>
        <v>2024</v>
      </c>
      <c r="O20" s="103">
        <f t="shared" si="2"/>
        <v>2025</v>
      </c>
      <c r="P20" s="103">
        <f t="shared" si="2"/>
        <v>2026</v>
      </c>
      <c r="Q20" s="310" t="s">
        <v>1</v>
      </c>
    </row>
    <row r="21" spans="1:28" ht="15" customHeight="1">
      <c r="A21" s="117"/>
      <c r="B21" s="116"/>
      <c r="C21" s="118">
        <f>(1+Sensitivitätsanalyse!$B$69)^0</f>
        <v>1</v>
      </c>
      <c r="D21" s="118">
        <f>(1+Sensitivitätsanalyse!$B$69)^C19</f>
        <v>1</v>
      </c>
      <c r="E21" s="118">
        <f>(1+Sensitivitätsanalyse!$B$69)^D19</f>
        <v>1</v>
      </c>
      <c r="F21" s="118">
        <f>(1+Sensitivitätsanalyse!$B$69)^E19</f>
        <v>1</v>
      </c>
      <c r="G21" s="118">
        <f>(1+Sensitivitätsanalyse!$B$69)^F19</f>
        <v>1</v>
      </c>
      <c r="H21" s="118">
        <f>(1+Sensitivitätsanalyse!$B$69)^G19</f>
        <v>1</v>
      </c>
      <c r="I21" s="118">
        <f>(1+Sensitivitätsanalyse!$B$69)^H19</f>
        <v>1</v>
      </c>
      <c r="J21" s="118">
        <f>(1+Sensitivitätsanalyse!$B$69)^I19</f>
        <v>1</v>
      </c>
      <c r="K21" s="118">
        <f>(1+Sensitivitätsanalyse!$B$69)^J19</f>
        <v>1</v>
      </c>
      <c r="L21" s="118">
        <f>(1+Sensitivitätsanalyse!$B$69)^K19</f>
        <v>1</v>
      </c>
      <c r="M21" s="118">
        <f>(1+Sensitivitätsanalyse!$B$69)^L19</f>
        <v>1</v>
      </c>
      <c r="N21" s="118">
        <f>(1+Sensitivitätsanalyse!$B$69)^M19</f>
        <v>1</v>
      </c>
      <c r="O21" s="118">
        <f>(1+Sensitivitätsanalyse!$B$69)^N19</f>
        <v>1</v>
      </c>
      <c r="P21" s="118">
        <f>(1+Sensitivitätsanalyse!$B$69)^O19</f>
        <v>1</v>
      </c>
      <c r="Q21" s="310" t="s">
        <v>1</v>
      </c>
    </row>
    <row r="22" spans="1:28" ht="15" customHeight="1">
      <c r="A22" s="95">
        <f>C22</f>
        <v>18942</v>
      </c>
      <c r="B22" s="99" t="s">
        <v>699</v>
      </c>
      <c r="C22" s="95">
        <f>'Cash Flows'!C4-'Cash Flows'!C5</f>
        <v>18942</v>
      </c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310" t="s">
        <v>1</v>
      </c>
      <c r="Y22" t="s">
        <v>1</v>
      </c>
      <c r="Z22" t="s">
        <v>0</v>
      </c>
      <c r="AA22" t="s">
        <v>1</v>
      </c>
      <c r="AB22" t="s">
        <v>0</v>
      </c>
    </row>
    <row r="23" spans="1:28" ht="15" customHeight="1">
      <c r="A23" s="95">
        <f>-PV(Sensitivitätsanalyse!$B$69,Sensitivitätsanalyse!$B$30,'Cash Flows'!C7,0,1)</f>
        <v>0</v>
      </c>
      <c r="B23" s="99" t="s">
        <v>701</v>
      </c>
      <c r="C23" s="95">
        <f>IF($C$19&lt;=Sensitivitätsanalyse!$B$30,'Cash Flows'!$C7,#N/A)</f>
        <v>0</v>
      </c>
      <c r="D23" s="95">
        <f>IF($D$19&lt;=Sensitivitätsanalyse!$B$30,'Cash Flows'!$C7,0)</f>
        <v>0</v>
      </c>
      <c r="E23" s="95">
        <f>IF($E$19&lt;=Sensitivitätsanalyse!$B$30,'Cash Flows'!$C7,0)</f>
        <v>0</v>
      </c>
      <c r="F23" s="95">
        <f>IF($F$19&lt;=Sensitivitätsanalyse!$B$30,'Cash Flows'!$C7,0)</f>
        <v>0</v>
      </c>
      <c r="G23" s="95">
        <f>IF($G$19&lt;=Sensitivitätsanalyse!$B$30,'Cash Flows'!$C7,0)</f>
        <v>0</v>
      </c>
      <c r="H23" s="95">
        <f>IF($H$19&lt;=Sensitivitätsanalyse!$B$30,'Cash Flows'!$C7,0)</f>
        <v>0</v>
      </c>
      <c r="I23" s="95">
        <f>IF($I$19&lt;=Sensitivitätsanalyse!$B$30,'Cash Flows'!$C7,0)</f>
        <v>0</v>
      </c>
      <c r="J23" s="95">
        <f>IF($J$19&lt;=Sensitivitätsanalyse!$B$30,'Cash Flows'!$C7,0)</f>
        <v>0</v>
      </c>
      <c r="K23" s="95">
        <f>IF($K$19&lt;=Sensitivitätsanalyse!$B$30,'Cash Flows'!$C7,0)</f>
        <v>0</v>
      </c>
      <c r="L23" s="95">
        <f>IF($L$19&lt;=Sensitivitätsanalyse!$B$30,'Cash Flows'!$C7,0)</f>
        <v>0</v>
      </c>
      <c r="Q23" s="310" t="s">
        <v>1</v>
      </c>
      <c r="W23" t="s">
        <v>400</v>
      </c>
      <c r="Y23" s="4">
        <f>Tabelle4[[#This Row],[Spalte1]]+A32</f>
        <v>-7626.178350000001</v>
      </c>
      <c r="Z23" s="4">
        <f>A42+A52</f>
        <v>26553.235690886962</v>
      </c>
      <c r="AA23" s="252">
        <f ca="1">Y23/Y$25</f>
        <v>-0.58822686328354157</v>
      </c>
      <c r="AB23" s="252">
        <f ca="1">Z23/Z$25</f>
        <v>0.59851900083676579</v>
      </c>
    </row>
    <row r="24" spans="1:28" ht="15" customHeight="1">
      <c r="A24" s="95">
        <f>-PV(Sensitivitätsanalyse!$B$69,Sensitivitätsanalyse!$B$30,'Cash Flows'!C8,0,1)</f>
        <v>2931.1555340122695</v>
      </c>
      <c r="B24" s="99" t="s">
        <v>702</v>
      </c>
      <c r="C24" s="95">
        <f>IF(C$19&lt;=Sensitivitätsanalyse!$B$30,'Cash Flows'!$C8,0)</f>
        <v>488.52592233537825</v>
      </c>
      <c r="D24" s="95">
        <f>IF(D$19&lt;=Sensitivitätsanalyse!$B$30,'Cash Flows'!$C8,0)</f>
        <v>488.52592233537825</v>
      </c>
      <c r="E24" s="95">
        <f>IF(E$19&lt;=Sensitivitätsanalyse!$B$30,'Cash Flows'!$C8,0)</f>
        <v>488.52592233537825</v>
      </c>
      <c r="F24" s="95">
        <f>IF(F$19&lt;=Sensitivitätsanalyse!$B$30,'Cash Flows'!$C8,0)</f>
        <v>488.52592233537825</v>
      </c>
      <c r="G24" s="95">
        <f>IF(G$19&lt;=Sensitivitätsanalyse!$B$30,'Cash Flows'!$C8,0)</f>
        <v>488.52592233537825</v>
      </c>
      <c r="H24" s="95">
        <f>IF(H$19&lt;=Sensitivitätsanalyse!$B$30,'Cash Flows'!$C8,0)</f>
        <v>488.52592233537825</v>
      </c>
      <c r="I24" s="95">
        <f>IF(I$19&lt;=Sensitivitätsanalyse!$B$30,'Cash Flows'!$C8,0)</f>
        <v>0</v>
      </c>
      <c r="J24" s="95">
        <f>IF(J$19&lt;=Sensitivitätsanalyse!$B$30,'Cash Flows'!$C8,0)</f>
        <v>0</v>
      </c>
      <c r="K24" s="95">
        <f>IF(K$19&lt;=Sensitivitätsanalyse!$B$30,'Cash Flows'!$C8,0)</f>
        <v>0</v>
      </c>
      <c r="L24" s="95">
        <f>IF(L$19&lt;=Sensitivitätsanalyse!$B$30,'Cash Flows'!$C8,0)</f>
        <v>0</v>
      </c>
      <c r="M24" s="95">
        <f>IF(M$19&lt;=Sensitivitätsanalyse!$B$30,'Cash Flows'!$C8,0)</f>
        <v>0</v>
      </c>
      <c r="N24" s="95">
        <f>IF(N$19&lt;=Sensitivitätsanalyse!$B$30,'Cash Flows'!$C8,0)</f>
        <v>0</v>
      </c>
      <c r="O24" s="95">
        <f>IF(O$19&lt;=Sensitivitätsanalyse!$B$30,'Cash Flows'!$C8,0)</f>
        <v>0</v>
      </c>
      <c r="P24" s="95">
        <f>IF(P$19&lt;=Sensitivitätsanalyse!$B$30,'Cash Flows'!$C8,0)</f>
        <v>0</v>
      </c>
      <c r="Q24" s="310" t="s">
        <v>1</v>
      </c>
      <c r="W24" t="s">
        <v>751</v>
      </c>
      <c r="Y24" s="4">
        <f ca="1">SUM(A23:A31)</f>
        <v>20590.867360341872</v>
      </c>
      <c r="Z24" s="4">
        <f ca="1">SUM(A43:A51)</f>
        <v>17811.664427177686</v>
      </c>
      <c r="AA24" s="252">
        <f ca="1">Y24/Y$25</f>
        <v>1.5882268632835417</v>
      </c>
      <c r="AB24" s="252">
        <f ca="1">Z24/Z$25</f>
        <v>0.40148099916323432</v>
      </c>
    </row>
    <row r="25" spans="1:28" ht="15" customHeight="1">
      <c r="A25" s="95">
        <f ca="1">-PV(Sensitivitätsanalyse!$B$69,Sensitivitätsanalyse!$B$30,'Cash Flows'!C9,0,1)</f>
        <v>9713.2584863173506</v>
      </c>
      <c r="B25" s="99" t="s">
        <v>703</v>
      </c>
      <c r="C25" s="95">
        <f t="array" ref="C25">INDEX('NR Kraftstoffpreisprognosen'!$A$1:$Y$59,MATCH('Cash Flows'!C$20,'NR Kraftstoffpreisprognosen'!$A:$A,0),MATCH($B25,'NR Kraftstoffpreisprognosen'!$1:$1,0))</f>
        <v>1584</v>
      </c>
      <c r="D25" s="95">
        <f t="array" ref="D25">INDEX('NR Kraftstoffpreisprognosen'!$A$1:$Y$59,MATCH('Cash Flows'!D$20,'NR Kraftstoffpreisprognosen'!$A:$A,0),MATCH($B25,'NR Kraftstoffpreisprognosen'!$1:$1,0))</f>
        <v>1611.1262414241462</v>
      </c>
      <c r="E25" s="95">
        <f t="array" ref="E25">INDEX('NR Kraftstoffpreisprognosen'!$A$1:$Y$59,MATCH('Cash Flows'!E$20,'NR Kraftstoffpreisprognosen'!$A:$A,0),MATCH($B25,'NR Kraftstoffpreisprognosen'!$1:$1,0))</f>
        <v>1619.8589406472765</v>
      </c>
      <c r="F25" s="95">
        <f t="array" ref="F25">INDEX('NR Kraftstoffpreisprognosen'!$A$1:$Y$59,MATCH('Cash Flows'!F$20,'NR Kraftstoffpreisprognosen'!$A:$A,0),MATCH($B25,'NR Kraftstoffpreisprognosen'!$1:$1,0))</f>
        <v>1626.9940754427807</v>
      </c>
      <c r="G25" s="95">
        <f t="array" ref="G25">INDEX('NR Kraftstoffpreisprognosen'!$A$1:$Y$59,MATCH('Cash Flows'!G$20,'NR Kraftstoffpreisprognosen'!$A:$A,0),MATCH($B25,'NR Kraftstoffpreisprognosen'!$1:$1,0))</f>
        <v>1633.0267459548536</v>
      </c>
      <c r="H25" s="95">
        <f t="array" ref="H25">INDEX('NR Kraftstoffpreisprognosen'!$A$1:$Y$59,MATCH('Cash Flows'!H$20,'NR Kraftstoffpreisprognosen'!$A:$A,0),MATCH($B25,'NR Kraftstoffpreisprognosen'!$1:$1,0))</f>
        <v>1638.2524828482926</v>
      </c>
      <c r="I25" s="95">
        <f t="array" ref="I25">INDEX('NR Kraftstoffpreisprognosen'!$A$1:$Y$59,MATCH('Cash Flows'!I$20,'NR Kraftstoffpreisprognosen'!$A:$A,0),MATCH($B25,'NR Kraftstoffpreisprognosen'!$1:$1,0))</f>
        <v>0</v>
      </c>
      <c r="J25" s="95">
        <f t="array" ref="J25">INDEX('NR Kraftstoffpreisprognosen'!$A$1:$Y$59,MATCH('Cash Flows'!J$20,'NR Kraftstoffpreisprognosen'!$A:$A,0),MATCH($B25,'NR Kraftstoffpreisprognosen'!$1:$1,0))</f>
        <v>0</v>
      </c>
      <c r="K25" s="95">
        <f t="array" ref="K25">INDEX('NR Kraftstoffpreisprognosen'!$A$1:$Y$59,MATCH('Cash Flows'!K$20,'NR Kraftstoffpreisprognosen'!$A:$A,0),MATCH($B25,'NR Kraftstoffpreisprognosen'!$1:$1,0))</f>
        <v>0</v>
      </c>
      <c r="L25" s="95">
        <f t="array" ref="L25">INDEX('NR Kraftstoffpreisprognosen'!$A$1:$Y$59,MATCH('Cash Flows'!L$20,'NR Kraftstoffpreisprognosen'!$A:$A,0),MATCH($B25,'NR Kraftstoffpreisprognosen'!$1:$1,0))</f>
        <v>0</v>
      </c>
      <c r="M25" s="95">
        <f t="array" ref="M25">INDEX('NR Kraftstoffpreisprognosen'!$A$1:$Y$59,MATCH('Cash Flows'!M$20,'NR Kraftstoffpreisprognosen'!$A:$A,0),MATCH($B25,'NR Kraftstoffpreisprognosen'!$1:$1,0))</f>
        <v>0</v>
      </c>
      <c r="N25" s="95">
        <f t="array" ref="N25">INDEX('NR Kraftstoffpreisprognosen'!$A$1:$Y$59,MATCH('Cash Flows'!N$20,'NR Kraftstoffpreisprognosen'!$A:$A,0),MATCH($B25,'NR Kraftstoffpreisprognosen'!$1:$1,0))</f>
        <v>0</v>
      </c>
      <c r="O25" s="95">
        <f t="array" ref="O25">INDEX('NR Kraftstoffpreisprognosen'!$A$1:$Y$59,MATCH('Cash Flows'!O$20,'NR Kraftstoffpreisprognosen'!$A:$A,0),MATCH($B25,'NR Kraftstoffpreisprognosen'!$1:$1,0))</f>
        <v>0</v>
      </c>
      <c r="P25" s="95">
        <f t="array" ref="P25">INDEX('NR Kraftstoffpreisprognosen'!$A$1:$Y$59,MATCH('Cash Flows'!P$20,'NR Kraftstoffpreisprognosen'!$A:$A,0),MATCH($B25,'NR Kraftstoffpreisprognosen'!$1:$1,0))</f>
        <v>0</v>
      </c>
      <c r="Q25" s="310" t="s">
        <v>1</v>
      </c>
      <c r="Y25" s="4">
        <f ca="1">Y24+Y23</f>
        <v>12964.68901034187</v>
      </c>
      <c r="Z25" s="4">
        <f ca="1">Z24+Z23</f>
        <v>44364.900118064645</v>
      </c>
    </row>
    <row r="26" spans="1:28" ht="15" customHeight="1">
      <c r="A26" s="95">
        <f>-PV(Sensitivitätsanalyse!$B$69,Sensitivitätsanalyse!$B$30,'Cash Flows'!C10,0,1)</f>
        <v>0</v>
      </c>
      <c r="B26" s="99" t="s">
        <v>711</v>
      </c>
      <c r="C26" s="95">
        <v>0</v>
      </c>
      <c r="D26" s="95">
        <v>0</v>
      </c>
      <c r="E26" s="95">
        <v>0</v>
      </c>
      <c r="F26" s="95">
        <v>0</v>
      </c>
      <c r="G26" s="95">
        <v>0</v>
      </c>
      <c r="H26" s="95">
        <v>0</v>
      </c>
      <c r="I26" s="95">
        <v>0</v>
      </c>
      <c r="J26" s="95">
        <v>0</v>
      </c>
      <c r="K26" s="95">
        <v>0</v>
      </c>
      <c r="L26" s="95">
        <v>0</v>
      </c>
      <c r="M26" s="95">
        <v>0</v>
      </c>
      <c r="N26" s="95">
        <v>0</v>
      </c>
      <c r="O26" s="95">
        <v>0</v>
      </c>
      <c r="P26" s="95">
        <v>0</v>
      </c>
      <c r="Q26" s="310" t="s">
        <v>1</v>
      </c>
    </row>
    <row r="27" spans="1:28" ht="15" customHeight="1">
      <c r="A27" s="95">
        <f>-PV(Sensitivitätsanalyse!$B$69,Sensitivitätsanalyse!$B$30,'Cash Flows'!C11,0,1)</f>
        <v>295.68</v>
      </c>
      <c r="B27" s="99" t="s">
        <v>704</v>
      </c>
      <c r="C27" s="95">
        <f>IF(C$19&lt;=Sensitivitätsanalyse!$B$30,'Cash Flows'!$C11,0)</f>
        <v>49.28</v>
      </c>
      <c r="D27" s="95">
        <f>IF(D$19&lt;=Sensitivitätsanalyse!$B$30,'Cash Flows'!$C11,0)</f>
        <v>49.28</v>
      </c>
      <c r="E27" s="95">
        <f>IF(E$19&lt;=Sensitivitätsanalyse!$B$30,'Cash Flows'!$C11,0)</f>
        <v>49.28</v>
      </c>
      <c r="F27" s="95">
        <f>IF(F$19&lt;=Sensitivitätsanalyse!$B$30,'Cash Flows'!$C11,0)</f>
        <v>49.28</v>
      </c>
      <c r="G27" s="95">
        <f>IF(G$19&lt;=Sensitivitätsanalyse!$B$30,'Cash Flows'!$C11,0)</f>
        <v>49.28</v>
      </c>
      <c r="H27" s="95">
        <f>IF(H$19&lt;=Sensitivitätsanalyse!$B$30,'Cash Flows'!$C11,0)</f>
        <v>49.28</v>
      </c>
      <c r="I27" s="95">
        <f>IF(I$19&lt;=Sensitivitätsanalyse!$B$30,'Cash Flows'!$C11,0)</f>
        <v>0</v>
      </c>
      <c r="J27" s="95">
        <f>IF(J$19&lt;=Sensitivitätsanalyse!$B$30,'Cash Flows'!$C11,0)</f>
        <v>0</v>
      </c>
      <c r="K27" s="95">
        <f>IF(K$19&lt;=Sensitivitätsanalyse!$B$30,'Cash Flows'!$C11,0)</f>
        <v>0</v>
      </c>
      <c r="L27" s="95">
        <f>IF(L$19&lt;=Sensitivitätsanalyse!$B$30,'Cash Flows'!$C11,0)</f>
        <v>0</v>
      </c>
      <c r="M27" s="95">
        <f>IF(M$19&lt;=Sensitivitätsanalyse!$B$30,'Cash Flows'!$C11,0)</f>
        <v>0</v>
      </c>
      <c r="N27" s="95">
        <f>IF(N$19&lt;=Sensitivitätsanalyse!$B$30,'Cash Flows'!$C11,0)</f>
        <v>0</v>
      </c>
      <c r="O27" s="95">
        <f>IF(O$19&lt;=Sensitivitätsanalyse!$B$30,'Cash Flows'!$C11,0)</f>
        <v>0</v>
      </c>
      <c r="P27" s="95">
        <f>IF(P$19&lt;=Sensitivitätsanalyse!$B$30,'Cash Flows'!$C11,0)</f>
        <v>0</v>
      </c>
      <c r="Q27" s="310" t="s">
        <v>1</v>
      </c>
    </row>
    <row r="28" spans="1:28" ht="15" customHeight="1">
      <c r="A28" s="95">
        <f ca="1">-PV(Sensitivitätsanalyse!$B$69,Sensitivitätsanalyse!$B$30,'Cash Flows'!C12,0,1)</f>
        <v>2218.187340012249</v>
      </c>
      <c r="B28" s="99" t="s">
        <v>705</v>
      </c>
      <c r="C28" s="95">
        <f t="array" ref="C28">INDEX('NR Kraftstoffpreisprognosen'!$A$1:$BC$59,MATCH('Cash Flows'!C$20,'NR Kraftstoffpreisprognosen'!$A:$A,0),MATCH($B$28&amp;$Q28,'NR Kraftstoffpreisprognosen'!$1:$1&amp;'NR Kraftstoffpreisprognosen'!$2:$2,0))</f>
        <v>371.19709363729595</v>
      </c>
      <c r="D28" s="95">
        <f t="array" ref="D28">INDEX('NR Kraftstoffpreisprognosen'!$A$1:$BC$59,MATCH('Cash Flows'!D$20,'NR Kraftstoffpreisprognosen'!$A:$A,0),MATCH($B$28&amp;$Q28,'NR Kraftstoffpreisprognosen'!$1:$1&amp;'NR Kraftstoffpreisprognosen'!$2:$2,0))</f>
        <v>370.59806346741686</v>
      </c>
      <c r="E28" s="95">
        <f t="array" ref="E28">INDEX('NR Kraftstoffpreisprognosen'!$A$1:$BC$59,MATCH('Cash Flows'!E$20,'NR Kraftstoffpreisprognosen'!$A:$A,0),MATCH($B$28&amp;$Q28,'NR Kraftstoffpreisprognosen'!$1:$1&amp;'NR Kraftstoffpreisprognosen'!$2:$2,0))</f>
        <v>370</v>
      </c>
      <c r="F28" s="95">
        <f t="array" ref="F28">INDEX('NR Kraftstoffpreisprognosen'!$A$1:$BC$59,MATCH('Cash Flows'!F$20,'NR Kraftstoffpreisprognosen'!$A:$A,0),MATCH($B$28&amp;$Q28,'NR Kraftstoffpreisprognosen'!$1:$1&amp;'NR Kraftstoffpreisprognosen'!$2:$2,0))</f>
        <v>369.39804453322648</v>
      </c>
      <c r="G28" s="95">
        <f t="array" ref="G28">INDEX('NR Kraftstoffpreisprognosen'!$A$1:$BC$59,MATCH('Cash Flows'!G$20,'NR Kraftstoffpreisprognosen'!$A:$A,0),MATCH($B$28&amp;$Q28,'NR Kraftstoffpreisprognosen'!$1:$1&amp;'NR Kraftstoffpreisprognosen'!$2:$2,0))</f>
        <v>368.79706839181506</v>
      </c>
      <c r="H28" s="95">
        <f t="array" ref="H28">INDEX('NR Kraftstoffpreisprognosen'!$A$1:$BC$59,MATCH('Cash Flows'!H$20,'NR Kraftstoffpreisprognosen'!$A:$A,0),MATCH($B$28&amp;$Q28,'NR Kraftstoffpreisprognosen'!$1:$1&amp;'NR Kraftstoffpreisprognosen'!$2:$2,0))</f>
        <v>368.19706998249478</v>
      </c>
      <c r="I28" s="95">
        <f t="array" ref="I28">INDEX('NR Kraftstoffpreisprognosen'!$A$1:$BC$59,MATCH('Cash Flows'!I$20,'NR Kraftstoffpreisprognosen'!$A:$A,0),MATCH($B$28&amp;$Q28,'NR Kraftstoffpreisprognosen'!$1:$1&amp;'NR Kraftstoffpreisprognosen'!$2:$2,0))</f>
        <v>0</v>
      </c>
      <c r="J28" s="95">
        <f t="array" ref="J28">INDEX('NR Kraftstoffpreisprognosen'!$A$1:$BC$59,MATCH('Cash Flows'!J$20,'NR Kraftstoffpreisprognosen'!$A:$A,0),MATCH($B$28&amp;$Q28,'NR Kraftstoffpreisprognosen'!$1:$1&amp;'NR Kraftstoffpreisprognosen'!$2:$2,0))</f>
        <v>0</v>
      </c>
      <c r="K28" s="95">
        <f t="array" ref="K28">INDEX('NR Kraftstoffpreisprognosen'!$A$1:$BC$59,MATCH('Cash Flows'!K$20,'NR Kraftstoffpreisprognosen'!$A:$A,0),MATCH($B$28&amp;$Q28,'NR Kraftstoffpreisprognosen'!$1:$1&amp;'NR Kraftstoffpreisprognosen'!$2:$2,0))</f>
        <v>0</v>
      </c>
      <c r="L28" s="95">
        <f t="array" ref="L28">INDEX('NR Kraftstoffpreisprognosen'!$A$1:$BC$59,MATCH('Cash Flows'!L$20,'NR Kraftstoffpreisprognosen'!$A:$A,0),MATCH($B$28&amp;$Q28,'NR Kraftstoffpreisprognosen'!$1:$1&amp;'NR Kraftstoffpreisprognosen'!$2:$2,0))</f>
        <v>0</v>
      </c>
      <c r="M28" s="95">
        <f t="array" ref="M28">INDEX('NR Kraftstoffpreisprognosen'!$A$1:$BC$59,MATCH('Cash Flows'!M$20,'NR Kraftstoffpreisprognosen'!$A:$A,0),MATCH($B$28&amp;$Q28,'NR Kraftstoffpreisprognosen'!$1:$1&amp;'NR Kraftstoffpreisprognosen'!$2:$2,0))</f>
        <v>0</v>
      </c>
      <c r="N28" s="95">
        <f t="array" ref="N28">INDEX('NR Kraftstoffpreisprognosen'!$A$1:$BC$59,MATCH('Cash Flows'!N$20,'NR Kraftstoffpreisprognosen'!$A:$A,0),MATCH($B$28&amp;$Q28,'NR Kraftstoffpreisprognosen'!$1:$1&amp;'NR Kraftstoffpreisprognosen'!$2:$2,0))</f>
        <v>0</v>
      </c>
      <c r="O28" s="95">
        <f t="array" ref="O28">INDEX('NR Kraftstoffpreisprognosen'!$A$1:$BC$59,MATCH('Cash Flows'!O$20,'NR Kraftstoffpreisprognosen'!$A:$A,0),MATCH($B$28&amp;$Q28,'NR Kraftstoffpreisprognosen'!$1:$1&amp;'NR Kraftstoffpreisprognosen'!$2:$2,0))</f>
        <v>0</v>
      </c>
      <c r="P28" s="95">
        <f t="array" ref="P28">INDEX('NR Kraftstoffpreisprognosen'!$A$1:$BC$59,MATCH('Cash Flows'!P$20,'NR Kraftstoffpreisprognosen'!$A:$A,0),MATCH($B$28&amp;$Q28,'NR Kraftstoffpreisprognosen'!$1:$1&amp;'NR Kraftstoffpreisprognosen'!$2:$2,0))</f>
        <v>0</v>
      </c>
      <c r="Q28" s="310" t="s">
        <v>1</v>
      </c>
    </row>
    <row r="29" spans="1:28" ht="15" customHeight="1">
      <c r="A29" s="95">
        <f>-PV(Sensitivitätsanalyse!$B$69,Sensitivitätsanalyse!$B$30,'Cash Flows'!C13,0,1)</f>
        <v>5432.5860000000011</v>
      </c>
      <c r="B29" s="99" t="s">
        <v>706</v>
      </c>
      <c r="C29" s="95">
        <f>IF(C$19&lt;=Sensitivitätsanalyse!$B$30,'Cash Flows'!$C13,0)</f>
        <v>905.43100000000027</v>
      </c>
      <c r="D29" s="95">
        <f>IF(D$19&lt;=Sensitivitätsanalyse!$B$30,'Cash Flows'!$C13,0)</f>
        <v>905.43100000000027</v>
      </c>
      <c r="E29" s="95">
        <f>IF(E$19&lt;=Sensitivitätsanalyse!$B$30,'Cash Flows'!$C13,0)</f>
        <v>905.43100000000027</v>
      </c>
      <c r="F29" s="95">
        <f>IF(F$19&lt;=Sensitivitätsanalyse!$B$30,'Cash Flows'!$C13,0)</f>
        <v>905.43100000000027</v>
      </c>
      <c r="G29" s="95">
        <f>IF(G$19&lt;=Sensitivitätsanalyse!$B$30,'Cash Flows'!$C13,0)</f>
        <v>905.43100000000027</v>
      </c>
      <c r="H29" s="95">
        <f>IF(H$19&lt;=Sensitivitätsanalyse!$B$30,'Cash Flows'!$C13,0)</f>
        <v>905.43100000000027</v>
      </c>
      <c r="I29" s="95">
        <f>IF(I$19&lt;=Sensitivitätsanalyse!$B$30,'Cash Flows'!$C13,0)</f>
        <v>0</v>
      </c>
      <c r="J29" s="95">
        <f>IF(J$19&lt;=Sensitivitätsanalyse!$B$30,'Cash Flows'!$C13,0)</f>
        <v>0</v>
      </c>
      <c r="K29" s="95">
        <f>IF(K$19&lt;=Sensitivitätsanalyse!$B$30,'Cash Flows'!$C13,0)</f>
        <v>0</v>
      </c>
      <c r="L29" s="95">
        <f>IF(L$19&lt;=Sensitivitätsanalyse!$B$30,'Cash Flows'!$C13,0)</f>
        <v>0</v>
      </c>
      <c r="M29" s="95">
        <f>IF(M$19&lt;=Sensitivitätsanalyse!$B$30,'Cash Flows'!$C13,0)</f>
        <v>0</v>
      </c>
      <c r="N29" s="95">
        <f>IF(N$19&lt;=Sensitivitätsanalyse!$B$30,'Cash Flows'!$C13,0)</f>
        <v>0</v>
      </c>
      <c r="O29" s="95">
        <f>IF(O$19&lt;=Sensitivitätsanalyse!$B$30,'Cash Flows'!$C13,0)</f>
        <v>0</v>
      </c>
      <c r="P29" s="95">
        <f>IF(P$19&lt;=Sensitivitätsanalyse!$B$30,'Cash Flows'!$C13,0)</f>
        <v>0</v>
      </c>
      <c r="Q29" s="310" t="s">
        <v>1</v>
      </c>
    </row>
    <row r="30" spans="1:28" ht="15" customHeight="1">
      <c r="A30" s="95">
        <f>-PV(Sensitivitätsanalyse!$B$69,Sensitivitätsanalyse!$B$30,'Cash Flows'!C14,0,1)</f>
        <v>0</v>
      </c>
      <c r="B30" s="99" t="s">
        <v>707</v>
      </c>
      <c r="C30" s="95">
        <f>IF($C$19&lt;=Sensitivitätsanalyse!$B$30,'Cash Flows'!$C14,0)</f>
        <v>0</v>
      </c>
      <c r="D30" s="95">
        <f>IF($D$19&lt;=Sensitivitätsanalyse!$B$30,'Cash Flows'!$C14,0)</f>
        <v>0</v>
      </c>
      <c r="E30" s="95">
        <f>IF($E$19&lt;=Sensitivitätsanalyse!$B$30,'Cash Flows'!$C14,0)</f>
        <v>0</v>
      </c>
      <c r="F30" s="95">
        <f>IF($F$19&lt;=Sensitivitätsanalyse!$B$30,'Cash Flows'!$C14,0)</f>
        <v>0</v>
      </c>
      <c r="G30" s="95">
        <f>IF($G$19&lt;=Sensitivitätsanalyse!$B$30,'Cash Flows'!$C14,0)</f>
        <v>0</v>
      </c>
      <c r="H30" s="95">
        <f>IF($H$19&lt;=Sensitivitätsanalyse!$B$30,'Cash Flows'!$C14,0)</f>
        <v>0</v>
      </c>
      <c r="I30" s="95">
        <f>IF($I$19&lt;=Sensitivitätsanalyse!$B$30,'Cash Flows'!$C14,0)</f>
        <v>0</v>
      </c>
      <c r="J30" s="95">
        <f>IF($J$19&lt;=Sensitivitätsanalyse!$B$30,'Cash Flows'!$C14,0)</f>
        <v>0</v>
      </c>
      <c r="K30" s="95">
        <f>IF($K$19&lt;=Sensitivitätsanalyse!$B$30,'Cash Flows'!$C14,0)</f>
        <v>0</v>
      </c>
      <c r="L30" s="95">
        <f>IF($L$19&lt;=Sensitivitätsanalyse!$B$30,'Cash Flows'!$C14,0)</f>
        <v>0</v>
      </c>
      <c r="M30" s="95">
        <f>IF($L$19&lt;=Sensitivitätsanalyse!$B$30,'Cash Flows'!$C14,0)</f>
        <v>0</v>
      </c>
      <c r="N30" s="95">
        <f>IF($L$19&lt;=Sensitivitätsanalyse!$B$30,'Cash Flows'!$C14,0)</f>
        <v>0</v>
      </c>
      <c r="O30" s="95">
        <f>IF($L$19&lt;=Sensitivitätsanalyse!$B$30,'Cash Flows'!$C14,0)</f>
        <v>0</v>
      </c>
      <c r="P30" s="95">
        <f>IF($L$19&lt;=Sensitivitätsanalyse!$B$30,'Cash Flows'!$C14,0)</f>
        <v>0</v>
      </c>
      <c r="Q30" s="310" t="s">
        <v>1</v>
      </c>
    </row>
    <row r="31" spans="1:28" ht="15" customHeight="1">
      <c r="A31" s="95">
        <f>-PV(Sensitivitätsanalyse!$B$69,Sensitivitätsanalyse!$B$30,'Cash Flows'!C15,0,1)</f>
        <v>0</v>
      </c>
      <c r="B31" s="99" t="s">
        <v>712</v>
      </c>
      <c r="C31" s="95">
        <f>IF($C$19&lt;=Sensitivitätsanalyse!$B$30,'Cash Flows'!$C15,0)</f>
        <v>0</v>
      </c>
      <c r="D31" s="95">
        <f>IF($D$19&lt;=Sensitivitätsanalyse!$B$30,'Cash Flows'!$C15,0)</f>
        <v>0</v>
      </c>
      <c r="E31" s="95">
        <f>IF($E$19&lt;=Sensitivitätsanalyse!$B$30,'Cash Flows'!$C15,0)</f>
        <v>0</v>
      </c>
      <c r="F31" s="95">
        <f>IF($F$19&lt;=Sensitivitätsanalyse!$B$30,'Cash Flows'!$C15,0)</f>
        <v>0</v>
      </c>
      <c r="G31" s="95">
        <f>IF($G$19&lt;=Sensitivitätsanalyse!$B$30,'Cash Flows'!$C15,0)</f>
        <v>0</v>
      </c>
      <c r="H31" s="95">
        <f>IF($H$19&lt;=Sensitivitätsanalyse!$B$30,'Cash Flows'!$C15,0)</f>
        <v>0</v>
      </c>
      <c r="I31" s="95">
        <f>IF($I$19&lt;=Sensitivitätsanalyse!$B$30,'Cash Flows'!$C15,0)</f>
        <v>0</v>
      </c>
      <c r="J31" s="95">
        <f>IF($J$19&lt;=Sensitivitätsanalyse!$B$30,'Cash Flows'!$C15,0)</f>
        <v>0</v>
      </c>
      <c r="K31" s="95">
        <f>IF($K$19&lt;=Sensitivitätsanalyse!$B$30,'Cash Flows'!$C15,0)</f>
        <v>0</v>
      </c>
      <c r="L31" s="95">
        <f>IF($L$19&lt;=Sensitivitätsanalyse!$B$30,'Cash Flows'!$C15,0)</f>
        <v>0</v>
      </c>
      <c r="M31" s="95">
        <f>IF($L$19&lt;=Sensitivitätsanalyse!$B$30,'Cash Flows'!$C15,0)</f>
        <v>0</v>
      </c>
      <c r="N31" s="95">
        <f>IF($L$19&lt;=Sensitivitätsanalyse!$B$30,'Cash Flows'!$C15,0)</f>
        <v>0</v>
      </c>
      <c r="O31" s="95">
        <f>IF($L$19&lt;=Sensitivitätsanalyse!$B$30,'Cash Flows'!$C15,0)</f>
        <v>0</v>
      </c>
      <c r="P31" s="95">
        <f>IF($L$19&lt;=Sensitivitätsanalyse!$B$30,'Cash Flows'!$C15,0)</f>
        <v>0</v>
      </c>
      <c r="Q31" s="310" t="s">
        <v>1</v>
      </c>
    </row>
    <row r="32" spans="1:28" ht="15" customHeight="1">
      <c r="A32" s="95">
        <f>SUM(C33:P33)</f>
        <v>-7626.178350000001</v>
      </c>
      <c r="B32" s="99" t="s">
        <v>710</v>
      </c>
      <c r="C32" s="95">
        <f>-IF(C$19=Sensitivitätsanalyse!$B$30,'Cash Flows'!$C$6,0)</f>
        <v>0</v>
      </c>
      <c r="D32" s="95">
        <f>-IF(D$19=Sensitivitätsanalyse!$B$30,'Cash Flows'!$C$6,0)</f>
        <v>0</v>
      </c>
      <c r="E32" s="95">
        <f>-IF(E$19=Sensitivitätsanalyse!$B$30,'Cash Flows'!$C$6,0)</f>
        <v>0</v>
      </c>
      <c r="F32" s="95">
        <f>-IF(F$19=Sensitivitätsanalyse!$B$30,'Cash Flows'!$C$6,0)</f>
        <v>0</v>
      </c>
      <c r="G32" s="95">
        <f>-IF(G$19=Sensitivitätsanalyse!$B$30,'Cash Flows'!$C$6,0)</f>
        <v>0</v>
      </c>
      <c r="H32" s="95">
        <f>-IF(H$19=Sensitivitätsanalyse!$B$30,'Cash Flows'!$C$6,0)</f>
        <v>-7626.178350000001</v>
      </c>
      <c r="I32" s="95">
        <f>-IF(I$19=Sensitivitätsanalyse!$B$30,'Cash Flows'!$C$6,0)</f>
        <v>0</v>
      </c>
      <c r="J32" s="95">
        <f>-IF(J$19=Sensitivitätsanalyse!$B$30,'Cash Flows'!$C$6,0)</f>
        <v>0</v>
      </c>
      <c r="K32" s="95">
        <f>-IF(K$19=Sensitivitätsanalyse!$B$30,'Cash Flows'!$C$6,0)</f>
        <v>0</v>
      </c>
      <c r="L32" s="95">
        <f>-IF(L$19=Sensitivitätsanalyse!$B$30,'Cash Flows'!$C$6,0)</f>
        <v>0</v>
      </c>
      <c r="M32" s="95">
        <f>-IF(M$19=Sensitivitätsanalyse!$B$30,'Cash Flows'!$C$6,0)</f>
        <v>0</v>
      </c>
      <c r="N32" s="95">
        <f>-IF(N$19=Sensitivitätsanalyse!$B$30,'Cash Flows'!$C$6,0)</f>
        <v>0</v>
      </c>
      <c r="O32" s="95">
        <f>-IF(O$19=Sensitivitätsanalyse!$B$30,'Cash Flows'!$C$6,0)</f>
        <v>0</v>
      </c>
      <c r="P32" s="95">
        <f>-IF(P$19=Sensitivitätsanalyse!$B$30,'Cash Flows'!$C$6,0)</f>
        <v>0</v>
      </c>
      <c r="Q32" s="310" t="s">
        <v>1</v>
      </c>
    </row>
    <row r="33" spans="1:27" ht="15" customHeight="1">
      <c r="B33" s="99" t="s">
        <v>713</v>
      </c>
      <c r="C33" s="116">
        <f>C32/C21</f>
        <v>0</v>
      </c>
      <c r="D33" s="116">
        <f t="shared" ref="D33:L33" si="3">D32/D21</f>
        <v>0</v>
      </c>
      <c r="E33" s="116">
        <f t="shared" si="3"/>
        <v>0</v>
      </c>
      <c r="F33" s="116">
        <f t="shared" si="3"/>
        <v>0</v>
      </c>
      <c r="G33" s="116">
        <f t="shared" si="3"/>
        <v>0</v>
      </c>
      <c r="H33" s="116">
        <f t="shared" si="3"/>
        <v>-7626.178350000001</v>
      </c>
      <c r="I33" s="116">
        <f t="shared" si="3"/>
        <v>0</v>
      </c>
      <c r="J33" s="116">
        <f t="shared" si="3"/>
        <v>0</v>
      </c>
      <c r="K33" s="116">
        <f t="shared" si="3"/>
        <v>0</v>
      </c>
      <c r="L33" s="116">
        <f t="shared" si="3"/>
        <v>0</v>
      </c>
      <c r="Q33" s="310" t="s">
        <v>1</v>
      </c>
    </row>
    <row r="34" spans="1:27" ht="15" customHeight="1">
      <c r="A34" s="95">
        <f>SUM(C34:L34)</f>
        <v>31906.689010341874</v>
      </c>
      <c r="B34" s="99" t="s">
        <v>450</v>
      </c>
      <c r="C34" s="95">
        <f>SUBTOTAL(9,C22:C32)</f>
        <v>22340.434015972674</v>
      </c>
      <c r="D34" s="95">
        <f t="shared" ref="D34:P34" si="4">SUBTOTAL(9,D22:D32)</f>
        <v>3424.9612272269414</v>
      </c>
      <c r="E34" s="95">
        <f t="shared" si="4"/>
        <v>3433.0958629826555</v>
      </c>
      <c r="F34" s="95">
        <f t="shared" si="4"/>
        <v>3439.629042311386</v>
      </c>
      <c r="G34" s="95">
        <f t="shared" si="4"/>
        <v>3445.0607366820477</v>
      </c>
      <c r="H34" s="95">
        <f t="shared" si="4"/>
        <v>-4176.491874833835</v>
      </c>
      <c r="I34" s="95">
        <f t="shared" si="4"/>
        <v>0</v>
      </c>
      <c r="J34" s="95">
        <f t="shared" si="4"/>
        <v>0</v>
      </c>
      <c r="K34" s="95">
        <f t="shared" si="4"/>
        <v>0</v>
      </c>
      <c r="L34" s="95">
        <f t="shared" si="4"/>
        <v>0</v>
      </c>
      <c r="M34" s="95">
        <f t="shared" si="4"/>
        <v>0</v>
      </c>
      <c r="N34" s="95">
        <f t="shared" si="4"/>
        <v>0</v>
      </c>
      <c r="O34" s="95">
        <f t="shared" si="4"/>
        <v>0</v>
      </c>
      <c r="P34" s="95">
        <f t="shared" si="4"/>
        <v>0</v>
      </c>
      <c r="Q34" s="310" t="s">
        <v>1</v>
      </c>
    </row>
    <row r="35" spans="1:27" ht="15" customHeight="1" thickBot="1">
      <c r="A35" s="97">
        <f>SUM(C35:P35)</f>
        <v>31906.689010341874</v>
      </c>
      <c r="B35" s="96" t="s">
        <v>455</v>
      </c>
      <c r="C35" s="97">
        <f t="shared" ref="C35:K35" si="5">C34/C21</f>
        <v>22340.434015972674</v>
      </c>
      <c r="D35" s="97">
        <f t="shared" si="5"/>
        <v>3424.9612272269414</v>
      </c>
      <c r="E35" s="97">
        <f t="shared" si="5"/>
        <v>3433.0958629826555</v>
      </c>
      <c r="F35" s="97">
        <f t="shared" si="5"/>
        <v>3439.629042311386</v>
      </c>
      <c r="G35" s="97">
        <f t="shared" si="5"/>
        <v>3445.0607366820477</v>
      </c>
      <c r="H35" s="97">
        <f t="shared" si="5"/>
        <v>-4176.491874833835</v>
      </c>
      <c r="I35" s="97">
        <f t="shared" si="5"/>
        <v>0</v>
      </c>
      <c r="J35" s="97">
        <f t="shared" si="5"/>
        <v>0</v>
      </c>
      <c r="K35" s="97">
        <f t="shared" si="5"/>
        <v>0</v>
      </c>
      <c r="L35" s="97">
        <f>L34/L21</f>
        <v>0</v>
      </c>
      <c r="M35" s="97">
        <f>M34/M21</f>
        <v>0</v>
      </c>
      <c r="N35" s="97">
        <f>N34/N21</f>
        <v>0</v>
      </c>
      <c r="O35" s="97">
        <f>O34/O21</f>
        <v>0</v>
      </c>
      <c r="P35" s="97">
        <f>P34/P21</f>
        <v>0</v>
      </c>
      <c r="Q35" s="310" t="s">
        <v>1</v>
      </c>
    </row>
    <row r="36" spans="1:27" ht="15" customHeight="1" thickTop="1">
      <c r="A36" s="123">
        <f>-PMT(Sensitivitätsanalyse!$B$69,Sensitivitätsanalyse!$B$30,A35,0,1)</f>
        <v>5317.7815017236453</v>
      </c>
      <c r="B36" s="122" t="s">
        <v>449</v>
      </c>
      <c r="C36" s="123"/>
      <c r="D36" s="123"/>
      <c r="E36" s="123"/>
      <c r="F36" s="123"/>
      <c r="G36" s="123"/>
      <c r="H36" s="123"/>
      <c r="I36" s="123"/>
      <c r="J36" s="123"/>
      <c r="K36" s="123"/>
      <c r="L36" s="123"/>
      <c r="M36" s="123"/>
      <c r="N36" s="123"/>
      <c r="Q36" s="310" t="s">
        <v>1</v>
      </c>
    </row>
    <row r="38" spans="1:27" ht="24" thickBot="1">
      <c r="A38" s="100" t="s">
        <v>451</v>
      </c>
      <c r="B38" s="101" t="s">
        <v>465</v>
      </c>
      <c r="C38" s="103" t="s">
        <v>466</v>
      </c>
      <c r="D38" s="103" t="s">
        <v>467</v>
      </c>
      <c r="E38" s="103" t="s">
        <v>468</v>
      </c>
      <c r="F38" s="103" t="s">
        <v>469</v>
      </c>
      <c r="G38" s="103" t="s">
        <v>470</v>
      </c>
      <c r="H38" s="103" t="s">
        <v>471</v>
      </c>
      <c r="I38" s="103" t="s">
        <v>472</v>
      </c>
      <c r="J38" s="103" t="s">
        <v>473</v>
      </c>
      <c r="K38" s="103" t="s">
        <v>474</v>
      </c>
      <c r="L38" s="103" t="s">
        <v>475</v>
      </c>
      <c r="M38" s="308" t="s">
        <v>719</v>
      </c>
      <c r="N38" s="308" t="s">
        <v>720</v>
      </c>
      <c r="O38" s="308" t="s">
        <v>721</v>
      </c>
      <c r="P38" s="308" t="s">
        <v>722</v>
      </c>
      <c r="Q38" s="614" t="s">
        <v>460</v>
      </c>
      <c r="R38" s="614"/>
      <c r="S38" s="614"/>
    </row>
    <row r="39" spans="1:27" ht="15" customHeight="1" thickBot="1">
      <c r="A39" s="100"/>
      <c r="B39" s="101" t="s">
        <v>448</v>
      </c>
      <c r="C39" s="103">
        <f>Sensitivitätsanalyse!$B$25</f>
        <v>2013</v>
      </c>
      <c r="D39" s="103">
        <f>C39+1</f>
        <v>2014</v>
      </c>
      <c r="E39" s="103">
        <f t="shared" ref="E39:K39" si="6">D39+1</f>
        <v>2015</v>
      </c>
      <c r="F39" s="103">
        <f t="shared" si="6"/>
        <v>2016</v>
      </c>
      <c r="G39" s="103">
        <f t="shared" si="6"/>
        <v>2017</v>
      </c>
      <c r="H39" s="103">
        <f t="shared" si="6"/>
        <v>2018</v>
      </c>
      <c r="I39" s="103">
        <f t="shared" si="6"/>
        <v>2019</v>
      </c>
      <c r="J39" s="103">
        <f t="shared" si="6"/>
        <v>2020</v>
      </c>
      <c r="K39" s="103">
        <f t="shared" si="6"/>
        <v>2021</v>
      </c>
      <c r="L39" s="103">
        <f>K39+1</f>
        <v>2022</v>
      </c>
      <c r="M39" s="103">
        <f>L39+1</f>
        <v>2023</v>
      </c>
      <c r="N39" s="103">
        <f>M39+1</f>
        <v>2024</v>
      </c>
      <c r="O39" s="103">
        <f>N39+1</f>
        <v>2025</v>
      </c>
      <c r="P39" s="103">
        <f>O39+1</f>
        <v>2026</v>
      </c>
      <c r="Q39" s="310" t="s">
        <v>0</v>
      </c>
    </row>
    <row r="40" spans="1:27" ht="15" customHeight="1">
      <c r="A40" s="117"/>
      <c r="B40" s="116"/>
      <c r="C40" s="118">
        <f>(1+Sensitivitätsanalyse!$B$69)^0</f>
        <v>1</v>
      </c>
      <c r="D40" s="118">
        <f>(1+Sensitivitätsanalyse!$B$69)^C41</f>
        <v>1</v>
      </c>
      <c r="E40" s="118">
        <f>(1+Sensitivitätsanalyse!$B$69)^D41</f>
        <v>1</v>
      </c>
      <c r="F40" s="118">
        <f>(1+Sensitivitätsanalyse!$B$69)^E41</f>
        <v>1</v>
      </c>
      <c r="G40" s="118">
        <f>(1+Sensitivitätsanalyse!$B$69)^F41</f>
        <v>1</v>
      </c>
      <c r="H40" s="118">
        <f>(1+Sensitivitätsanalyse!$B$69)^G41</f>
        <v>1</v>
      </c>
      <c r="I40" s="118">
        <f>(1+Sensitivitätsanalyse!$B$69)^H41</f>
        <v>1</v>
      </c>
      <c r="J40" s="118">
        <f>(1+Sensitivitätsanalyse!$B$69)^I41</f>
        <v>1</v>
      </c>
      <c r="K40" s="118">
        <f>(1+Sensitivitätsanalyse!$B$69)^J41</f>
        <v>1</v>
      </c>
      <c r="L40" s="118">
        <f>(1+Sensitivitätsanalyse!$B$69)^K41</f>
        <v>1</v>
      </c>
      <c r="M40" s="118">
        <f>(1+Sensitivitätsanalyse!$B$69)^L41</f>
        <v>1</v>
      </c>
      <c r="N40" s="118">
        <f>(1+Sensitivitätsanalyse!$B$69)^M41</f>
        <v>1</v>
      </c>
      <c r="O40" s="118">
        <f>(1+Sensitivitätsanalyse!$B$69)^N41</f>
        <v>1</v>
      </c>
      <c r="P40" s="118">
        <f>(1+Sensitivitätsanalyse!$B$69)^O41</f>
        <v>1</v>
      </c>
      <c r="Q40" s="310" t="s">
        <v>0</v>
      </c>
      <c r="V40" s="4"/>
      <c r="W40" s="4"/>
      <c r="X40" s="4"/>
      <c r="Y40" s="252"/>
      <c r="Z40" s="252"/>
      <c r="AA40" s="4"/>
    </row>
    <row r="41" spans="1:27" ht="15" customHeight="1">
      <c r="A41" s="98"/>
      <c r="B41" s="99" t="s">
        <v>454</v>
      </c>
      <c r="C41" s="102">
        <v>1</v>
      </c>
      <c r="D41" s="102">
        <v>2</v>
      </c>
      <c r="E41" s="102">
        <v>3</v>
      </c>
      <c r="F41" s="102">
        <v>4</v>
      </c>
      <c r="G41" s="102">
        <v>5</v>
      </c>
      <c r="H41" s="102">
        <v>6</v>
      </c>
      <c r="I41" s="102">
        <v>7</v>
      </c>
      <c r="J41" s="102">
        <v>8</v>
      </c>
      <c r="K41" s="102">
        <v>9</v>
      </c>
      <c r="L41" s="102">
        <v>10</v>
      </c>
      <c r="M41" s="102">
        <v>11</v>
      </c>
      <c r="N41" s="102">
        <v>12</v>
      </c>
      <c r="O41" s="102">
        <v>13</v>
      </c>
      <c r="P41" s="102">
        <v>14</v>
      </c>
      <c r="Q41" s="310" t="s">
        <v>0</v>
      </c>
      <c r="V41" s="4"/>
      <c r="W41" s="4"/>
      <c r="X41" s="4"/>
      <c r="Y41" s="252"/>
      <c r="Z41" s="252"/>
      <c r="AA41" s="4"/>
    </row>
    <row r="42" spans="1:27" ht="15" customHeight="1">
      <c r="A42" s="95">
        <f>Tabelle7[[#This Row],[Spalte3]]</f>
        <v>35437.445653265364</v>
      </c>
      <c r="B42" s="99" t="s">
        <v>699</v>
      </c>
      <c r="C42" s="95">
        <f>'Cash Flows'!D4-'Cash Flows'!D5</f>
        <v>35437.445653265364</v>
      </c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310" t="s">
        <v>0</v>
      </c>
      <c r="V42" s="4"/>
      <c r="W42" s="4"/>
      <c r="X42" s="4"/>
      <c r="Y42" s="252"/>
      <c r="Z42" s="252"/>
      <c r="AA42" s="4"/>
    </row>
    <row r="43" spans="1:27" ht="15" customHeight="1">
      <c r="A43" s="95">
        <f>-PV(Sensitivitätsanalyse!$B$69,Sensitivitätsanalyse!$B$30,'Cash Flows'!D7,0,1)</f>
        <v>0</v>
      </c>
      <c r="B43" s="99" t="s">
        <v>701</v>
      </c>
      <c r="C43" s="95">
        <f>IF($C$19&lt;=Sensitivitätsanalyse!$B$30,'Cash Flows'!$D7,0)</f>
        <v>0</v>
      </c>
      <c r="D43" s="95">
        <f>IF($D$19&lt;=Sensitivitätsanalyse!$B$30,'Cash Flows'!$D7,0)</f>
        <v>0</v>
      </c>
      <c r="E43" s="95">
        <f>IF($E$19&lt;=Sensitivitätsanalyse!$B$30,'Cash Flows'!$D7,0)</f>
        <v>0</v>
      </c>
      <c r="F43" s="95">
        <f>IF($F$19&lt;=Sensitivitätsanalyse!$B$30,'Cash Flows'!$D7,0)</f>
        <v>0</v>
      </c>
      <c r="G43" s="95">
        <f>IF($G$19&lt;=Sensitivitätsanalyse!$B$30,'Cash Flows'!$D7,0)</f>
        <v>0</v>
      </c>
      <c r="H43" s="95">
        <f>IF($H$19&lt;=Sensitivitätsanalyse!$B$30,'Cash Flows'!$D7,0)</f>
        <v>0</v>
      </c>
      <c r="I43" s="95">
        <f>IF($I$19&lt;=Sensitivitätsanalyse!$B$30,'Cash Flows'!$D7,0)</f>
        <v>0</v>
      </c>
      <c r="J43" s="95">
        <f>IF($J$19&lt;=Sensitivitätsanalyse!$B$30,'Cash Flows'!$D7,0)</f>
        <v>0</v>
      </c>
      <c r="K43" s="95">
        <f>IF($K$19&lt;=Sensitivitätsanalyse!$B$30,'Cash Flows'!$D7,0)</f>
        <v>0</v>
      </c>
      <c r="L43" s="95">
        <f>IF($L$19&lt;=Sensitivitätsanalyse!$B$30,'Cash Flows'!$D7,0)</f>
        <v>0</v>
      </c>
      <c r="Q43" s="310" t="s">
        <v>0</v>
      </c>
      <c r="V43" s="4"/>
      <c r="W43" s="4"/>
      <c r="X43" s="4"/>
      <c r="Y43" s="252"/>
      <c r="Z43" s="252"/>
      <c r="AA43" s="4"/>
    </row>
    <row r="44" spans="1:27" ht="15" customHeight="1">
      <c r="A44" s="95">
        <f>-PV(Sensitivitätsanalyse!$B$69,Sensitivitätsanalyse!$B$30,'Cash Flows'!D8,0,1)</f>
        <v>5483.7221485496666</v>
      </c>
      <c r="B44" s="99" t="s">
        <v>702</v>
      </c>
      <c r="C44" s="95">
        <f>IF(C$19&lt;=Sensitivitätsanalyse!$B$30,'Cash Flows'!$D8,0)</f>
        <v>913.95369142494451</v>
      </c>
      <c r="D44" s="95">
        <f>IF(D$19&lt;=Sensitivitätsanalyse!$B$30,'Cash Flows'!$D8,0)</f>
        <v>913.95369142494451</v>
      </c>
      <c r="E44" s="95">
        <f>IF(E$19&lt;=Sensitivitätsanalyse!$B$30,'Cash Flows'!$D8,0)</f>
        <v>913.95369142494451</v>
      </c>
      <c r="F44" s="95">
        <f>IF(F$19&lt;=Sensitivitätsanalyse!$B$30,'Cash Flows'!$D8,0)</f>
        <v>913.95369142494451</v>
      </c>
      <c r="G44" s="95">
        <f>IF(G$19&lt;=Sensitivitätsanalyse!$B$30,'Cash Flows'!$D8,0)</f>
        <v>913.95369142494451</v>
      </c>
      <c r="H44" s="95">
        <f>IF(H$19&lt;=Sensitivitätsanalyse!$B$30,'Cash Flows'!$D8,0)</f>
        <v>913.95369142494451</v>
      </c>
      <c r="I44" s="95">
        <f>IF(I$19&lt;=Sensitivitätsanalyse!$B$30,'Cash Flows'!$D8,0)</f>
        <v>0</v>
      </c>
      <c r="J44" s="95">
        <f>IF(J$19&lt;=Sensitivitätsanalyse!$B$30,'Cash Flows'!$D8,0)</f>
        <v>0</v>
      </c>
      <c r="K44" s="95">
        <f>IF(K$19&lt;=Sensitivitätsanalyse!$B$30,'Cash Flows'!$D8,0)</f>
        <v>0</v>
      </c>
      <c r="L44" s="95">
        <f>IF(L$19&lt;=Sensitivitätsanalyse!$B$30,'Cash Flows'!$D8,0)</f>
        <v>0</v>
      </c>
      <c r="M44" s="95">
        <f>IF(M$19&lt;=Sensitivitätsanalyse!$B$30,'Cash Flows'!$D8,0)</f>
        <v>0</v>
      </c>
      <c r="N44" s="95">
        <f>IF(N$19&lt;=Sensitivitätsanalyse!$B$30,'Cash Flows'!$D8,0)</f>
        <v>0</v>
      </c>
      <c r="O44" s="95">
        <f>IF(O$19&lt;=Sensitivitätsanalyse!$B$30,'Cash Flows'!$D8,0)</f>
        <v>0</v>
      </c>
      <c r="P44" s="95">
        <f>IF(P$19&lt;=Sensitivitätsanalyse!$B$30,'Cash Flows'!$D8,0)</f>
        <v>0</v>
      </c>
      <c r="Q44" s="310" t="s">
        <v>0</v>
      </c>
      <c r="V44" s="4"/>
      <c r="W44" s="4"/>
      <c r="X44" s="4"/>
      <c r="Y44" s="252"/>
      <c r="Z44" s="252"/>
      <c r="AA44" s="4"/>
    </row>
    <row r="45" spans="1:27" ht="15" customHeight="1">
      <c r="A45" s="95">
        <f>-PV(Sensitivitätsanalyse!$B$69,Sensitivitätsanalyse!$B$30,'Cash Flows'!D9,0,1)</f>
        <v>0</v>
      </c>
      <c r="B45" s="99" t="s">
        <v>703</v>
      </c>
      <c r="C45" s="95">
        <f>IF($C$19&lt;=Sensitivitätsanalyse!$B$30,'Cash Flows'!$D9,0)</f>
        <v>0</v>
      </c>
      <c r="D45" s="95">
        <f>IF($D$19&lt;=Sensitivitätsanalyse!$B$30,'Cash Flows'!$D9,0)</f>
        <v>0</v>
      </c>
      <c r="E45" s="95">
        <f>IF($E$19&lt;=Sensitivitätsanalyse!$B$30,'Cash Flows'!$D9,0)</f>
        <v>0</v>
      </c>
      <c r="F45" s="95">
        <f>IF($F$19&lt;=Sensitivitätsanalyse!$B$30,'Cash Flows'!$D9,0)</f>
        <v>0</v>
      </c>
      <c r="G45" s="95">
        <f>IF($G$19&lt;=Sensitivitätsanalyse!$B$30,'Cash Flows'!$D9,0)</f>
        <v>0</v>
      </c>
      <c r="H45" s="95">
        <f>IF($H$19&lt;=Sensitivitätsanalyse!$B$30,'Cash Flows'!$D9,0)</f>
        <v>0</v>
      </c>
      <c r="I45" s="95">
        <f>IF($I$19&lt;=Sensitivitätsanalyse!$B$30,'Cash Flows'!$D9,0)</f>
        <v>0</v>
      </c>
      <c r="J45" s="95">
        <f>IF($J$19&lt;=Sensitivitätsanalyse!$B$30,'Cash Flows'!$D9,0)</f>
        <v>0</v>
      </c>
      <c r="K45" s="95">
        <f>IF($K$19&lt;=Sensitivitätsanalyse!$B$30,'Cash Flows'!$D9,0)</f>
        <v>0</v>
      </c>
      <c r="L45" s="95">
        <f>IF($L$19&lt;=Sensitivitätsanalyse!$B$30,'Cash Flows'!$D9,0)</f>
        <v>0</v>
      </c>
      <c r="Q45" s="310" t="s">
        <v>0</v>
      </c>
      <c r="V45" s="4"/>
      <c r="W45" s="4"/>
      <c r="X45" s="4"/>
      <c r="Y45" s="252"/>
      <c r="Z45" s="252"/>
      <c r="AA45" s="4"/>
    </row>
    <row r="46" spans="1:27" ht="15" customHeight="1">
      <c r="A46" s="95">
        <f ca="1">-PV(Sensitivitätsanalyse!$B$69,Sensitivitätsanalyse!$B$30,'Cash Flows'!D10,0,1)</f>
        <v>4385.0465583026689</v>
      </c>
      <c r="B46" s="99" t="s">
        <v>711</v>
      </c>
      <c r="C46" s="95">
        <f t="array" ref="C46">INDEX('NR Kraftstoffpreisprognosen'!$A$1:$Y$59,MATCH('Cash Flows'!C$20,'NR Kraftstoffpreisprognosen'!$A:$A,0),MATCH($B$46,'NR Kraftstoffpreisprognosen'!$1:$1,0))</f>
        <v>717.72556274999999</v>
      </c>
      <c r="D46" s="95">
        <f t="array" ref="D46">INDEX('NR Kraftstoffpreisprognosen'!$A$1:$Y$59,MATCH('Cash Flows'!D$20,'NR Kraftstoffpreisprognosen'!$A:$A,0),MATCH($B$46,'NR Kraftstoffpreisprognosen'!$1:$1,0))</f>
        <v>723.5373949982544</v>
      </c>
      <c r="E46" s="95">
        <f t="array" ref="E46">INDEX('NR Kraftstoffpreisprognosen'!$A$1:$Y$59,MATCH('Cash Flows'!E$20,'NR Kraftstoffpreisprognosen'!$A:$A,0),MATCH($B$46,'NR Kraftstoffpreisprognosen'!$1:$1,0))</f>
        <v>728.78740933097674</v>
      </c>
      <c r="F46" s="95">
        <f t="array" ref="F46">INDEX('NR Kraftstoffpreisprognosen'!$A$1:$Y$59,MATCH('Cash Flows'!F$20,'NR Kraftstoffpreisprognosen'!$A:$A,0),MATCH($B$46,'NR Kraftstoffpreisprognosen'!$1:$1,0))</f>
        <v>733.69708978446317</v>
      </c>
      <c r="G46" s="95">
        <f t="array" ref="G46">INDEX('NR Kraftstoffpreisprognosen'!$A$1:$Y$59,MATCH('Cash Flows'!G$20,'NR Kraftstoffpreisprognosen'!$A:$A,0),MATCH($B$46,'NR Kraftstoffpreisprognosen'!$1:$1,0))</f>
        <v>738.38341914340083</v>
      </c>
      <c r="H46" s="95">
        <f t="array" ref="H46">INDEX('NR Kraftstoffpreisprognosen'!$A$1:$Y$59,MATCH('Cash Flows'!H$20,'NR Kraftstoffpreisprognosen'!$A:$A,0),MATCH($B$46,'NR Kraftstoffpreisprognosen'!$1:$1,0))</f>
        <v>742.91568229557345</v>
      </c>
      <c r="I46" s="95">
        <f t="array" ref="I46">INDEX('NR Kraftstoffpreisprognosen'!$A$1:$Y$59,MATCH('Cash Flows'!I$20,'NR Kraftstoffpreisprognosen'!$A:$A,0),MATCH($B$46,'NR Kraftstoffpreisprognosen'!$1:$1,0))</f>
        <v>0</v>
      </c>
      <c r="J46" s="95">
        <f t="array" ref="J46">INDEX('NR Kraftstoffpreisprognosen'!$A$1:$Y$59,MATCH('Cash Flows'!J$20,'NR Kraftstoffpreisprognosen'!$A:$A,0),MATCH($B$46,'NR Kraftstoffpreisprognosen'!$1:$1,0))</f>
        <v>0</v>
      </c>
      <c r="K46" s="95">
        <f t="array" ref="K46">INDEX('NR Kraftstoffpreisprognosen'!$A$1:$Y$59,MATCH('Cash Flows'!K$20,'NR Kraftstoffpreisprognosen'!$A:$A,0),MATCH($B$46,'NR Kraftstoffpreisprognosen'!$1:$1,0))</f>
        <v>0</v>
      </c>
      <c r="L46" s="95">
        <f t="array" ref="L46">INDEX('NR Kraftstoffpreisprognosen'!$A$1:$Y$59,MATCH('Cash Flows'!L$20,'NR Kraftstoffpreisprognosen'!$A:$A,0),MATCH($B$46,'NR Kraftstoffpreisprognosen'!$1:$1,0))</f>
        <v>0</v>
      </c>
      <c r="M46" s="95">
        <f t="array" ref="M46">INDEX('NR Kraftstoffpreisprognosen'!$A$1:$Y$59,MATCH('Cash Flows'!M$20,'NR Kraftstoffpreisprognosen'!$A:$A,0),MATCH($B$46,'NR Kraftstoffpreisprognosen'!$1:$1,0))</f>
        <v>0</v>
      </c>
      <c r="N46" s="95">
        <f t="array" ref="N46">INDEX('NR Kraftstoffpreisprognosen'!$A$1:$Y$59,MATCH('Cash Flows'!N$20,'NR Kraftstoffpreisprognosen'!$A:$A,0),MATCH($B$46,'NR Kraftstoffpreisprognosen'!$1:$1,0))</f>
        <v>0</v>
      </c>
      <c r="O46" s="95">
        <f t="array" ref="O46">INDEX('NR Kraftstoffpreisprognosen'!$A$1:$Y$59,MATCH('Cash Flows'!O$20,'NR Kraftstoffpreisprognosen'!$A:$A,0),MATCH($B$46,'NR Kraftstoffpreisprognosen'!$1:$1,0))</f>
        <v>0</v>
      </c>
      <c r="P46" s="95">
        <f t="array" ref="P46">INDEX('NR Kraftstoffpreisprognosen'!$A$1:$Y$59,MATCH('Cash Flows'!P$20,'NR Kraftstoffpreisprognosen'!$A:$A,0),MATCH($B$46,'NR Kraftstoffpreisprognosen'!$1:$1,0))</f>
        <v>0</v>
      </c>
      <c r="Q46" s="310" t="s">
        <v>0</v>
      </c>
      <c r="V46" s="4"/>
      <c r="W46" s="4"/>
      <c r="X46" s="4"/>
      <c r="Y46" s="252"/>
      <c r="Z46" s="252"/>
      <c r="AA46" s="4"/>
    </row>
    <row r="47" spans="1:27" ht="15" customHeight="1">
      <c r="A47" s="95">
        <f>-PV(Sensitivitätsanalyse!$B$69,Sensitivitätsanalyse!$B$30,'Cash Flows'!D11,0,1)</f>
        <v>0</v>
      </c>
      <c r="B47" s="99" t="s">
        <v>704</v>
      </c>
      <c r="C47" s="95">
        <f>IF($C$19&lt;=Sensitivitätsanalyse!$B$30,'Cash Flows'!$D11,0)</f>
        <v>0</v>
      </c>
      <c r="D47" s="95">
        <f>IF($D$19&lt;=Sensitivitätsanalyse!$B$30,'Cash Flows'!$D11,0)</f>
        <v>0</v>
      </c>
      <c r="E47" s="95">
        <f>IF($E$19&lt;=Sensitivitätsanalyse!$B$30,'Cash Flows'!$D11,0)</f>
        <v>0</v>
      </c>
      <c r="F47" s="95">
        <f>IF($F$19&lt;=Sensitivitätsanalyse!$B$30,'Cash Flows'!$D11,0)</f>
        <v>0</v>
      </c>
      <c r="G47" s="95">
        <f>IF($G$19&lt;=Sensitivitätsanalyse!$B$30,'Cash Flows'!$D11,0)</f>
        <v>0</v>
      </c>
      <c r="H47" s="95">
        <f>IF($H$19&lt;=Sensitivitätsanalyse!$B$30,'Cash Flows'!$D11,0)</f>
        <v>0</v>
      </c>
      <c r="I47" s="95">
        <f>IF($I$19&lt;=Sensitivitätsanalyse!$B$30,'Cash Flows'!$D11,0)</f>
        <v>0</v>
      </c>
      <c r="J47" s="95">
        <f>IF($J$19&lt;=Sensitivitätsanalyse!$B$30,'Cash Flows'!$D11,0)</f>
        <v>0</v>
      </c>
      <c r="K47" s="95">
        <f>IF($K$19&lt;=Sensitivitätsanalyse!$B$30,'Cash Flows'!$D11,0)</f>
        <v>0</v>
      </c>
      <c r="L47" s="95">
        <f>IF($L$19&lt;=Sensitivitätsanalyse!$B$30,'Cash Flows'!$D11,0)</f>
        <v>0</v>
      </c>
      <c r="Q47" s="310" t="s">
        <v>0</v>
      </c>
      <c r="V47" s="4"/>
      <c r="W47" s="4"/>
      <c r="X47" s="4"/>
      <c r="Y47" s="252"/>
      <c r="Z47" s="252"/>
      <c r="AA47" s="4"/>
    </row>
    <row r="48" spans="1:27" ht="15" customHeight="1">
      <c r="A48" s="95">
        <f ca="1">-PV(Sensitivitätsanalyse!$B$69,Sensitivitätsanalyse!$B$30,'Cash Flows'!D12,0,1)</f>
        <v>1498.7757203253518</v>
      </c>
      <c r="B48" s="99" t="s">
        <v>705</v>
      </c>
      <c r="C48" s="95">
        <f t="array" ref="C48">INDEX('NR Kraftstoffpreisprognosen'!$A$1:$BC$59,MATCH('Cash Flows'!C$20,'NR Kraftstoffpreisprognosen'!$A:$A,0),MATCH($B$48&amp;$Q48,'NR Kraftstoffpreisprognosen'!$1:$1&amp;'NR Kraftstoffpreisprognosen'!$2:$2,0))</f>
        <v>251.59238486218229</v>
      </c>
      <c r="D48" s="95">
        <f t="array" ref="D48">INDEX('NR Kraftstoffpreisprognosen'!$A$1:$BC$59,MATCH('Cash Flows'!D$20,'NR Kraftstoffpreisprognosen'!$A:$A,0),MATCH($B$48&amp;$Q48,'NR Kraftstoffpreisprognosen'!$1:$1&amp;'NR Kraftstoffpreisprognosen'!$2:$2,0))</f>
        <v>250.7949286081072</v>
      </c>
      <c r="E48" s="95">
        <f t="array" ref="E48">INDEX('NR Kraftstoffpreisprognosen'!$A$1:$BC$59,MATCH('Cash Flows'!E$20,'NR Kraftstoffpreisprognosen'!$A:$A,0),MATCH($B$48&amp;$Q48,'NR Kraftstoffpreisprognosen'!$1:$1&amp;'NR Kraftstoffpreisprognosen'!$2:$2,0))</f>
        <v>250</v>
      </c>
      <c r="F48" s="95">
        <f t="array" ref="F48">INDEX('NR Kraftstoffpreisprognosen'!$A$1:$BC$59,MATCH('Cash Flows'!F$20,'NR Kraftstoffpreisprognosen'!$A:$A,0),MATCH($B$48&amp;$Q48,'NR Kraftstoffpreisprognosen'!$1:$1&amp;'NR Kraftstoffpreisprognosen'!$2:$2,0))</f>
        <v>249.39709908821365</v>
      </c>
      <c r="G48" s="95">
        <f t="array" ref="G48">INDEX('NR Kraftstoffpreisprognosen'!$A$1:$BC$59,MATCH('Cash Flows'!G$20,'NR Kraftstoffpreisprognosen'!$A:$A,0),MATCH($B$48&amp;$Q48,'NR Kraftstoffpreisprognosen'!$1:$1&amp;'NR Kraftstoffpreisprognosen'!$2:$2,0))</f>
        <v>248.79565213446503</v>
      </c>
      <c r="H48" s="95">
        <f t="array" ref="H48">INDEX('NR Kraftstoffpreisprognosen'!$A$1:$BC$59,MATCH('Cash Flows'!H$20,'NR Kraftstoffpreisprognosen'!$A:$A,0),MATCH($B$48&amp;$Q48,'NR Kraftstoffpreisprognosen'!$1:$1&amp;'NR Kraftstoffpreisprognosen'!$2:$2,0))</f>
        <v>248.19565563238362</v>
      </c>
      <c r="I48" s="95">
        <f t="array" ref="I48">INDEX('NR Kraftstoffpreisprognosen'!$A$1:$BC$59,MATCH('Cash Flows'!I$20,'NR Kraftstoffpreisprognosen'!$A:$A,0),MATCH($B$48&amp;$Q48,'NR Kraftstoffpreisprognosen'!$1:$1&amp;'NR Kraftstoffpreisprognosen'!$2:$2,0))</f>
        <v>0</v>
      </c>
      <c r="J48" s="95">
        <f t="array" ref="J48">INDEX('NR Kraftstoffpreisprognosen'!$A$1:$BC$59,MATCH('Cash Flows'!J$20,'NR Kraftstoffpreisprognosen'!$A:$A,0),MATCH($B$48&amp;$Q48,'NR Kraftstoffpreisprognosen'!$1:$1&amp;'NR Kraftstoffpreisprognosen'!$2:$2,0))</f>
        <v>0</v>
      </c>
      <c r="K48" s="95">
        <f t="array" ref="K48">INDEX('NR Kraftstoffpreisprognosen'!$A$1:$BC$59,MATCH('Cash Flows'!K$20,'NR Kraftstoffpreisprognosen'!$A:$A,0),MATCH($B$48&amp;$Q48,'NR Kraftstoffpreisprognosen'!$1:$1&amp;'NR Kraftstoffpreisprognosen'!$2:$2,0))</f>
        <v>0</v>
      </c>
      <c r="L48" s="95">
        <f t="array" ref="L48">INDEX('NR Kraftstoffpreisprognosen'!$A$1:$BC$59,MATCH('Cash Flows'!L$20,'NR Kraftstoffpreisprognosen'!$A:$A,0),MATCH($B$48&amp;$Q48,'NR Kraftstoffpreisprognosen'!$1:$1&amp;'NR Kraftstoffpreisprognosen'!$2:$2,0))</f>
        <v>0</v>
      </c>
      <c r="M48" s="95">
        <f t="array" ref="M48">INDEX('NR Kraftstoffpreisprognosen'!$A$1:$BC$59,MATCH('Cash Flows'!M$20,'NR Kraftstoffpreisprognosen'!$A:$A,0),MATCH($B$48&amp;$Q48,'NR Kraftstoffpreisprognosen'!$1:$1&amp;'NR Kraftstoffpreisprognosen'!$2:$2,0))</f>
        <v>0</v>
      </c>
      <c r="N48" s="95">
        <f t="array" ref="N48">INDEX('NR Kraftstoffpreisprognosen'!$A$1:$BC$59,MATCH('Cash Flows'!N$20,'NR Kraftstoffpreisprognosen'!$A:$A,0),MATCH($B$48&amp;$Q48,'NR Kraftstoffpreisprognosen'!$1:$1&amp;'NR Kraftstoffpreisprognosen'!$2:$2,0))</f>
        <v>0</v>
      </c>
      <c r="O48" s="95">
        <f t="array" ref="O48">INDEX('NR Kraftstoffpreisprognosen'!$A$1:$BC$59,MATCH('Cash Flows'!O$20,'NR Kraftstoffpreisprognosen'!$A:$A,0),MATCH($B$48&amp;$Q48,'NR Kraftstoffpreisprognosen'!$1:$1&amp;'NR Kraftstoffpreisprognosen'!$2:$2,0))</f>
        <v>0</v>
      </c>
      <c r="P48" s="95">
        <f t="array" ref="P48">INDEX('NR Kraftstoffpreisprognosen'!$A$1:$BC$59,MATCH('Cash Flows'!P$20,'NR Kraftstoffpreisprognosen'!$A:$A,0),MATCH($B$48&amp;$Q48,'NR Kraftstoffpreisprognosen'!$1:$1&amp;'NR Kraftstoffpreisprognosen'!$2:$2,0))</f>
        <v>0</v>
      </c>
      <c r="Q48" s="310" t="s">
        <v>0</v>
      </c>
      <c r="V48" s="4"/>
      <c r="W48" s="4"/>
      <c r="X48" s="4"/>
      <c r="Y48" s="252"/>
      <c r="Z48" s="252"/>
      <c r="AA48" s="4"/>
    </row>
    <row r="49" spans="1:26" ht="15" customHeight="1">
      <c r="A49" s="95">
        <f>-PV(Sensitivitätsanalyse!$B$69,Sensitivitätsanalyse!$B$30,'Cash Flows'!D13,0,1)</f>
        <v>6444.12</v>
      </c>
      <c r="B49" s="99" t="s">
        <v>706</v>
      </c>
      <c r="C49" s="95">
        <f>IF(C$19&lt;=Sensitivitätsanalyse!$B$30,'Cash Flows'!$D13,0)</f>
        <v>1074.02</v>
      </c>
      <c r="D49" s="95">
        <f>IF(D$19&lt;=Sensitivitätsanalyse!$B$30,'Cash Flows'!$D13,0)</f>
        <v>1074.02</v>
      </c>
      <c r="E49" s="95">
        <f>IF(E$19&lt;=Sensitivitätsanalyse!$B$30,'Cash Flows'!$D13,0)</f>
        <v>1074.02</v>
      </c>
      <c r="F49" s="95">
        <f>IF(F$19&lt;=Sensitivitätsanalyse!$B$30,'Cash Flows'!$D13,0)</f>
        <v>1074.02</v>
      </c>
      <c r="G49" s="95">
        <f>IF(G$19&lt;=Sensitivitätsanalyse!$B$30,'Cash Flows'!$D13,0)</f>
        <v>1074.02</v>
      </c>
      <c r="H49" s="95">
        <f>IF(H$19&lt;=Sensitivitätsanalyse!$B$30,'Cash Flows'!$D13,0)</f>
        <v>1074.02</v>
      </c>
      <c r="I49" s="95">
        <f>IF(I$19&lt;=Sensitivitätsanalyse!$B$30,'Cash Flows'!$D13,0)</f>
        <v>0</v>
      </c>
      <c r="J49" s="95">
        <f>IF(J$19&lt;=Sensitivitätsanalyse!$B$30,'Cash Flows'!$D13,0)</f>
        <v>0</v>
      </c>
      <c r="K49" s="95">
        <f>IF(K$19&lt;=Sensitivitätsanalyse!$B$30,'Cash Flows'!$D13,0)</f>
        <v>0</v>
      </c>
      <c r="L49" s="95">
        <f>IF(L$19&lt;=Sensitivitätsanalyse!$B$30,'Cash Flows'!$D13,0)</f>
        <v>0</v>
      </c>
      <c r="M49" s="95">
        <f>IF(M$19&lt;=Sensitivitätsanalyse!$B$30,'Cash Flows'!$D13,0)</f>
        <v>0</v>
      </c>
      <c r="N49" s="95">
        <f>IF(N$19&lt;=Sensitivitätsanalyse!$B$30,'Cash Flows'!$D13,0)</f>
        <v>0</v>
      </c>
      <c r="O49" s="95">
        <f>IF(O$19&lt;=Sensitivitätsanalyse!$B$30,'Cash Flows'!$D13,0)</f>
        <v>0</v>
      </c>
      <c r="P49" s="95">
        <f>IF(P$19&lt;=Sensitivitätsanalyse!$B$30,'Cash Flows'!$D13,0)</f>
        <v>0</v>
      </c>
      <c r="Q49" s="310" t="s">
        <v>0</v>
      </c>
      <c r="V49" s="4"/>
      <c r="W49" s="4"/>
      <c r="X49" s="4"/>
      <c r="Y49" s="4"/>
      <c r="Z49" s="4"/>
    </row>
    <row r="50" spans="1:26" ht="15" customHeight="1">
      <c r="A50" s="95">
        <f>-PV(Sensitivitätsanalyse!$B$69,Sensitivitätsanalyse!$B$30,'Cash Flows'!D14,0,1)</f>
        <v>0</v>
      </c>
      <c r="B50" s="99" t="s">
        <v>707</v>
      </c>
      <c r="C50" s="95">
        <f>IF($C$19&lt;=Sensitivitätsanalyse!$B$30,'Cash Flows'!$D14,0)</f>
        <v>0</v>
      </c>
      <c r="D50" s="95">
        <f>IF($D$19&lt;=Sensitivitätsanalyse!$B$30,'Cash Flows'!$D14,0)</f>
        <v>0</v>
      </c>
      <c r="E50" s="95">
        <f>IF($E$19&lt;=Sensitivitätsanalyse!$B$30,'Cash Flows'!$D14,0)</f>
        <v>0</v>
      </c>
      <c r="F50" s="95">
        <f>IF($F$19&lt;=Sensitivitätsanalyse!$B$30,'Cash Flows'!$D14,0)</f>
        <v>0</v>
      </c>
      <c r="G50" s="95">
        <f>IF($G$19&lt;=Sensitivitätsanalyse!$B$30,'Cash Flows'!$D14,0)</f>
        <v>0</v>
      </c>
      <c r="H50" s="95">
        <f>IF($H$19&lt;=Sensitivitätsanalyse!$B$30,'Cash Flows'!$D14,0)</f>
        <v>0</v>
      </c>
      <c r="I50" s="95">
        <f>IF($I$19&lt;=Sensitivitätsanalyse!$B$30,'Cash Flows'!$D14,0)</f>
        <v>0</v>
      </c>
      <c r="J50" s="95">
        <f>IF($J$19&lt;=Sensitivitätsanalyse!$B$30,'Cash Flows'!$D14,0)</f>
        <v>0</v>
      </c>
      <c r="K50" s="95">
        <f>IF($K$19&lt;=Sensitivitätsanalyse!$B$30,'Cash Flows'!$D14,0)</f>
        <v>0</v>
      </c>
      <c r="L50" s="95">
        <f>IF($L$19&lt;=Sensitivitätsanalyse!$B$30,'Cash Flows'!$D14,0)</f>
        <v>0</v>
      </c>
      <c r="M50" s="95">
        <f>IF($L$19&lt;=Sensitivitätsanalyse!$B$30,'Cash Flows'!$D14,0)</f>
        <v>0</v>
      </c>
      <c r="N50" s="95">
        <f>IF($L$19&lt;=Sensitivitätsanalyse!$B$30,'Cash Flows'!$D14,0)</f>
        <v>0</v>
      </c>
      <c r="O50" s="95">
        <f>IF($L$19&lt;=Sensitivitätsanalyse!$B$30,'Cash Flows'!$D14,0)</f>
        <v>0</v>
      </c>
      <c r="P50" s="95">
        <f>IF($L$19&lt;=Sensitivitätsanalyse!$B$30,'Cash Flows'!$D14,0)</f>
        <v>0</v>
      </c>
      <c r="Q50" s="310" t="s">
        <v>0</v>
      </c>
      <c r="V50" s="4"/>
      <c r="W50" s="4"/>
      <c r="X50" s="4"/>
      <c r="Y50" s="4"/>
    </row>
    <row r="51" spans="1:26" ht="15" customHeight="1">
      <c r="A51" s="95">
        <f>-PV(Sensitivitätsanalyse!$B$69,Sensitivitätsanalyse!$B$30,'Cash Flows'!D15,0,1)</f>
        <v>0</v>
      </c>
      <c r="B51" s="99" t="s">
        <v>712</v>
      </c>
      <c r="C51" s="95">
        <f>IF($C$19&lt;=Sensitivitätsanalyse!$B$30,'Cash Flows'!$D15,0)</f>
        <v>0</v>
      </c>
      <c r="D51" s="95">
        <f>IF($D$19&lt;=Sensitivitätsanalyse!$B$30,'Cash Flows'!$D15,0)</f>
        <v>0</v>
      </c>
      <c r="E51" s="95">
        <f>IF($E$19&lt;=Sensitivitätsanalyse!$B$30,'Cash Flows'!$D15,0)</f>
        <v>0</v>
      </c>
      <c r="F51" s="95">
        <f>IF($F$19&lt;=Sensitivitätsanalyse!$B$30,'Cash Flows'!$D15,0)</f>
        <v>0</v>
      </c>
      <c r="G51" s="95">
        <f>IF($G$19&lt;=Sensitivitätsanalyse!$B$30,'Cash Flows'!$D15,0)</f>
        <v>0</v>
      </c>
      <c r="H51" s="95">
        <f>IF($H$19&lt;=Sensitivitätsanalyse!$B$30,'Cash Flows'!$D15,0)</f>
        <v>0</v>
      </c>
      <c r="I51" s="95">
        <f>IF($I$19&lt;=Sensitivitätsanalyse!$B$30,'Cash Flows'!$D15,0)</f>
        <v>0</v>
      </c>
      <c r="J51" s="95">
        <f>IF($J$19&lt;=Sensitivitätsanalyse!$B$30,'Cash Flows'!$D15,0)</f>
        <v>0</v>
      </c>
      <c r="K51" s="95">
        <f>IF($K$19&lt;=Sensitivitätsanalyse!$B$30,'Cash Flows'!$D15,0)</f>
        <v>0</v>
      </c>
      <c r="L51" s="95">
        <f>IF($L$19&lt;=Sensitivitätsanalyse!$B$30,'Cash Flows'!$D15,0)</f>
        <v>0</v>
      </c>
      <c r="Q51" s="310" t="s">
        <v>0</v>
      </c>
      <c r="V51" s="4"/>
      <c r="W51" s="4"/>
      <c r="X51" s="4"/>
      <c r="Y51" s="4"/>
    </row>
    <row r="52" spans="1:26" ht="15" customHeight="1">
      <c r="A52" s="95">
        <f>SUM(C53:P53)</f>
        <v>-8884.2099623784015</v>
      </c>
      <c r="B52" s="99" t="s">
        <v>710</v>
      </c>
      <c r="C52" s="95">
        <f>-IF(C$41=Sensitivitätsanalyse!$B$30,'Cash Flows'!$D$6,0)</f>
        <v>0</v>
      </c>
      <c r="D52" s="95">
        <f>-IF(D$41=Sensitivitätsanalyse!$B$30,'Cash Flows'!$D$6,0)</f>
        <v>0</v>
      </c>
      <c r="E52" s="95">
        <f>-IF(E$41=Sensitivitätsanalyse!$B$30,'Cash Flows'!$D$6,0)</f>
        <v>0</v>
      </c>
      <c r="F52" s="95">
        <f>-IF(F$41=Sensitivitätsanalyse!$B$30,'Cash Flows'!$D$6,0)</f>
        <v>0</v>
      </c>
      <c r="G52" s="95">
        <f>-IF(G$41=Sensitivitätsanalyse!$B$30,'Cash Flows'!$D$6,0)</f>
        <v>0</v>
      </c>
      <c r="H52" s="95">
        <f>-IF(H$41=Sensitivitätsanalyse!$B$30,'Cash Flows'!$D$6,0)</f>
        <v>-8884.2099623784015</v>
      </c>
      <c r="I52" s="95">
        <f>-IF(I$41=Sensitivitätsanalyse!$B$30,'Cash Flows'!$D$6,0)</f>
        <v>0</v>
      </c>
      <c r="J52" s="95">
        <f>-IF(J$41=Sensitivitätsanalyse!$B$30,'Cash Flows'!$D$6,0)</f>
        <v>0</v>
      </c>
      <c r="K52" s="95">
        <f>-IF(K$41=Sensitivitätsanalyse!$B$30,'Cash Flows'!$D$6,0)</f>
        <v>0</v>
      </c>
      <c r="L52" s="95">
        <f>-IF(L$41=Sensitivitätsanalyse!$B$30,'Cash Flows'!$D$6,0)</f>
        <v>0</v>
      </c>
      <c r="M52" s="95">
        <f>-IF(M$41=Sensitivitätsanalyse!$B$30,'Cash Flows'!$D$6,0)</f>
        <v>0</v>
      </c>
      <c r="N52" s="95">
        <f>-IF(N$41=Sensitivitätsanalyse!$B$30,'Cash Flows'!$D$6,0)</f>
        <v>0</v>
      </c>
      <c r="O52" s="95">
        <f>-IF(O$41=Sensitivitätsanalyse!$B$30,'Cash Flows'!$D$6,0)</f>
        <v>0</v>
      </c>
      <c r="P52" s="95">
        <f>-IF(P$41=Sensitivitätsanalyse!$B$30,'Cash Flows'!$D$6,0)</f>
        <v>0</v>
      </c>
      <c r="Q52" s="310" t="s">
        <v>0</v>
      </c>
      <c r="V52" s="4"/>
      <c r="W52" s="4"/>
    </row>
    <row r="53" spans="1:26" ht="15" customHeight="1">
      <c r="A53" s="116"/>
      <c r="B53" s="99" t="s">
        <v>713</v>
      </c>
      <c r="C53" s="116">
        <f>C52/C40</f>
        <v>0</v>
      </c>
      <c r="D53" s="116">
        <f t="shared" ref="D53:L53" si="7">D52/D40</f>
        <v>0</v>
      </c>
      <c r="E53" s="116">
        <f t="shared" si="7"/>
        <v>0</v>
      </c>
      <c r="F53" s="116">
        <f t="shared" si="7"/>
        <v>0</v>
      </c>
      <c r="G53" s="116">
        <f t="shared" si="7"/>
        <v>0</v>
      </c>
      <c r="H53" s="116">
        <f t="shared" si="7"/>
        <v>-8884.2099623784015</v>
      </c>
      <c r="I53" s="116">
        <f t="shared" si="7"/>
        <v>0</v>
      </c>
      <c r="J53" s="116">
        <f t="shared" si="7"/>
        <v>0</v>
      </c>
      <c r="K53" s="116">
        <f t="shared" si="7"/>
        <v>0</v>
      </c>
      <c r="L53" s="116">
        <f t="shared" si="7"/>
        <v>0</v>
      </c>
      <c r="Q53" s="310" t="s">
        <v>0</v>
      </c>
      <c r="V53" s="4"/>
      <c r="W53" s="4"/>
    </row>
    <row r="54" spans="1:26" ht="15" customHeight="1">
      <c r="A54" s="95">
        <f>SUM(C54:L54)</f>
        <v>44364.900118064652</v>
      </c>
      <c r="B54" s="99" t="s">
        <v>450</v>
      </c>
      <c r="C54" s="95">
        <f>SUBTOTAL(9,C42:C52)</f>
        <v>38394.737292302489</v>
      </c>
      <c r="D54" s="95">
        <f>SUBTOTAL(9,D42:D52)</f>
        <v>2962.3060150313058</v>
      </c>
      <c r="E54" s="95">
        <f t="shared" ref="E54:P54" si="8">SUBTOTAL(9,E42:E52)</f>
        <v>2966.7611007559212</v>
      </c>
      <c r="F54" s="95">
        <f t="shared" si="8"/>
        <v>2971.0678802976217</v>
      </c>
      <c r="G54" s="95">
        <f t="shared" si="8"/>
        <v>2975.1527627028104</v>
      </c>
      <c r="H54" s="95">
        <f t="shared" si="8"/>
        <v>-5905.1249330254996</v>
      </c>
      <c r="I54" s="95">
        <f t="shared" si="8"/>
        <v>0</v>
      </c>
      <c r="J54" s="95">
        <f t="shared" si="8"/>
        <v>0</v>
      </c>
      <c r="K54" s="95">
        <f t="shared" si="8"/>
        <v>0</v>
      </c>
      <c r="L54" s="95">
        <f t="shared" si="8"/>
        <v>0</v>
      </c>
      <c r="M54" s="95">
        <f t="shared" si="8"/>
        <v>0</v>
      </c>
      <c r="N54" s="95">
        <f t="shared" si="8"/>
        <v>0</v>
      </c>
      <c r="O54" s="95">
        <f t="shared" si="8"/>
        <v>0</v>
      </c>
      <c r="P54" s="95">
        <f t="shared" si="8"/>
        <v>0</v>
      </c>
      <c r="Q54" s="310" t="s">
        <v>0</v>
      </c>
      <c r="V54" s="4"/>
      <c r="W54" s="4"/>
    </row>
    <row r="55" spans="1:26" ht="15" customHeight="1" thickBot="1">
      <c r="A55" s="97">
        <f>SUM(C55:P55)</f>
        <v>44364.900118064652</v>
      </c>
      <c r="B55" s="96" t="s">
        <v>455</v>
      </c>
      <c r="C55" s="97">
        <f>C54/C40</f>
        <v>38394.737292302489</v>
      </c>
      <c r="D55" s="97">
        <f t="shared" ref="D55:J55" si="9">D54/D40</f>
        <v>2962.3060150313058</v>
      </c>
      <c r="E55" s="97">
        <f t="shared" si="9"/>
        <v>2966.7611007559212</v>
      </c>
      <c r="F55" s="97">
        <f t="shared" si="9"/>
        <v>2971.0678802976217</v>
      </c>
      <c r="G55" s="97">
        <f t="shared" si="9"/>
        <v>2975.1527627028104</v>
      </c>
      <c r="H55" s="97">
        <f t="shared" si="9"/>
        <v>-5905.1249330254996</v>
      </c>
      <c r="I55" s="97">
        <f t="shared" si="9"/>
        <v>0</v>
      </c>
      <c r="J55" s="97">
        <f t="shared" si="9"/>
        <v>0</v>
      </c>
      <c r="K55" s="97">
        <f t="shared" ref="K55:P55" si="10">K54/K40</f>
        <v>0</v>
      </c>
      <c r="L55" s="97">
        <f t="shared" si="10"/>
        <v>0</v>
      </c>
      <c r="M55" s="97">
        <f t="shared" si="10"/>
        <v>0</v>
      </c>
      <c r="N55" s="97">
        <f t="shared" si="10"/>
        <v>0</v>
      </c>
      <c r="O55" s="97">
        <f t="shared" si="10"/>
        <v>0</v>
      </c>
      <c r="P55" s="97">
        <f t="shared" si="10"/>
        <v>0</v>
      </c>
      <c r="Q55" s="310" t="s">
        <v>0</v>
      </c>
      <c r="V55" s="4"/>
      <c r="W55" s="4"/>
    </row>
    <row r="56" spans="1:26" ht="15" customHeight="1" thickTop="1">
      <c r="A56" s="123">
        <f>-PMT(Sensitivitätsanalyse!$B$69,Sensitivitätsanalyse!$B$30,A55,0,1)</f>
        <v>7394.1500196774423</v>
      </c>
      <c r="B56" s="122" t="s">
        <v>449</v>
      </c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Q56" s="310" t="s">
        <v>0</v>
      </c>
    </row>
    <row r="61" spans="1:26" ht="15" customHeight="1">
      <c r="A61" t="s">
        <v>0</v>
      </c>
      <c r="B61" s="99" t="s">
        <v>353</v>
      </c>
      <c r="C61" t="str">
        <f>A61&amp;" "&amp;B61</f>
        <v>BEV Upfront Cost</v>
      </c>
      <c r="D61" t="s">
        <v>476</v>
      </c>
    </row>
    <row r="62" spans="1:26" ht="15" customHeight="1">
      <c r="A62" t="s">
        <v>0</v>
      </c>
      <c r="B62" s="99" t="s">
        <v>253</v>
      </c>
      <c r="C62" t="str">
        <f t="shared" ref="C62:C71" si="11">A62&amp;" "&amp;B62</f>
        <v>BEV Battery leasing</v>
      </c>
      <c r="D62" t="s">
        <v>477</v>
      </c>
    </row>
    <row r="63" spans="1:26" ht="15" customHeight="1">
      <c r="A63" t="s">
        <v>0</v>
      </c>
      <c r="B63" s="99" t="s">
        <v>412</v>
      </c>
      <c r="C63" t="str">
        <f t="shared" si="11"/>
        <v>BEV Interest</v>
      </c>
      <c r="D63" t="s">
        <v>478</v>
      </c>
    </row>
    <row r="64" spans="1:26" ht="15" customHeight="1">
      <c r="A64" t="s">
        <v>0</v>
      </c>
      <c r="B64" s="99" t="s">
        <v>28</v>
      </c>
      <c r="C64" t="str">
        <f t="shared" si="11"/>
        <v>BEV Cost of Fuel</v>
      </c>
      <c r="D64" t="s">
        <v>479</v>
      </c>
    </row>
    <row r="65" spans="1:4" ht="15" customHeight="1">
      <c r="A65" t="s">
        <v>0</v>
      </c>
      <c r="B65" s="99" t="s">
        <v>29</v>
      </c>
      <c r="C65" t="str">
        <f t="shared" si="11"/>
        <v>BEV Cost of Electricity</v>
      </c>
      <c r="D65" t="s">
        <v>480</v>
      </c>
    </row>
    <row r="66" spans="1:4" ht="15" customHeight="1">
      <c r="A66" t="s">
        <v>0</v>
      </c>
      <c r="B66" s="99" t="s">
        <v>387</v>
      </c>
      <c r="C66" t="str">
        <f t="shared" si="11"/>
        <v>BEV Vehicle tax</v>
      </c>
      <c r="D66" t="s">
        <v>481</v>
      </c>
    </row>
    <row r="67" spans="1:4" ht="15" customHeight="1">
      <c r="A67" t="s">
        <v>0</v>
      </c>
      <c r="B67" s="99" t="s">
        <v>159</v>
      </c>
      <c r="C67" t="str">
        <f t="shared" si="11"/>
        <v>BEV Maintenance</v>
      </c>
      <c r="D67" t="s">
        <v>482</v>
      </c>
    </row>
    <row r="68" spans="1:4" ht="15" customHeight="1">
      <c r="A68" t="s">
        <v>0</v>
      </c>
      <c r="B68" s="99" t="s">
        <v>388</v>
      </c>
      <c r="C68" t="str">
        <f t="shared" si="11"/>
        <v>BEV Insurance</v>
      </c>
      <c r="D68" t="s">
        <v>483</v>
      </c>
    </row>
    <row r="69" spans="1:4" ht="15" customHeight="1">
      <c r="A69" t="s">
        <v>0</v>
      </c>
      <c r="B69" s="99" t="s">
        <v>445</v>
      </c>
      <c r="C69" t="str">
        <f t="shared" si="11"/>
        <v>BEV Parking</v>
      </c>
      <c r="D69" t="s">
        <v>484</v>
      </c>
    </row>
    <row r="70" spans="1:4" ht="15" customHeight="1">
      <c r="A70" t="s">
        <v>0</v>
      </c>
      <c r="B70" s="99" t="s">
        <v>446</v>
      </c>
      <c r="C70" t="str">
        <f t="shared" si="11"/>
        <v>BEV Congestion pricing</v>
      </c>
      <c r="D70" t="s">
        <v>485</v>
      </c>
    </row>
    <row r="71" spans="1:4" ht="15" customHeight="1">
      <c r="A71" t="s">
        <v>0</v>
      </c>
      <c r="B71" s="99" t="s">
        <v>31</v>
      </c>
      <c r="C71" t="str">
        <f t="shared" si="11"/>
        <v>BEV Residual value</v>
      </c>
      <c r="D71" t="s">
        <v>486</v>
      </c>
    </row>
  </sheetData>
  <mergeCells count="3">
    <mergeCell ref="A2:C2"/>
    <mergeCell ref="Q18:S18"/>
    <mergeCell ref="Q38:S38"/>
  </mergeCells>
  <conditionalFormatting sqref="A4:D15">
    <cfRule type="cellIs" dxfId="8" priority="1" operator="equal">
      <formula>0</formula>
    </cfRule>
  </conditionalFormatting>
  <pageMargins left="0.7" right="0.7" top="0.78740157499999996" bottom="0.78740157499999996" header="0.3" footer="0.3"/>
  <pageSetup paperSize="9" orientation="portrait" verticalDpi="0" r:id="rId1"/>
  <drawing r:id="rId2"/>
  <tableParts count="2"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77"/>
  <sheetViews>
    <sheetView topLeftCell="A19" workbookViewId="0">
      <selection activeCell="L43" sqref="L43"/>
    </sheetView>
  </sheetViews>
  <sheetFormatPr baseColWidth="10" defaultColWidth="11.5" defaultRowHeight="15" outlineLevelCol="1"/>
  <cols>
    <col min="1" max="1" width="2" style="142" bestFit="1" customWidth="1"/>
    <col min="2" max="2" width="18" style="142" bestFit="1" customWidth="1"/>
    <col min="3" max="3" width="35.5" style="142" bestFit="1" customWidth="1"/>
    <col min="4" max="4" width="9" style="142" bestFit="1" customWidth="1"/>
    <col min="5" max="5" width="12" style="142" customWidth="1" outlineLevel="1"/>
    <col min="6" max="6" width="12" style="142" bestFit="1" customWidth="1"/>
    <col min="7" max="7" width="11" style="142" customWidth="1" outlineLevel="1"/>
    <col min="8" max="8" width="11" style="142" bestFit="1" customWidth="1"/>
    <col min="9" max="9" width="5.5" style="142" bestFit="1" customWidth="1"/>
    <col min="10" max="10" width="11.5" style="142"/>
    <col min="11" max="11" width="11" style="142" bestFit="1" customWidth="1"/>
    <col min="12" max="12" width="27.1640625" style="142" bestFit="1" customWidth="1"/>
    <col min="13" max="13" width="23.1640625" style="142" bestFit="1" customWidth="1"/>
    <col min="14" max="14" width="9.5" style="142" bestFit="1" customWidth="1"/>
    <col min="15" max="16384" width="11.5" style="142"/>
  </cols>
  <sheetData>
    <row r="1" spans="1:15">
      <c r="A1" s="628" t="s">
        <v>730</v>
      </c>
      <c r="B1" s="629"/>
      <c r="C1" s="629"/>
      <c r="D1" s="629"/>
      <c r="E1" s="629"/>
      <c r="F1" s="629"/>
      <c r="G1" s="629"/>
      <c r="H1" s="629"/>
      <c r="I1" s="629"/>
      <c r="J1" s="629"/>
    </row>
    <row r="2" spans="1:15">
      <c r="F2" s="149" t="s">
        <v>1</v>
      </c>
      <c r="G2" s="150"/>
      <c r="H2" s="150" t="s">
        <v>0</v>
      </c>
      <c r="I2" s="316"/>
      <c r="J2" s="150" t="s">
        <v>732</v>
      </c>
      <c r="N2" s="142" t="s">
        <v>1</v>
      </c>
      <c r="O2" s="142" t="s">
        <v>0</v>
      </c>
    </row>
    <row r="3" spans="1:15">
      <c r="A3" s="147" t="s">
        <v>447</v>
      </c>
      <c r="B3" s="625" t="s">
        <v>421</v>
      </c>
      <c r="C3" s="265" t="s">
        <v>453</v>
      </c>
      <c r="D3" s="254" t="s">
        <v>13</v>
      </c>
      <c r="E3" s="255">
        <f>'Cash Flows'!$A$35</f>
        <v>31906.689010341874</v>
      </c>
      <c r="F3" s="255">
        <f>'Cash Flows'!$A$35</f>
        <v>31906.689010341874</v>
      </c>
      <c r="G3" s="255">
        <f>'Cash Flows'!$A$55</f>
        <v>44364.900118064652</v>
      </c>
      <c r="H3" s="255">
        <f>'Cash Flows'!$A$55</f>
        <v>44364.900118064652</v>
      </c>
      <c r="I3" s="316">
        <f>H3/F3-1</f>
        <v>0.39045765932293119</v>
      </c>
      <c r="J3" s="255">
        <f>H3-F3</f>
        <v>12458.211107722778</v>
      </c>
      <c r="K3" s="454">
        <f>J3/6</f>
        <v>2076.3685179537965</v>
      </c>
      <c r="L3" s="142" t="s">
        <v>421</v>
      </c>
      <c r="M3" s="142" t="s">
        <v>13</v>
      </c>
      <c r="N3" s="194">
        <f>F3</f>
        <v>31906.689010341874</v>
      </c>
      <c r="O3" s="194">
        <f>H3</f>
        <v>44364.900118064652</v>
      </c>
    </row>
    <row r="4" spans="1:15">
      <c r="A4" s="147" t="s">
        <v>447</v>
      </c>
      <c r="B4" s="626"/>
      <c r="C4" s="312" t="s">
        <v>731</v>
      </c>
      <c r="D4" s="254" t="s">
        <v>20</v>
      </c>
      <c r="E4" s="255">
        <f>$E$3/Sensitivitätsanalyse!$B$30</f>
        <v>5317.7815017236453</v>
      </c>
      <c r="F4" s="255">
        <f>$E$3/Sensitivitätsanalyse!$B$30</f>
        <v>5317.7815017236453</v>
      </c>
      <c r="G4" s="255">
        <f>$G$3/Sensitivitätsanalyse!$B$30</f>
        <v>7394.1500196774423</v>
      </c>
      <c r="H4" s="255">
        <f>$G$3/Sensitivitätsanalyse!$B$30</f>
        <v>7394.1500196774423</v>
      </c>
      <c r="I4" s="316">
        <f>H4/F4</f>
        <v>1.3904576593229312</v>
      </c>
      <c r="J4" s="255">
        <f>H4-F4</f>
        <v>2076.368517953797</v>
      </c>
      <c r="L4" s="142" t="s">
        <v>750</v>
      </c>
      <c r="M4" s="142" t="s">
        <v>749</v>
      </c>
      <c r="N4" s="194">
        <f>F4</f>
        <v>5317.7815017236453</v>
      </c>
      <c r="O4" s="194">
        <f>H4</f>
        <v>7394.1500196774423</v>
      </c>
    </row>
    <row r="5" spans="1:15">
      <c r="A5" s="147" t="s">
        <v>447</v>
      </c>
      <c r="B5" s="627"/>
      <c r="C5" s="256" t="s">
        <v>452</v>
      </c>
      <c r="D5" s="257" t="s">
        <v>20</v>
      </c>
      <c r="E5" s="324">
        <f>'Cash Flows'!$A$36</f>
        <v>5317.7815017236453</v>
      </c>
      <c r="F5" s="324">
        <f>'Cash Flows'!$A$36</f>
        <v>5317.7815017236453</v>
      </c>
      <c r="G5" s="324">
        <f>'Cash Flows'!$A$56</f>
        <v>7394.1500196774423</v>
      </c>
      <c r="H5" s="324">
        <f>'Cash Flows'!$A$56</f>
        <v>7394.1500196774423</v>
      </c>
      <c r="I5" s="313"/>
      <c r="J5" s="255"/>
    </row>
    <row r="6" spans="1:15">
      <c r="A6" s="147" t="s">
        <v>447</v>
      </c>
      <c r="B6" s="621" t="s">
        <v>82</v>
      </c>
      <c r="C6" s="258" t="s">
        <v>86</v>
      </c>
      <c r="D6" s="258" t="s">
        <v>5</v>
      </c>
      <c r="E6" s="259">
        <f>'NR Fahrzeug&amp;Fahrverhalten'!$C$11</f>
        <v>6.6</v>
      </c>
      <c r="F6" s="259">
        <f>IF($A6="x",E6,0)</f>
        <v>6.6</v>
      </c>
      <c r="G6" s="260">
        <v>0</v>
      </c>
      <c r="H6" s="260">
        <f>IF($A6="x",G6,0)</f>
        <v>0</v>
      </c>
      <c r="I6" s="317"/>
      <c r="J6" s="260"/>
    </row>
    <row r="7" spans="1:15">
      <c r="A7" s="147" t="s">
        <v>447</v>
      </c>
      <c r="B7" s="624"/>
      <c r="C7" s="261" t="s">
        <v>87</v>
      </c>
      <c r="D7" s="261" t="s">
        <v>85</v>
      </c>
      <c r="E7" s="262">
        <v>0</v>
      </c>
      <c r="F7" s="262">
        <f>IF($A7="x",E7,0)</f>
        <v>0</v>
      </c>
      <c r="G7" s="159">
        <f>'NR Fahrzeug&amp;Fahrverhalten'!$D$11</f>
        <v>18.285</v>
      </c>
      <c r="H7" s="159">
        <f>IF($A7="x",G7,0)</f>
        <v>18.285</v>
      </c>
      <c r="I7" s="316"/>
      <c r="J7" s="159"/>
    </row>
    <row r="8" spans="1:15">
      <c r="A8" s="147" t="s">
        <v>447</v>
      </c>
      <c r="B8" s="622"/>
      <c r="C8" s="263" t="s">
        <v>408</v>
      </c>
      <c r="D8" s="263" t="s">
        <v>407</v>
      </c>
      <c r="E8" s="264">
        <f>E6*Umrechnungswerte!$C$14</f>
        <v>211.2</v>
      </c>
      <c r="F8" s="264">
        <f>IF($A8="x",E8,0)</f>
        <v>211.2</v>
      </c>
      <c r="G8" s="264">
        <f>G7*Umrechnungswerte!$C$12</f>
        <v>65.826000000000008</v>
      </c>
      <c r="H8" s="264">
        <f>IF($A8="x",G8,0)</f>
        <v>65.826000000000008</v>
      </c>
      <c r="I8" s="316">
        <f>H8/F8</f>
        <v>0.31167613636363639</v>
      </c>
      <c r="J8" s="328">
        <f>H8-F8</f>
        <v>-145.37399999999997</v>
      </c>
    </row>
    <row r="9" spans="1:15">
      <c r="A9" s="147" t="s">
        <v>447</v>
      </c>
      <c r="B9" s="621" t="s">
        <v>248</v>
      </c>
      <c r="C9" s="265" t="s">
        <v>34</v>
      </c>
      <c r="D9" s="265" t="s">
        <v>7</v>
      </c>
      <c r="E9" s="266">
        <f>'NR Fahrzeug&amp;Fahrverhalten'!$C$16</f>
        <v>15.151515151515152</v>
      </c>
      <c r="F9" s="266">
        <f>IF($A9="x",E9,0)</f>
        <v>15.151515151515152</v>
      </c>
      <c r="G9" s="267"/>
      <c r="H9" s="267">
        <f>IF($A9="x",G9,0)</f>
        <v>0</v>
      </c>
      <c r="I9" s="317"/>
      <c r="J9" s="267"/>
    </row>
    <row r="10" spans="1:15">
      <c r="A10" s="147" t="s">
        <v>447</v>
      </c>
      <c r="B10" s="622"/>
      <c r="C10" s="268" t="s">
        <v>35</v>
      </c>
      <c r="D10" s="268" t="s">
        <v>14</v>
      </c>
      <c r="E10" s="269"/>
      <c r="F10" s="269">
        <f>IF($A10="x",E10,0)</f>
        <v>0</v>
      </c>
      <c r="G10" s="270">
        <f>'NR Fahrzeug&amp;Fahrverhalten'!$D$16</f>
        <v>5.4689636313918513</v>
      </c>
      <c r="H10" s="270">
        <f>IF($A10="x",G10,0)</f>
        <v>5.4689636313918513</v>
      </c>
      <c r="I10" s="319"/>
      <c r="J10" s="270"/>
    </row>
    <row r="11" spans="1:15">
      <c r="B11" s="265"/>
    </row>
    <row r="12" spans="1:15">
      <c r="A12" s="630" t="s">
        <v>644</v>
      </c>
      <c r="B12" s="631"/>
      <c r="C12" s="631"/>
      <c r="D12" s="631"/>
      <c r="E12" s="631"/>
      <c r="F12" s="631"/>
      <c r="G12" s="631"/>
      <c r="H12" s="631"/>
      <c r="I12" s="631"/>
      <c r="J12" s="631"/>
      <c r="L12" s="142" t="s">
        <v>735</v>
      </c>
    </row>
    <row r="13" spans="1:15">
      <c r="E13" s="330"/>
      <c r="F13" s="149" t="s">
        <v>1</v>
      </c>
      <c r="G13" s="315"/>
      <c r="H13" s="150" t="s">
        <v>0</v>
      </c>
      <c r="I13" s="314"/>
      <c r="J13" s="150" t="s">
        <v>732</v>
      </c>
      <c r="N13" s="142" t="s">
        <v>1</v>
      </c>
      <c r="O13" s="142" t="s">
        <v>0</v>
      </c>
    </row>
    <row r="14" spans="1:15">
      <c r="A14" s="147" t="s">
        <v>447</v>
      </c>
      <c r="B14" s="644" t="s">
        <v>247</v>
      </c>
      <c r="C14" s="334" t="s">
        <v>648</v>
      </c>
      <c r="D14" s="335" t="s">
        <v>74</v>
      </c>
      <c r="E14" s="163">
        <f>E26/(1-Ergebnis!$M$32)*Ergebnis!$M$32</f>
        <v>29.513905511286307</v>
      </c>
      <c r="F14" s="163">
        <f t="shared" ref="F14:F20" si="0">IF($A14="x",E14,0)</f>
        <v>29.513905511286307</v>
      </c>
      <c r="G14" s="164">
        <f>G26*Ergebnis!$M$32</f>
        <v>0</v>
      </c>
      <c r="H14" s="163">
        <f t="shared" ref="H14:H45" si="1">IF($A14="x",G14,0)</f>
        <v>0</v>
      </c>
      <c r="I14" s="320"/>
      <c r="J14" s="163"/>
      <c r="L14" s="142" t="s">
        <v>246</v>
      </c>
      <c r="M14" s="142" t="s">
        <v>738</v>
      </c>
      <c r="N14" s="360">
        <f>F28</f>
        <v>154.94800393425311</v>
      </c>
      <c r="O14" s="360">
        <f>H28</f>
        <v>0</v>
      </c>
    </row>
    <row r="15" spans="1:15">
      <c r="A15" s="147" t="s">
        <v>447</v>
      </c>
      <c r="B15" s="637"/>
      <c r="C15" s="336" t="s">
        <v>649</v>
      </c>
      <c r="D15" s="337" t="s">
        <v>74</v>
      </c>
      <c r="E15" s="160">
        <f>'NR Fahrzeug&amp;Fahrverhalten'!$O$20*Ergebnis!E7/100</f>
        <v>0</v>
      </c>
      <c r="F15" s="160">
        <f t="shared" si="0"/>
        <v>0</v>
      </c>
      <c r="G15" s="159">
        <f ca="1">(IF(Sensitivitätsanalyse!$B$52="normal",'NR Fahrzeug&amp;Fahrverhalten'!$O$21,IF(Sensitivitätsanalyse!$B$52="eco",'NR Fahrzeug&amp;Fahrverhalten'!$O$22,0)))/Ergebnis!$H$10</f>
        <v>70.565298719994146</v>
      </c>
      <c r="H15" s="160">
        <f t="shared" ca="1" si="1"/>
        <v>70.565298719994146</v>
      </c>
      <c r="I15" s="321"/>
      <c r="J15" s="160"/>
      <c r="L15" s="364" t="s">
        <v>664</v>
      </c>
      <c r="M15" s="364" t="s">
        <v>738</v>
      </c>
      <c r="N15" s="365">
        <f>F22</f>
        <v>29.513905511286307</v>
      </c>
      <c r="O15" s="365">
        <f>H22</f>
        <v>7.3140000000000001</v>
      </c>
    </row>
    <row r="16" spans="1:15">
      <c r="A16" s="147" t="s">
        <v>447</v>
      </c>
      <c r="B16" s="637"/>
      <c r="C16" s="338" t="s">
        <v>653</v>
      </c>
      <c r="D16" s="339" t="s">
        <v>74</v>
      </c>
      <c r="E16" s="169">
        <f>E14+E15</f>
        <v>29.513905511286307</v>
      </c>
      <c r="F16" s="169">
        <f t="shared" si="0"/>
        <v>29.513905511286307</v>
      </c>
      <c r="G16" s="170">
        <f ca="1">G14+G15</f>
        <v>70.565298719994146</v>
      </c>
      <c r="H16" s="169">
        <f t="shared" ca="1" si="1"/>
        <v>70.565298719994146</v>
      </c>
      <c r="I16" s="321"/>
      <c r="J16" s="169"/>
      <c r="L16" s="142" t="s">
        <v>247</v>
      </c>
      <c r="M16" s="142" t="s">
        <v>738</v>
      </c>
      <c r="N16" s="360">
        <f>F16</f>
        <v>29.513905511286307</v>
      </c>
      <c r="O16" s="360">
        <f ca="1">H16</f>
        <v>70.565298719994146</v>
      </c>
    </row>
    <row r="17" spans="1:20">
      <c r="A17" s="147" t="s">
        <v>447</v>
      </c>
      <c r="B17" s="637"/>
      <c r="C17" s="336" t="s">
        <v>652</v>
      </c>
      <c r="D17" s="340" t="s">
        <v>665</v>
      </c>
      <c r="E17" s="160">
        <f>E16*Sensitivitätsanalyse!$B$29/1000000</f>
        <v>0.44270858266929464</v>
      </c>
      <c r="F17" s="160">
        <f t="shared" si="0"/>
        <v>0.44270858266929464</v>
      </c>
      <c r="G17" s="160">
        <f ca="1">G16*Sensitivitätsanalyse!$B$29/1000000</f>
        <v>1.0584794807999123</v>
      </c>
      <c r="H17" s="160">
        <f t="shared" ca="1" si="1"/>
        <v>1.0584794807999123</v>
      </c>
      <c r="I17" s="321"/>
      <c r="J17" s="160"/>
      <c r="L17" s="364" t="s">
        <v>739</v>
      </c>
      <c r="M17" s="364" t="s">
        <v>738</v>
      </c>
      <c r="N17" s="365">
        <f>F40</f>
        <v>184.46190944553942</v>
      </c>
      <c r="O17" s="365">
        <f>H40</f>
        <v>7.3140000000000001</v>
      </c>
    </row>
    <row r="18" spans="1:20">
      <c r="A18" s="147" t="s">
        <v>447</v>
      </c>
      <c r="B18" s="637"/>
      <c r="C18" s="336" t="s">
        <v>658</v>
      </c>
      <c r="D18" s="337" t="s">
        <v>80</v>
      </c>
      <c r="E18" s="160">
        <f>E17*Sensitivitätsanalyse!$B$28</f>
        <v>5.3125029920315354</v>
      </c>
      <c r="F18" s="160">
        <f t="shared" si="0"/>
        <v>5.3125029920315354</v>
      </c>
      <c r="G18" s="160">
        <f ca="1">G17*Sensitivitätsanalyse!$B$28</f>
        <v>12.701753769598948</v>
      </c>
      <c r="H18" s="160">
        <f t="shared" ca="1" si="1"/>
        <v>12.701753769598948</v>
      </c>
      <c r="I18" s="321"/>
      <c r="J18" s="160"/>
      <c r="L18" s="142" t="s">
        <v>245</v>
      </c>
      <c r="M18" s="142" t="s">
        <v>738</v>
      </c>
      <c r="N18" s="360">
        <f>F34</f>
        <v>184.46190944553942</v>
      </c>
      <c r="O18" s="360">
        <f ca="1">H34</f>
        <v>70.565298719994146</v>
      </c>
    </row>
    <row r="19" spans="1:20">
      <c r="A19" s="147" t="s">
        <v>447</v>
      </c>
      <c r="B19" s="638"/>
      <c r="C19" s="341" t="s">
        <v>660</v>
      </c>
      <c r="D19" s="342" t="s">
        <v>80</v>
      </c>
      <c r="E19" s="151">
        <f>E17*Sensitivitätsanalyse!$B$30</f>
        <v>2.6562514960157677</v>
      </c>
      <c r="F19" s="151">
        <f t="shared" si="0"/>
        <v>2.6562514960157677</v>
      </c>
      <c r="G19" s="151">
        <f ca="1">G17*Sensitivitätsanalyse!$B$30</f>
        <v>6.3508768847994741</v>
      </c>
      <c r="H19" s="151">
        <f t="shared" ca="1" si="1"/>
        <v>6.3508768847994741</v>
      </c>
      <c r="I19" s="318">
        <f ca="1">H19/F19</f>
        <v>2.3909170100517376</v>
      </c>
      <c r="J19" s="151">
        <f ca="1">H19-F19</f>
        <v>3.6946253887837064</v>
      </c>
      <c r="L19" s="364" t="s">
        <v>746</v>
      </c>
      <c r="M19" s="364" t="s">
        <v>738</v>
      </c>
      <c r="N19" s="365">
        <f>F62</f>
        <v>212.36468722331722</v>
      </c>
      <c r="O19" s="365">
        <f>H62</f>
        <v>57.300111111111114</v>
      </c>
    </row>
    <row r="20" spans="1:20">
      <c r="A20" s="147" t="s">
        <v>447</v>
      </c>
      <c r="B20" s="636" t="s">
        <v>664</v>
      </c>
      <c r="C20" s="334" t="s">
        <v>648</v>
      </c>
      <c r="D20" s="335" t="s">
        <v>74</v>
      </c>
      <c r="E20" s="163">
        <f>E26/(1-Ergebnis!$M$32)*Ergebnis!$M$32</f>
        <v>29.513905511286307</v>
      </c>
      <c r="F20" s="163">
        <f t="shared" si="0"/>
        <v>29.513905511286307</v>
      </c>
      <c r="G20" s="164">
        <f>G14*Ergebnis!$M$32</f>
        <v>0</v>
      </c>
      <c r="H20" s="163">
        <f t="shared" si="1"/>
        <v>0</v>
      </c>
      <c r="I20" s="320"/>
      <c r="J20" s="163"/>
      <c r="L20" s="142" t="s">
        <v>161</v>
      </c>
      <c r="M20" s="142" t="s">
        <v>738</v>
      </c>
      <c r="N20" s="360">
        <f>F55</f>
        <v>212.36468722331722</v>
      </c>
      <c r="O20" s="360">
        <f ca="1">H55</f>
        <v>120.55140983110526</v>
      </c>
    </row>
    <row r="21" spans="1:20">
      <c r="A21" s="147" t="s">
        <v>447</v>
      </c>
      <c r="B21" s="637"/>
      <c r="C21" s="336" t="s">
        <v>649</v>
      </c>
      <c r="D21" s="337" t="s">
        <v>74</v>
      </c>
      <c r="E21" s="160"/>
      <c r="F21" s="160"/>
      <c r="G21" s="159">
        <f>'NR Fahrzeug&amp;Fahrverhalten'!$O$22/Ergebnis!$H$10</f>
        <v>7.3140000000000001</v>
      </c>
      <c r="H21" s="160">
        <f t="shared" si="1"/>
        <v>7.3140000000000001</v>
      </c>
      <c r="I21" s="321"/>
      <c r="J21" s="160"/>
    </row>
    <row r="22" spans="1:20">
      <c r="A22" s="147" t="s">
        <v>447</v>
      </c>
      <c r="B22" s="637"/>
      <c r="C22" s="338" t="s">
        <v>653</v>
      </c>
      <c r="D22" s="339" t="s">
        <v>74</v>
      </c>
      <c r="E22" s="151">
        <f>E20+E21</f>
        <v>29.513905511286307</v>
      </c>
      <c r="F22" s="160">
        <f t="shared" ref="F22:F64" si="2">IF($A22="x",E22,0)</f>
        <v>29.513905511286307</v>
      </c>
      <c r="G22" s="160">
        <f>G20+G21</f>
        <v>7.3140000000000001</v>
      </c>
      <c r="H22" s="160">
        <f t="shared" si="1"/>
        <v>7.3140000000000001</v>
      </c>
      <c r="I22" s="321"/>
      <c r="J22" s="160"/>
      <c r="L22" s="142" t="s">
        <v>736</v>
      </c>
    </row>
    <row r="23" spans="1:20">
      <c r="A23" s="147" t="s">
        <v>447</v>
      </c>
      <c r="B23" s="637"/>
      <c r="C23" s="336" t="s">
        <v>652</v>
      </c>
      <c r="D23" s="340" t="s">
        <v>665</v>
      </c>
      <c r="E23" s="160">
        <f>E22*Sensitivitätsanalyse!$B$29/1000000</f>
        <v>0.44270858266929464</v>
      </c>
      <c r="F23" s="160">
        <f t="shared" si="2"/>
        <v>0.44270858266929464</v>
      </c>
      <c r="G23" s="160">
        <f>G22*Sensitivitätsanalyse!$B$29/1000000</f>
        <v>0.10971</v>
      </c>
      <c r="H23" s="160">
        <f t="shared" si="1"/>
        <v>0.10971</v>
      </c>
      <c r="I23" s="321"/>
      <c r="J23" s="160"/>
      <c r="N23" s="142" t="s">
        <v>1</v>
      </c>
      <c r="O23" s="142" t="s">
        <v>0</v>
      </c>
    </row>
    <row r="24" spans="1:20">
      <c r="A24" s="147" t="s">
        <v>447</v>
      </c>
      <c r="B24" s="637"/>
      <c r="C24" s="336" t="s">
        <v>658</v>
      </c>
      <c r="D24" s="337" t="s">
        <v>80</v>
      </c>
      <c r="E24" s="160">
        <f>E23*Sensitivitätsanalyse!$B$28</f>
        <v>5.3125029920315354</v>
      </c>
      <c r="F24" s="160">
        <f t="shared" si="2"/>
        <v>5.3125029920315354</v>
      </c>
      <c r="G24" s="160">
        <f>G23*Sensitivitätsanalyse!$B$28</f>
        <v>1.3165200000000001</v>
      </c>
      <c r="H24" s="160">
        <f t="shared" si="1"/>
        <v>1.3165200000000001</v>
      </c>
      <c r="I24" s="321"/>
      <c r="J24" s="160"/>
      <c r="L24" s="142" t="s">
        <v>246</v>
      </c>
      <c r="M24" s="142" t="s">
        <v>737</v>
      </c>
      <c r="N24" s="283">
        <f>F29</f>
        <v>2.3242200590137965</v>
      </c>
      <c r="O24" s="283">
        <f>H29</f>
        <v>0</v>
      </c>
    </row>
    <row r="25" spans="1:20">
      <c r="A25" s="147" t="s">
        <v>447</v>
      </c>
      <c r="B25" s="638"/>
      <c r="C25" s="341" t="s">
        <v>660</v>
      </c>
      <c r="D25" s="342" t="s">
        <v>80</v>
      </c>
      <c r="E25" s="151">
        <f>E23*Sensitivitätsanalyse!$B$30</f>
        <v>2.6562514960157677</v>
      </c>
      <c r="F25" s="151">
        <f t="shared" si="2"/>
        <v>2.6562514960157677</v>
      </c>
      <c r="G25" s="151">
        <f>G23*Sensitivitätsanalyse!$B$30</f>
        <v>0.65826000000000007</v>
      </c>
      <c r="H25" s="151">
        <f t="shared" si="1"/>
        <v>0.65826000000000007</v>
      </c>
      <c r="I25" s="318">
        <f>H25/F25</f>
        <v>0.24781538984066612</v>
      </c>
      <c r="J25" s="151">
        <f>H25-F25</f>
        <v>-1.9979914960157676</v>
      </c>
      <c r="L25" s="364" t="s">
        <v>664</v>
      </c>
      <c r="M25" s="364" t="s">
        <v>737</v>
      </c>
      <c r="N25" s="593">
        <f>F23</f>
        <v>0.44270858266929464</v>
      </c>
      <c r="O25" s="593">
        <f>H23</f>
        <v>0.10971</v>
      </c>
    </row>
    <row r="26" spans="1:20">
      <c r="A26" s="147" t="s">
        <v>447</v>
      </c>
      <c r="B26" s="641" t="s">
        <v>246</v>
      </c>
      <c r="C26" s="343" t="s">
        <v>645</v>
      </c>
      <c r="D26" s="343" t="s">
        <v>74</v>
      </c>
      <c r="E26" s="160">
        <f>Ergebnis!$F$6*Umrechnungswerte!$C$6/100</f>
        <v>154.94800393425311</v>
      </c>
      <c r="F26" s="163">
        <f t="shared" si="2"/>
        <v>154.94800393425311</v>
      </c>
      <c r="G26" s="159">
        <f>Ergebnis!$H$6*Umrechnungswerte!$C$6/100</f>
        <v>0</v>
      </c>
      <c r="H26" s="163">
        <f t="shared" si="1"/>
        <v>0</v>
      </c>
      <c r="I26" s="320"/>
      <c r="J26" s="163"/>
      <c r="L26" s="142" t="s">
        <v>247</v>
      </c>
      <c r="M26" s="142" t="s">
        <v>737</v>
      </c>
      <c r="N26" s="283">
        <f>F17</f>
        <v>0.44270858266929464</v>
      </c>
      <c r="O26" s="283">
        <f ca="1">H17</f>
        <v>1.0584794807999123</v>
      </c>
    </row>
    <row r="27" spans="1:20">
      <c r="A27" s="147" t="s">
        <v>447</v>
      </c>
      <c r="B27" s="642"/>
      <c r="C27" s="344" t="s">
        <v>646</v>
      </c>
      <c r="D27" s="344" t="s">
        <v>74</v>
      </c>
      <c r="E27" s="161">
        <v>0</v>
      </c>
      <c r="F27" s="160">
        <f t="shared" si="2"/>
        <v>0</v>
      </c>
      <c r="G27" s="162">
        <v>0</v>
      </c>
      <c r="H27" s="160">
        <f t="shared" si="1"/>
        <v>0</v>
      </c>
      <c r="I27" s="321"/>
      <c r="J27" s="160"/>
      <c r="L27" s="364" t="s">
        <v>739</v>
      </c>
      <c r="M27" s="364" t="s">
        <v>737</v>
      </c>
      <c r="N27" s="593">
        <f>F41</f>
        <v>2.7669286416830912</v>
      </c>
      <c r="O27" s="593">
        <f>H41</f>
        <v>0.10971</v>
      </c>
    </row>
    <row r="28" spans="1:20">
      <c r="A28" s="147" t="s">
        <v>447</v>
      </c>
      <c r="B28" s="642"/>
      <c r="C28" s="345" t="s">
        <v>647</v>
      </c>
      <c r="D28" s="345" t="s">
        <v>74</v>
      </c>
      <c r="E28" s="169">
        <f>E26+E27</f>
        <v>154.94800393425311</v>
      </c>
      <c r="F28" s="169">
        <f t="shared" si="2"/>
        <v>154.94800393425311</v>
      </c>
      <c r="G28" s="170">
        <f>G26+G27</f>
        <v>0</v>
      </c>
      <c r="H28" s="169">
        <f t="shared" si="1"/>
        <v>0</v>
      </c>
      <c r="I28" s="321"/>
      <c r="J28" s="169"/>
      <c r="L28" s="142" t="s">
        <v>245</v>
      </c>
      <c r="M28" s="142" t="s">
        <v>737</v>
      </c>
      <c r="N28" s="283">
        <f>F35</f>
        <v>2.7669286416830912</v>
      </c>
      <c r="O28" s="283">
        <f ca="1">H35</f>
        <v>1.0584794807999123</v>
      </c>
    </row>
    <row r="29" spans="1:20">
      <c r="A29" s="147" t="s">
        <v>447</v>
      </c>
      <c r="B29" s="642"/>
      <c r="C29" s="346" t="s">
        <v>651</v>
      </c>
      <c r="D29" s="346" t="s">
        <v>665</v>
      </c>
      <c r="E29" s="160">
        <f>E28*Sensitivitätsanalyse!$B$29/1000000</f>
        <v>2.3242200590137965</v>
      </c>
      <c r="F29" s="160">
        <f t="shared" si="2"/>
        <v>2.3242200590137965</v>
      </c>
      <c r="G29" s="160">
        <f>G28*Sensitivitätsanalyse!$B$29/1000000</f>
        <v>0</v>
      </c>
      <c r="H29" s="160">
        <f t="shared" si="1"/>
        <v>0</v>
      </c>
      <c r="I29" s="321"/>
      <c r="J29" s="160"/>
      <c r="L29" s="364" t="s">
        <v>746</v>
      </c>
      <c r="M29" s="364" t="s">
        <v>737</v>
      </c>
      <c r="N29" s="593">
        <f>F63</f>
        <v>3.1854703083497582</v>
      </c>
      <c r="O29" s="593">
        <f>H63</f>
        <v>0.85950166666666672</v>
      </c>
    </row>
    <row r="30" spans="1:20">
      <c r="A30" s="147" t="s">
        <v>447</v>
      </c>
      <c r="B30" s="642"/>
      <c r="C30" s="346" t="s">
        <v>657</v>
      </c>
      <c r="D30" s="346" t="s">
        <v>80</v>
      </c>
      <c r="E30" s="160">
        <f>E29*Sensitivitätsanalyse!$B$28</f>
        <v>27.890640708165556</v>
      </c>
      <c r="F30" s="160">
        <f t="shared" si="2"/>
        <v>27.890640708165556</v>
      </c>
      <c r="G30" s="160">
        <f>G29*Sensitivitätsanalyse!$B$28</f>
        <v>0</v>
      </c>
      <c r="H30" s="160">
        <f t="shared" si="1"/>
        <v>0</v>
      </c>
      <c r="I30" s="321"/>
      <c r="J30" s="160"/>
      <c r="L30" s="142" t="s">
        <v>161</v>
      </c>
      <c r="M30" s="142" t="s">
        <v>737</v>
      </c>
      <c r="N30" s="283">
        <f>F56</f>
        <v>3.1854703083497582</v>
      </c>
      <c r="O30" s="283">
        <f ca="1">H56</f>
        <v>1.8082711474665789</v>
      </c>
    </row>
    <row r="31" spans="1:20">
      <c r="A31" s="147" t="s">
        <v>447</v>
      </c>
      <c r="B31" s="643"/>
      <c r="C31" s="347" t="s">
        <v>661</v>
      </c>
      <c r="D31" s="347" t="s">
        <v>80</v>
      </c>
      <c r="E31" s="151">
        <f>E29*Sensitivitätsanalyse!$B$30</f>
        <v>13.945320354082778</v>
      </c>
      <c r="F31" s="151">
        <f t="shared" si="2"/>
        <v>13.945320354082778</v>
      </c>
      <c r="G31" s="151">
        <f>G29*Sensitivitätsanalyse!$B$30</f>
        <v>0</v>
      </c>
      <c r="H31" s="151">
        <f t="shared" si="1"/>
        <v>0</v>
      </c>
      <c r="I31" s="318">
        <f>H31/F31</f>
        <v>0</v>
      </c>
      <c r="J31" s="151">
        <f>H31-F31</f>
        <v>-13.945320354082778</v>
      </c>
    </row>
    <row r="32" spans="1:20">
      <c r="A32" s="147" t="s">
        <v>447</v>
      </c>
      <c r="B32" s="645" t="s">
        <v>245</v>
      </c>
      <c r="C32" s="354" t="s">
        <v>654</v>
      </c>
      <c r="D32" s="355" t="s">
        <v>74</v>
      </c>
      <c r="E32" s="163">
        <f>E26+E14</f>
        <v>184.46190944553942</v>
      </c>
      <c r="F32" s="163">
        <f t="shared" si="2"/>
        <v>184.46190944553942</v>
      </c>
      <c r="G32" s="164">
        <f>G26+G14</f>
        <v>0</v>
      </c>
      <c r="H32" s="163">
        <f t="shared" si="1"/>
        <v>0</v>
      </c>
      <c r="I32" s="320"/>
      <c r="J32" s="163"/>
      <c r="L32" s="142" t="s">
        <v>156</v>
      </c>
      <c r="M32" s="3">
        <v>0.16</v>
      </c>
      <c r="N32" s="5" t="s">
        <v>357</v>
      </c>
      <c r="O32"/>
      <c r="T32"/>
    </row>
    <row r="33" spans="1:12">
      <c r="A33" s="147" t="s">
        <v>447</v>
      </c>
      <c r="B33" s="646"/>
      <c r="C33" s="354" t="s">
        <v>655</v>
      </c>
      <c r="D33" s="355" t="s">
        <v>74</v>
      </c>
      <c r="E33" s="160">
        <f>E27+E15</f>
        <v>0</v>
      </c>
      <c r="F33" s="160">
        <f t="shared" si="2"/>
        <v>0</v>
      </c>
      <c r="G33" s="159">
        <f ca="1">G27+G15</f>
        <v>70.565298719994146</v>
      </c>
      <c r="H33" s="160">
        <f t="shared" ca="1" si="1"/>
        <v>70.565298719994146</v>
      </c>
      <c r="I33" s="321"/>
      <c r="J33" s="160"/>
    </row>
    <row r="34" spans="1:12">
      <c r="A34" s="147" t="s">
        <v>447</v>
      </c>
      <c r="B34" s="646"/>
      <c r="C34" s="356" t="s">
        <v>650</v>
      </c>
      <c r="D34" s="357" t="s">
        <v>74</v>
      </c>
      <c r="E34" s="169">
        <f>E28+E16</f>
        <v>184.46190944553942</v>
      </c>
      <c r="F34" s="169">
        <f t="shared" si="2"/>
        <v>184.46190944553942</v>
      </c>
      <c r="G34" s="170">
        <f ca="1">G28+G16</f>
        <v>70.565298719994146</v>
      </c>
      <c r="H34" s="169">
        <f t="shared" ca="1" si="1"/>
        <v>70.565298719994146</v>
      </c>
      <c r="I34" s="321">
        <f ca="1">H34/F34-1</f>
        <v>-0.61745327839172204</v>
      </c>
      <c r="J34" s="169">
        <f ca="1">H34-F34</f>
        <v>-113.89661072554527</v>
      </c>
    </row>
    <row r="35" spans="1:12" ht="15" customHeight="1">
      <c r="A35" s="147" t="s">
        <v>447</v>
      </c>
      <c r="B35" s="646"/>
      <c r="C35" s="354" t="s">
        <v>656</v>
      </c>
      <c r="D35" s="355" t="s">
        <v>665</v>
      </c>
      <c r="E35" s="160">
        <f>E29+E17</f>
        <v>2.7669286416830912</v>
      </c>
      <c r="F35" s="169">
        <f t="shared" si="2"/>
        <v>2.7669286416830912</v>
      </c>
      <c r="G35" s="388">
        <f ca="1">G29+G17</f>
        <v>1.0584794807999123</v>
      </c>
      <c r="H35" s="169">
        <f t="shared" ca="1" si="1"/>
        <v>1.0584794807999123</v>
      </c>
      <c r="I35" s="321">
        <f ca="1">H35/F35</f>
        <v>0.38254672160827802</v>
      </c>
      <c r="J35" s="169">
        <f ca="1">H35-F35</f>
        <v>-1.7084491608831789</v>
      </c>
    </row>
    <row r="36" spans="1:12">
      <c r="A36" s="147" t="s">
        <v>447</v>
      </c>
      <c r="B36" s="646"/>
      <c r="C36" s="354" t="s">
        <v>659</v>
      </c>
      <c r="D36" s="355" t="s">
        <v>80</v>
      </c>
      <c r="E36" s="160">
        <f>E35*Sensitivitätsanalyse!$B$28</f>
        <v>33.203143700197096</v>
      </c>
      <c r="F36" s="160">
        <f t="shared" si="2"/>
        <v>33.203143700197096</v>
      </c>
      <c r="G36" s="160">
        <f ca="1">G35*Sensitivitätsanalyse!$B$28</f>
        <v>12.701753769598948</v>
      </c>
      <c r="H36" s="160">
        <f t="shared" ca="1" si="1"/>
        <v>12.701753769598948</v>
      </c>
      <c r="I36" s="321"/>
      <c r="J36" s="160"/>
    </row>
    <row r="37" spans="1:12">
      <c r="A37" s="147" t="s">
        <v>447</v>
      </c>
      <c r="B37" s="647"/>
      <c r="C37" s="358" t="s">
        <v>662</v>
      </c>
      <c r="D37" s="359" t="s">
        <v>80</v>
      </c>
      <c r="E37" s="151">
        <f>E35*Sensitivitätsanalyse!$B$30</f>
        <v>16.601571850098548</v>
      </c>
      <c r="F37" s="151">
        <f t="shared" si="2"/>
        <v>16.601571850098548</v>
      </c>
      <c r="G37" s="151">
        <f ca="1">G35*Sensitivitätsanalyse!$B$30</f>
        <v>6.3508768847994741</v>
      </c>
      <c r="H37" s="151">
        <f t="shared" ca="1" si="1"/>
        <v>6.3508768847994741</v>
      </c>
      <c r="I37" s="318">
        <f ca="1">H37/F37</f>
        <v>0.38254672160827802</v>
      </c>
      <c r="J37" s="151">
        <f ca="1">H37-F37</f>
        <v>-10.250694965299074</v>
      </c>
    </row>
    <row r="38" spans="1:12">
      <c r="A38" s="147" t="s">
        <v>447</v>
      </c>
      <c r="B38" s="633" t="s">
        <v>663</v>
      </c>
      <c r="C38" s="354" t="s">
        <v>728</v>
      </c>
      <c r="D38" s="355" t="s">
        <v>74</v>
      </c>
      <c r="E38" s="163">
        <f>E26+E14</f>
        <v>184.46190944553942</v>
      </c>
      <c r="F38" s="163">
        <f t="shared" si="2"/>
        <v>184.46190944553942</v>
      </c>
      <c r="G38" s="164">
        <f>G26+G20</f>
        <v>0</v>
      </c>
      <c r="H38" s="163">
        <f t="shared" si="1"/>
        <v>0</v>
      </c>
      <c r="I38" s="320"/>
      <c r="J38" s="163"/>
    </row>
    <row r="39" spans="1:12">
      <c r="A39" s="147" t="s">
        <v>447</v>
      </c>
      <c r="B39" s="634"/>
      <c r="C39" s="354" t="s">
        <v>727</v>
      </c>
      <c r="D39" s="355" t="s">
        <v>74</v>
      </c>
      <c r="E39" s="160">
        <f>E15+E33</f>
        <v>0</v>
      </c>
      <c r="F39" s="160">
        <f t="shared" si="2"/>
        <v>0</v>
      </c>
      <c r="G39" s="159">
        <f>G27+G21</f>
        <v>7.3140000000000001</v>
      </c>
      <c r="H39" s="160">
        <f t="shared" si="1"/>
        <v>7.3140000000000001</v>
      </c>
      <c r="I39" s="321"/>
      <c r="J39" s="160"/>
    </row>
    <row r="40" spans="1:12">
      <c r="A40" s="147" t="s">
        <v>447</v>
      </c>
      <c r="B40" s="634"/>
      <c r="C40" s="356" t="s">
        <v>726</v>
      </c>
      <c r="D40" s="357" t="s">
        <v>74</v>
      </c>
      <c r="E40" s="169">
        <f>E28+E16</f>
        <v>184.46190944553942</v>
      </c>
      <c r="F40" s="169">
        <f t="shared" si="2"/>
        <v>184.46190944553942</v>
      </c>
      <c r="G40" s="170">
        <f>G28+G22</f>
        <v>7.3140000000000001</v>
      </c>
      <c r="H40" s="169">
        <f t="shared" si="1"/>
        <v>7.3140000000000001</v>
      </c>
      <c r="I40" s="321"/>
      <c r="J40" s="169"/>
      <c r="L40" s="142" t="s">
        <v>1173</v>
      </c>
    </row>
    <row r="41" spans="1:12">
      <c r="A41" s="147" t="s">
        <v>447</v>
      </c>
      <c r="B41" s="634"/>
      <c r="C41" s="354" t="s">
        <v>725</v>
      </c>
      <c r="D41" s="355" t="s">
        <v>665</v>
      </c>
      <c r="E41" s="160">
        <f>E29+E17</f>
        <v>2.7669286416830912</v>
      </c>
      <c r="F41" s="160">
        <f t="shared" si="2"/>
        <v>2.7669286416830912</v>
      </c>
      <c r="G41" s="160">
        <f>G29+G23</f>
        <v>0.10971</v>
      </c>
      <c r="H41" s="160">
        <f t="shared" si="1"/>
        <v>0.10971</v>
      </c>
      <c r="I41" s="321"/>
      <c r="J41" s="160"/>
    </row>
    <row r="42" spans="1:12">
      <c r="A42" s="147" t="s">
        <v>447</v>
      </c>
      <c r="B42" s="634"/>
      <c r="C42" s="354" t="s">
        <v>724</v>
      </c>
      <c r="D42" s="355" t="s">
        <v>80</v>
      </c>
      <c r="E42" s="160">
        <f>E41*Sensitivitätsanalyse!$B$28</f>
        <v>33.203143700197096</v>
      </c>
      <c r="F42" s="160">
        <f t="shared" si="2"/>
        <v>33.203143700197096</v>
      </c>
      <c r="G42" s="160">
        <f>G41*Sensitivitätsanalyse!$B$28</f>
        <v>1.3165200000000001</v>
      </c>
      <c r="H42" s="160">
        <f t="shared" si="1"/>
        <v>1.3165200000000001</v>
      </c>
      <c r="I42" s="321"/>
      <c r="J42" s="160"/>
    </row>
    <row r="43" spans="1:12">
      <c r="A43" s="147" t="s">
        <v>447</v>
      </c>
      <c r="B43" s="635"/>
      <c r="C43" s="358" t="s">
        <v>723</v>
      </c>
      <c r="D43" s="359" t="s">
        <v>80</v>
      </c>
      <c r="E43" s="151">
        <f>E41*Sensitivitätsanalyse!$B$30</f>
        <v>16.601571850098548</v>
      </c>
      <c r="F43" s="151">
        <f t="shared" si="2"/>
        <v>16.601571850098548</v>
      </c>
      <c r="G43" s="151">
        <f>G41*Sensitivitätsanalyse!$B$30</f>
        <v>0.65826000000000007</v>
      </c>
      <c r="H43" s="151">
        <f t="shared" si="1"/>
        <v>0.65826000000000007</v>
      </c>
      <c r="I43" s="318">
        <f>H43/F43</f>
        <v>3.9650462374506583E-2</v>
      </c>
      <c r="J43" s="151">
        <f>H43-F43</f>
        <v>-15.943311850098548</v>
      </c>
      <c r="L43" s="142" t="s">
        <v>1174</v>
      </c>
    </row>
    <row r="44" spans="1:12">
      <c r="A44" s="175" t="s">
        <v>447</v>
      </c>
      <c r="B44" s="639" t="s">
        <v>676</v>
      </c>
      <c r="C44" s="348" t="s">
        <v>668</v>
      </c>
      <c r="D44" s="349" t="s">
        <v>80</v>
      </c>
      <c r="E44" s="181">
        <f>E37</f>
        <v>16.601571850098548</v>
      </c>
      <c r="F44" s="181">
        <f t="shared" si="2"/>
        <v>16.601571850098548</v>
      </c>
      <c r="G44" s="181">
        <f ca="1">G37</f>
        <v>6.3508768847994741</v>
      </c>
      <c r="H44" s="177">
        <f t="shared" ca="1" si="1"/>
        <v>6.3508768847994741</v>
      </c>
      <c r="I44" s="317"/>
      <c r="J44" s="177"/>
    </row>
    <row r="45" spans="1:12">
      <c r="A45" s="178" t="s">
        <v>447</v>
      </c>
      <c r="B45" s="640"/>
      <c r="C45" s="350" t="s">
        <v>672</v>
      </c>
      <c r="D45" s="351" t="s">
        <v>80</v>
      </c>
      <c r="E45" s="161">
        <f>'NR Fahrzeug&amp;Fahrverhalten'!$C$5*Sensitivitätsanalyse!$B$47*'NR Fahrzeug&amp;Fahrverhalten'!$O$18</f>
        <v>2.5112500000000004</v>
      </c>
      <c r="F45" s="161">
        <f t="shared" si="2"/>
        <v>2.5112500000000004</v>
      </c>
      <c r="G45" s="161">
        <f>'NR Fahrzeug&amp;Fahrverhalten'!$C$5*Sensitivitätsanalyse!$B$47*'NR Fahrzeug&amp;Fahrverhalten'!$O$18</f>
        <v>2.5112500000000004</v>
      </c>
      <c r="H45" s="162">
        <f t="shared" si="1"/>
        <v>2.5112500000000004</v>
      </c>
      <c r="I45" s="316"/>
      <c r="J45" s="162"/>
    </row>
    <row r="46" spans="1:12">
      <c r="A46" s="178" t="s">
        <v>447</v>
      </c>
      <c r="B46" s="640"/>
      <c r="C46" s="350" t="s">
        <v>671</v>
      </c>
      <c r="D46" s="351" t="s">
        <v>80</v>
      </c>
      <c r="E46" s="165">
        <v>0</v>
      </c>
      <c r="F46" s="165">
        <f t="shared" si="2"/>
        <v>0</v>
      </c>
      <c r="G46" s="165">
        <f>'NR Kraftstoffpreisprognosen'!$CA$12*'NR Fahrzeug&amp;Fahrverhalten'!$O$19</f>
        <v>2.3849999999999998</v>
      </c>
      <c r="H46" s="166">
        <f t="shared" ref="H46:H64" si="3">IF($A46="x",G46,0)</f>
        <v>2.3849999999999998</v>
      </c>
      <c r="I46" s="322"/>
      <c r="J46" s="166"/>
    </row>
    <row r="47" spans="1:12">
      <c r="A47" s="178" t="s">
        <v>447</v>
      </c>
      <c r="B47" s="640"/>
      <c r="C47" s="350" t="s">
        <v>670</v>
      </c>
      <c r="D47" s="351" t="s">
        <v>80</v>
      </c>
      <c r="E47" s="165">
        <f>SUM(E45:E46)</f>
        <v>2.5112500000000004</v>
      </c>
      <c r="F47" s="165">
        <f t="shared" si="2"/>
        <v>2.5112500000000004</v>
      </c>
      <c r="G47" s="165">
        <f>SUM(G45:G46)</f>
        <v>4.8962500000000002</v>
      </c>
      <c r="H47" s="166">
        <f t="shared" si="3"/>
        <v>4.8962500000000002</v>
      </c>
      <c r="I47" s="322"/>
      <c r="J47" s="166"/>
    </row>
    <row r="48" spans="1:12">
      <c r="A48" s="179" t="s">
        <v>447</v>
      </c>
      <c r="B48" s="640"/>
      <c r="C48" s="361" t="s">
        <v>666</v>
      </c>
      <c r="D48" s="362" t="s">
        <v>80</v>
      </c>
      <c r="E48" s="332">
        <f>E44+E47</f>
        <v>19.112821850098548</v>
      </c>
      <c r="F48" s="332">
        <f t="shared" si="2"/>
        <v>19.112821850098548</v>
      </c>
      <c r="G48" s="332">
        <f ca="1">G44+G47</f>
        <v>11.247126884799474</v>
      </c>
      <c r="H48" s="333">
        <f t="shared" ca="1" si="3"/>
        <v>11.247126884799474</v>
      </c>
      <c r="I48" s="321">
        <f ca="1">H48/F48</f>
        <v>0.58845977705492414</v>
      </c>
      <c r="J48" s="169">
        <f ca="1">H48-F48</f>
        <v>-7.865694965299074</v>
      </c>
    </row>
    <row r="49" spans="1:10">
      <c r="A49" s="178" t="s">
        <v>447</v>
      </c>
      <c r="B49" s="363"/>
      <c r="C49" s="352" t="s">
        <v>740</v>
      </c>
      <c r="D49" s="353" t="s">
        <v>665</v>
      </c>
      <c r="E49" s="167">
        <f>E48/Sensitivitätsanalyse!$B$30</f>
        <v>3.1854703083497582</v>
      </c>
      <c r="F49" s="167">
        <f t="shared" si="2"/>
        <v>3.1854703083497582</v>
      </c>
      <c r="G49" s="167">
        <f ca="1">H48/Sensitivitätsanalyse!$B$30</f>
        <v>1.8745211474665791</v>
      </c>
      <c r="H49" s="168">
        <f t="shared" ca="1" si="3"/>
        <v>1.8745211474665791</v>
      </c>
      <c r="I49" s="319"/>
      <c r="J49" s="329"/>
    </row>
    <row r="50" spans="1:10">
      <c r="A50" s="175" t="s">
        <v>447</v>
      </c>
      <c r="B50" s="619" t="s">
        <v>677</v>
      </c>
      <c r="C50" s="176" t="s">
        <v>669</v>
      </c>
      <c r="D50" s="185" t="s">
        <v>80</v>
      </c>
      <c r="E50" s="181">
        <f>E36</f>
        <v>33.203143700197096</v>
      </c>
      <c r="F50" s="181">
        <f t="shared" si="2"/>
        <v>33.203143700197096</v>
      </c>
      <c r="G50" s="181">
        <f ca="1">G36</f>
        <v>12.701753769598948</v>
      </c>
      <c r="H50" s="177">
        <f t="shared" ca="1" si="3"/>
        <v>12.701753769598948</v>
      </c>
      <c r="I50" s="317"/>
      <c r="J50" s="177"/>
    </row>
    <row r="51" spans="1:10">
      <c r="A51" s="178" t="s">
        <v>447</v>
      </c>
      <c r="B51" s="620"/>
      <c r="C51" s="174" t="s">
        <v>673</v>
      </c>
      <c r="D51" s="186" t="s">
        <v>80</v>
      </c>
      <c r="E51" s="161">
        <f>'NR Fahrzeug&amp;Fahrverhalten'!$C$5*Sensitivitätsanalyse!$B$47</f>
        <v>5.0225000000000009</v>
      </c>
      <c r="F51" s="161">
        <f t="shared" si="2"/>
        <v>5.0225000000000009</v>
      </c>
      <c r="G51" s="161">
        <f>'NR Fahrzeug&amp;Fahrverhalten'!$C$5*Sensitivitätsanalyse!$B$47</f>
        <v>5.0225000000000009</v>
      </c>
      <c r="H51" s="162">
        <f t="shared" si="3"/>
        <v>5.0225000000000009</v>
      </c>
      <c r="I51" s="316"/>
      <c r="J51" s="162"/>
    </row>
    <row r="52" spans="1:10">
      <c r="A52" s="178" t="s">
        <v>447</v>
      </c>
      <c r="B52" s="620"/>
      <c r="C52" s="174" t="s">
        <v>674</v>
      </c>
      <c r="D52" s="186" t="s">
        <v>80</v>
      </c>
      <c r="E52" s="165">
        <v>0</v>
      </c>
      <c r="F52" s="165">
        <f t="shared" si="2"/>
        <v>0</v>
      </c>
      <c r="G52" s="165">
        <f>'NR Kraftstoffpreisprognosen'!$CA$12</f>
        <v>3.9749999999999996</v>
      </c>
      <c r="H52" s="166">
        <f t="shared" si="3"/>
        <v>3.9749999999999996</v>
      </c>
      <c r="I52" s="322"/>
      <c r="J52" s="166"/>
    </row>
    <row r="53" spans="1:10">
      <c r="A53" s="178" t="s">
        <v>447</v>
      </c>
      <c r="B53" s="620"/>
      <c r="C53" s="174" t="s">
        <v>675</v>
      </c>
      <c r="D53" s="186" t="s">
        <v>80</v>
      </c>
      <c r="E53" s="165">
        <f>SUM(E51:E52)</f>
        <v>5.0225000000000009</v>
      </c>
      <c r="F53" s="165">
        <f t="shared" si="2"/>
        <v>5.0225000000000009</v>
      </c>
      <c r="G53" s="165">
        <f>SUM(G51:G52)</f>
        <v>8.9975000000000005</v>
      </c>
      <c r="H53" s="166">
        <f t="shared" si="3"/>
        <v>8.9975000000000005</v>
      </c>
      <c r="I53" s="322"/>
      <c r="J53" s="166"/>
    </row>
    <row r="54" spans="1:10">
      <c r="A54" s="178" t="s">
        <v>447</v>
      </c>
      <c r="B54" s="620"/>
      <c r="C54" s="172" t="s">
        <v>667</v>
      </c>
      <c r="D54" s="331" t="s">
        <v>80</v>
      </c>
      <c r="E54" s="332">
        <f>E50+E53</f>
        <v>38.225643700197097</v>
      </c>
      <c r="F54" s="332">
        <f t="shared" si="2"/>
        <v>38.225643700197097</v>
      </c>
      <c r="G54" s="332">
        <f ca="1">G50+G53</f>
        <v>21.699253769598947</v>
      </c>
      <c r="H54" s="333">
        <f t="shared" ca="1" si="3"/>
        <v>21.699253769598947</v>
      </c>
      <c r="I54" s="321">
        <f ca="1">H54/F54</f>
        <v>0.5676622201521504</v>
      </c>
      <c r="J54" s="169">
        <f ca="1">H54-F54</f>
        <v>-16.52638993059815</v>
      </c>
    </row>
    <row r="55" spans="1:10">
      <c r="A55" s="178" t="s">
        <v>447</v>
      </c>
      <c r="B55" s="250"/>
      <c r="C55" s="172" t="s">
        <v>744</v>
      </c>
      <c r="D55" s="331" t="s">
        <v>74</v>
      </c>
      <c r="E55" s="332">
        <f>E54/Sensitivitätsanalyse!$B$28/Sensitivitätsanalyse!$B$29*1000000</f>
        <v>212.36468722331722</v>
      </c>
      <c r="F55" s="332">
        <f t="shared" si="2"/>
        <v>212.36468722331722</v>
      </c>
      <c r="G55" s="332">
        <f ca="1">G54/Sensitivitätsanalyse!$B$28/Sensitivitätsanalyse!$B$29*1000000</f>
        <v>120.55140983110526</v>
      </c>
      <c r="H55" s="333">
        <f t="shared" ca="1" si="3"/>
        <v>120.55140983110526</v>
      </c>
      <c r="I55" s="316"/>
      <c r="J55" s="170"/>
    </row>
    <row r="56" spans="1:10">
      <c r="A56" s="179" t="s">
        <v>447</v>
      </c>
      <c r="B56" s="251"/>
      <c r="C56" s="180" t="s">
        <v>741</v>
      </c>
      <c r="D56" s="187" t="s">
        <v>665</v>
      </c>
      <c r="E56" s="167">
        <f>E54/Sensitivitätsanalyse!$B$28</f>
        <v>3.1854703083497582</v>
      </c>
      <c r="F56" s="167">
        <f t="shared" si="2"/>
        <v>3.1854703083497582</v>
      </c>
      <c r="G56" s="167">
        <f ca="1">G54/Sensitivitätsanalyse!$B$28</f>
        <v>1.8082711474665789</v>
      </c>
      <c r="H56" s="168">
        <f t="shared" ca="1" si="3"/>
        <v>1.8082711474665789</v>
      </c>
      <c r="I56" s="319"/>
      <c r="J56" s="329"/>
    </row>
    <row r="57" spans="1:10">
      <c r="A57" s="175" t="s">
        <v>447</v>
      </c>
      <c r="B57" s="619" t="s">
        <v>733</v>
      </c>
      <c r="C57" s="176" t="s">
        <v>734</v>
      </c>
      <c r="D57" s="185" t="s">
        <v>80</v>
      </c>
      <c r="E57" s="181">
        <f>E42</f>
        <v>33.203143700197096</v>
      </c>
      <c r="F57" s="181">
        <f t="shared" si="2"/>
        <v>33.203143700197096</v>
      </c>
      <c r="G57" s="181">
        <f>G42</f>
        <v>1.3165200000000001</v>
      </c>
      <c r="H57" s="177">
        <f t="shared" si="3"/>
        <v>1.3165200000000001</v>
      </c>
      <c r="I57" s="317"/>
      <c r="J57" s="177"/>
    </row>
    <row r="58" spans="1:10">
      <c r="A58" s="178" t="s">
        <v>447</v>
      </c>
      <c r="B58" s="620"/>
      <c r="C58" s="174" t="s">
        <v>673</v>
      </c>
      <c r="D58" s="186" t="s">
        <v>80</v>
      </c>
      <c r="E58" s="161">
        <f>'NR Fahrzeug&amp;Fahrverhalten'!$C$5*Sensitivitätsanalyse!$B$47</f>
        <v>5.0225000000000009</v>
      </c>
      <c r="F58" s="161">
        <f t="shared" si="2"/>
        <v>5.0225000000000009</v>
      </c>
      <c r="G58" s="161">
        <f>'NR Fahrzeug&amp;Fahrverhalten'!$C$5*Sensitivitätsanalyse!$B$47</f>
        <v>5.0225000000000009</v>
      </c>
      <c r="H58" s="162">
        <f t="shared" si="3"/>
        <v>5.0225000000000009</v>
      </c>
      <c r="I58" s="316"/>
      <c r="J58" s="162"/>
    </row>
    <row r="59" spans="1:10">
      <c r="A59" s="178" t="s">
        <v>447</v>
      </c>
      <c r="B59" s="620"/>
      <c r="C59" s="174" t="s">
        <v>674</v>
      </c>
      <c r="D59" s="186" t="s">
        <v>80</v>
      </c>
      <c r="E59" s="165">
        <v>0</v>
      </c>
      <c r="F59" s="165">
        <f t="shared" si="2"/>
        <v>0</v>
      </c>
      <c r="G59" s="165">
        <f>'NR Kraftstoffpreisprognosen'!$CA$12</f>
        <v>3.9749999999999996</v>
      </c>
      <c r="H59" s="166">
        <f t="shared" si="3"/>
        <v>3.9749999999999996</v>
      </c>
      <c r="I59" s="322"/>
      <c r="J59" s="166"/>
    </row>
    <row r="60" spans="1:10">
      <c r="A60" s="178" t="s">
        <v>447</v>
      </c>
      <c r="B60" s="620"/>
      <c r="C60" s="174" t="s">
        <v>675</v>
      </c>
      <c r="D60" s="186" t="s">
        <v>80</v>
      </c>
      <c r="E60" s="165">
        <f>SUM(E58:E59)</f>
        <v>5.0225000000000009</v>
      </c>
      <c r="F60" s="165">
        <f t="shared" si="2"/>
        <v>5.0225000000000009</v>
      </c>
      <c r="G60" s="165">
        <f>SUM(G58:G59)</f>
        <v>8.9975000000000005</v>
      </c>
      <c r="H60" s="166">
        <f t="shared" si="3"/>
        <v>8.9975000000000005</v>
      </c>
      <c r="I60" s="322"/>
      <c r="J60" s="166"/>
    </row>
    <row r="61" spans="1:10">
      <c r="A61" s="178" t="s">
        <v>447</v>
      </c>
      <c r="B61" s="620"/>
      <c r="C61" s="172" t="s">
        <v>742</v>
      </c>
      <c r="D61" s="331" t="s">
        <v>80</v>
      </c>
      <c r="E61" s="332">
        <f>E57+E60</f>
        <v>38.225643700197097</v>
      </c>
      <c r="F61" s="332">
        <f t="shared" si="2"/>
        <v>38.225643700197097</v>
      </c>
      <c r="G61" s="332">
        <f>G57+G60</f>
        <v>10.314020000000001</v>
      </c>
      <c r="H61" s="333">
        <f t="shared" si="3"/>
        <v>10.314020000000001</v>
      </c>
      <c r="I61" s="321">
        <f>H61/F61</f>
        <v>0.26981939351741563</v>
      </c>
      <c r="J61" s="169">
        <f>H61-F61</f>
        <v>-27.911623700197097</v>
      </c>
    </row>
    <row r="62" spans="1:10">
      <c r="A62" s="173" t="s">
        <v>447</v>
      </c>
      <c r="B62" s="250"/>
      <c r="C62" s="331" t="s">
        <v>745</v>
      </c>
      <c r="D62" s="331" t="s">
        <v>74</v>
      </c>
      <c r="E62" s="332">
        <f>E61/Sensitivitätsanalyse!$B$28/Sensitivitätsanalyse!$B$29*1000000</f>
        <v>212.36468722331722</v>
      </c>
      <c r="F62" s="332">
        <f t="shared" si="2"/>
        <v>212.36468722331722</v>
      </c>
      <c r="G62" s="332">
        <f>G61/Sensitivitätsanalyse!$B$28/Sensitivitätsanalyse!$B$29*1000000</f>
        <v>57.300111111111114</v>
      </c>
      <c r="H62" s="333">
        <f t="shared" si="3"/>
        <v>57.300111111111114</v>
      </c>
      <c r="I62" s="316"/>
      <c r="J62" s="170"/>
    </row>
    <row r="63" spans="1:10">
      <c r="A63" s="173" t="s">
        <v>447</v>
      </c>
      <c r="B63" s="251"/>
      <c r="C63" s="187" t="s">
        <v>743</v>
      </c>
      <c r="D63" s="187" t="s">
        <v>665</v>
      </c>
      <c r="E63" s="167">
        <f>E61/Sensitivitätsanalyse!$B$28</f>
        <v>3.1854703083497582</v>
      </c>
      <c r="F63" s="167">
        <f t="shared" si="2"/>
        <v>3.1854703083497582</v>
      </c>
      <c r="G63" s="167">
        <f>G61/Sensitivitätsanalyse!$B$28</f>
        <v>0.85950166666666672</v>
      </c>
      <c r="H63" s="168">
        <f t="shared" si="3"/>
        <v>0.85950166666666672</v>
      </c>
      <c r="I63" s="319"/>
      <c r="J63" s="329"/>
    </row>
    <row r="64" spans="1:10">
      <c r="A64" s="173" t="s">
        <v>447</v>
      </c>
      <c r="B64" s="184"/>
      <c r="C64" s="172" t="s">
        <v>716</v>
      </c>
      <c r="D64" s="187" t="s">
        <v>8</v>
      </c>
      <c r="E64" s="182">
        <f>E53/E54</f>
        <v>0.13139085477255427</v>
      </c>
      <c r="F64" s="182">
        <f t="shared" si="2"/>
        <v>0.13139085477255427</v>
      </c>
      <c r="G64" s="182">
        <f ca="1">G53/G54</f>
        <v>0.41464559544465363</v>
      </c>
      <c r="H64" s="183">
        <f t="shared" ca="1" si="3"/>
        <v>0.41464559544465363</v>
      </c>
      <c r="I64" s="323"/>
      <c r="J64" s="183"/>
    </row>
    <row r="66" spans="1:13">
      <c r="A66" s="632" t="s">
        <v>636</v>
      </c>
      <c r="B66" s="632"/>
      <c r="C66" s="632"/>
      <c r="D66" s="632"/>
      <c r="E66" s="632"/>
      <c r="F66" s="632"/>
      <c r="L66" s="142" t="s">
        <v>747</v>
      </c>
      <c r="M66" s="142" t="s">
        <v>748</v>
      </c>
    </row>
    <row r="67" spans="1:13">
      <c r="A67" s="147" t="s">
        <v>447</v>
      </c>
      <c r="B67" s="144"/>
      <c r="C67" s="144" t="s">
        <v>637</v>
      </c>
      <c r="D67" s="144" t="s">
        <v>13</v>
      </c>
      <c r="E67" s="325">
        <f>Ergebnis!$H$3-Ergebnis!$F$3</f>
        <v>12458.211107722778</v>
      </c>
      <c r="F67" s="325">
        <f>Ergebnis!$H$3-Ergebnis!$F$3</f>
        <v>12458.211107722778</v>
      </c>
      <c r="L67" s="142" t="s">
        <v>80</v>
      </c>
      <c r="M67" s="142" t="s">
        <v>163</v>
      </c>
    </row>
    <row r="68" spans="1:13">
      <c r="A68" s="147" t="s">
        <v>447</v>
      </c>
      <c r="B68" s="617" t="s">
        <v>246</v>
      </c>
      <c r="C68" s="157" t="s">
        <v>638</v>
      </c>
      <c r="D68" s="157" t="s">
        <v>80</v>
      </c>
      <c r="E68" s="146">
        <f>Ergebnis!E31-Ergebnis!G31</f>
        <v>13.945320354082778</v>
      </c>
      <c r="F68" s="148">
        <f t="shared" ref="F68:F69" si="4">IF($A68="x",E68,0)</f>
        <v>13.945320354082778</v>
      </c>
      <c r="K68" s="142" t="s">
        <v>246</v>
      </c>
      <c r="L68" s="283">
        <f>F68</f>
        <v>13.945320354082778</v>
      </c>
      <c r="M68" s="194">
        <f>F69</f>
        <v>893.36141382190488</v>
      </c>
    </row>
    <row r="69" spans="1:13">
      <c r="A69" s="147" t="s">
        <v>447</v>
      </c>
      <c r="B69" s="618"/>
      <c r="C69" s="158" t="s">
        <v>639</v>
      </c>
      <c r="D69" s="158" t="s">
        <v>163</v>
      </c>
      <c r="E69" s="325">
        <f>$E$67/E68</f>
        <v>893.36141382190488</v>
      </c>
      <c r="F69" s="326">
        <f t="shared" si="4"/>
        <v>893.36141382190488</v>
      </c>
      <c r="K69" s="142" t="s">
        <v>739</v>
      </c>
      <c r="L69" s="283">
        <f>F70</f>
        <v>15.943311850098548</v>
      </c>
      <c r="M69" s="194">
        <f>F71</f>
        <v>781.40672558228687</v>
      </c>
    </row>
    <row r="70" spans="1:13">
      <c r="A70" s="147" t="s">
        <v>447</v>
      </c>
      <c r="B70" s="623" t="s">
        <v>1171</v>
      </c>
      <c r="C70" s="155" t="s">
        <v>640</v>
      </c>
      <c r="D70" s="155" t="s">
        <v>80</v>
      </c>
      <c r="E70" s="146">
        <f>Ergebnis!$F$43-Ergebnis!$H$43</f>
        <v>15.943311850098548</v>
      </c>
      <c r="F70" s="148">
        <f t="shared" ref="F70:F77" si="5">IF($A70="x",E70,0)</f>
        <v>15.943311850098548</v>
      </c>
      <c r="K70" s="142" t="s">
        <v>245</v>
      </c>
      <c r="L70" s="283">
        <f ca="1">F72</f>
        <v>10.250694965299074</v>
      </c>
      <c r="M70" s="194">
        <f ca="1">F73</f>
        <v>1215.3528272860178</v>
      </c>
    </row>
    <row r="71" spans="1:13">
      <c r="A71" s="147" t="s">
        <v>447</v>
      </c>
      <c r="B71" s="616"/>
      <c r="C71" s="156" t="s">
        <v>641</v>
      </c>
      <c r="D71" s="156" t="s">
        <v>163</v>
      </c>
      <c r="E71" s="325">
        <f>$E$67/E70</f>
        <v>781.40672558228687</v>
      </c>
      <c r="F71" s="326">
        <f t="shared" si="5"/>
        <v>781.40672558228687</v>
      </c>
      <c r="K71" s="142" t="s">
        <v>746</v>
      </c>
      <c r="L71" s="283">
        <f>E76</f>
        <v>13.955811850098549</v>
      </c>
      <c r="M71" s="194">
        <f>F77</f>
        <v>892.68981565087563</v>
      </c>
    </row>
    <row r="72" spans="1:13">
      <c r="A72" s="147" t="s">
        <v>447</v>
      </c>
      <c r="B72" s="615" t="s">
        <v>245</v>
      </c>
      <c r="C72" s="155" t="s">
        <v>640</v>
      </c>
      <c r="D72" s="155" t="s">
        <v>80</v>
      </c>
      <c r="E72" s="146">
        <f ca="1">Ergebnis!$F$37-Ergebnis!$H$37</f>
        <v>10.250694965299074</v>
      </c>
      <c r="F72" s="148">
        <f t="shared" ca="1" si="5"/>
        <v>10.250694965299074</v>
      </c>
      <c r="K72" s="142" t="s">
        <v>161</v>
      </c>
      <c r="L72" s="283">
        <f ca="1">F74</f>
        <v>7.865694965299074</v>
      </c>
      <c r="M72" s="194">
        <f ca="1">F75</f>
        <v>1583.8665448742183</v>
      </c>
    </row>
    <row r="73" spans="1:13">
      <c r="A73" s="147" t="s">
        <v>447</v>
      </c>
      <c r="B73" s="616"/>
      <c r="C73" s="156" t="s">
        <v>641</v>
      </c>
      <c r="D73" s="156" t="s">
        <v>163</v>
      </c>
      <c r="E73" s="325">
        <f ca="1">$E$67/E72</f>
        <v>1215.3528272860178</v>
      </c>
      <c r="F73" s="326">
        <f t="shared" ca="1" si="5"/>
        <v>1215.3528272860178</v>
      </c>
    </row>
    <row r="74" spans="1:13">
      <c r="A74" s="147" t="s">
        <v>447</v>
      </c>
      <c r="B74" s="574" t="s">
        <v>428</v>
      </c>
      <c r="C74" s="153" t="s">
        <v>642</v>
      </c>
      <c r="D74" s="153" t="s">
        <v>80</v>
      </c>
      <c r="E74" s="146">
        <f ca="1">Ergebnis!$F$48-Ergebnis!$H$48</f>
        <v>7.865694965299074</v>
      </c>
      <c r="F74" s="148">
        <f t="shared" ca="1" si="5"/>
        <v>7.865694965299074</v>
      </c>
    </row>
    <row r="75" spans="1:13">
      <c r="A75" s="147" t="s">
        <v>447</v>
      </c>
      <c r="B75" s="575"/>
      <c r="C75" s="154" t="s">
        <v>643</v>
      </c>
      <c r="D75" s="154" t="s">
        <v>163</v>
      </c>
      <c r="E75" s="327">
        <f ca="1">E67/E74</f>
        <v>1583.8665448742183</v>
      </c>
      <c r="F75" s="326">
        <f t="shared" ca="1" si="5"/>
        <v>1583.8665448742183</v>
      </c>
    </row>
    <row r="76" spans="1:13">
      <c r="A76" s="147" t="s">
        <v>447</v>
      </c>
      <c r="B76" s="574" t="s">
        <v>1172</v>
      </c>
      <c r="C76" s="153" t="s">
        <v>642</v>
      </c>
      <c r="D76" s="153" t="s">
        <v>80</v>
      </c>
      <c r="E76" s="146">
        <f>(Ergebnis!$F$61-Ergebnis!$H$61)/2</f>
        <v>13.955811850098549</v>
      </c>
      <c r="F76" s="148">
        <f t="shared" si="5"/>
        <v>13.955811850098549</v>
      </c>
    </row>
    <row r="77" spans="1:13">
      <c r="A77" s="147" t="s">
        <v>447</v>
      </c>
      <c r="B77" s="575"/>
      <c r="C77" s="154" t="s">
        <v>643</v>
      </c>
      <c r="D77" s="154" t="s">
        <v>163</v>
      </c>
      <c r="E77" s="327">
        <f>E67/E76</f>
        <v>892.68981565087563</v>
      </c>
      <c r="F77" s="326">
        <f t="shared" si="5"/>
        <v>892.68981565087563</v>
      </c>
    </row>
  </sheetData>
  <mergeCells count="17">
    <mergeCell ref="B6:B8"/>
    <mergeCell ref="B3:B5"/>
    <mergeCell ref="A1:J1"/>
    <mergeCell ref="A12:J12"/>
    <mergeCell ref="A66:F66"/>
    <mergeCell ref="B38:B43"/>
    <mergeCell ref="B20:B25"/>
    <mergeCell ref="B44:B48"/>
    <mergeCell ref="B50:B54"/>
    <mergeCell ref="B26:B31"/>
    <mergeCell ref="B14:B19"/>
    <mergeCell ref="B32:B37"/>
    <mergeCell ref="B72:B73"/>
    <mergeCell ref="B68:B69"/>
    <mergeCell ref="B57:B61"/>
    <mergeCell ref="B9:B10"/>
    <mergeCell ref="B70:B71"/>
  </mergeCells>
  <hyperlinks>
    <hyperlink ref="N32" r:id="rId1" xr:uid="{00000000-0004-0000-0500-000000000000}"/>
  </hyperlinks>
  <pageMargins left="0.7" right="0.7" top="0.78740157499999996" bottom="0.78740157499999996" header="0.3" footer="0.3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21"/>
  <sheetViews>
    <sheetView workbookViewId="0">
      <selection activeCell="K10" sqref="K10"/>
    </sheetView>
  </sheetViews>
  <sheetFormatPr baseColWidth="10" defaultColWidth="11.5" defaultRowHeight="15"/>
  <cols>
    <col min="1" max="1" width="33.33203125" style="142" customWidth="1"/>
    <col min="2" max="2" width="9.6640625" style="142" bestFit="1" customWidth="1"/>
    <col min="3" max="4" width="11" style="142" bestFit="1" customWidth="1"/>
    <col min="5" max="5" width="0.5" style="489" customWidth="1"/>
    <col min="6" max="6" width="40.5" style="142" bestFit="1" customWidth="1"/>
    <col min="7" max="7" width="20.6640625" style="142" bestFit="1" customWidth="1"/>
    <col min="8" max="9" width="10.5" style="142" bestFit="1" customWidth="1"/>
    <col min="10" max="11" width="12" style="142" bestFit="1" customWidth="1"/>
    <col min="12" max="12" width="3" style="142" customWidth="1"/>
    <col min="13" max="13" width="39.1640625" style="142" bestFit="1" customWidth="1"/>
    <col min="14" max="14" width="10" style="142" bestFit="1" customWidth="1"/>
    <col min="15" max="15" width="12" style="142" bestFit="1" customWidth="1"/>
    <col min="16" max="16" width="11.5" style="142" bestFit="1" customWidth="1"/>
    <col min="17" max="17" width="2.83203125" style="142" customWidth="1"/>
    <col min="18" max="18" width="11.5" style="142" bestFit="1" customWidth="1"/>
    <col min="19" max="19" width="41.83203125" style="142" customWidth="1"/>
    <col min="20" max="20" width="12.5" style="367" bestFit="1" customWidth="1"/>
    <col min="21" max="21" width="16.83203125" style="367" bestFit="1" customWidth="1"/>
    <col min="22" max="22" width="18.1640625" style="367" bestFit="1" customWidth="1"/>
    <col min="23" max="16384" width="11.5" style="142"/>
  </cols>
  <sheetData>
    <row r="1" spans="1:22">
      <c r="A1" s="144" t="s">
        <v>266</v>
      </c>
      <c r="B1" s="144"/>
      <c r="C1" s="144" t="s">
        <v>1</v>
      </c>
      <c r="D1" s="142" t="s">
        <v>0</v>
      </c>
      <c r="F1" s="205" t="s">
        <v>266</v>
      </c>
      <c r="G1" s="145"/>
      <c r="H1" s="213" t="s">
        <v>937</v>
      </c>
      <c r="I1" s="199" t="s">
        <v>937</v>
      </c>
      <c r="J1" s="490" t="s">
        <v>714</v>
      </c>
      <c r="K1" s="491" t="s">
        <v>714</v>
      </c>
      <c r="M1" s="2" t="s">
        <v>279</v>
      </c>
      <c r="R1" s="275"/>
      <c r="S1" s="275"/>
      <c r="T1" s="368" t="s">
        <v>2</v>
      </c>
      <c r="U1" s="368" t="s">
        <v>761</v>
      </c>
      <c r="V1" s="368" t="s">
        <v>762</v>
      </c>
    </row>
    <row r="2" spans="1:22">
      <c r="A2" s="144" t="s">
        <v>945</v>
      </c>
      <c r="B2" s="198" t="s">
        <v>625</v>
      </c>
      <c r="C2" s="192">
        <f t="array" ref="C2">INDEX($F$1:$K$32,MATCH($A2,$F$1:$F$32,0),MATCH(Sensitivitätsanalyse!$B$27&amp;C$1,$F$1:$K$1&amp;$F$2:$K$2,0))</f>
        <v>90</v>
      </c>
      <c r="D2" s="192">
        <f t="array" ref="D2">INDEX($F$1:$K$32,MATCH($A2,$F$1:$F$32,0),MATCH(Sensitivitätsanalyse!$B$27&amp;D$1,$F$1:$K$1&amp;$F$2:$K$2,0))</f>
        <v>85</v>
      </c>
      <c r="E2" s="492"/>
      <c r="F2" s="203" t="s">
        <v>627</v>
      </c>
      <c r="G2" s="143"/>
      <c r="H2" s="481" t="s">
        <v>1</v>
      </c>
      <c r="I2" s="202" t="s">
        <v>0</v>
      </c>
      <c r="J2" s="481" t="s">
        <v>1</v>
      </c>
      <c r="K2" s="202" t="s">
        <v>0</v>
      </c>
      <c r="M2" s="205" t="s">
        <v>232</v>
      </c>
      <c r="N2" s="145" t="s">
        <v>233</v>
      </c>
      <c r="O2" s="145" t="s">
        <v>235</v>
      </c>
      <c r="P2" s="199" t="s">
        <v>236</v>
      </c>
      <c r="R2" s="482" t="s">
        <v>773</v>
      </c>
      <c r="S2" s="275" t="s">
        <v>622</v>
      </c>
      <c r="T2" s="368"/>
      <c r="U2" s="649" t="s">
        <v>623</v>
      </c>
      <c r="V2" s="649"/>
    </row>
    <row r="3" spans="1:22">
      <c r="A3" s="144" t="s">
        <v>929</v>
      </c>
      <c r="B3" s="198" t="s">
        <v>930</v>
      </c>
      <c r="C3" s="192">
        <f t="array" ref="C3">INDEX($F$1:$K$32,MATCH($A3,$F$1:$F$32,0),MATCH(Sensitivitätsanalyse!$B$27&amp;C$1,$F$1:$K$1&amp;$F$2:$K$2,0))</f>
        <v>200</v>
      </c>
      <c r="D3" s="192">
        <f t="array" ref="D3">INDEX($F$1:$K$32,MATCH($A3,$F$1:$F$32,0),MATCH(Sensitivitätsanalyse!$B$27&amp;D$1,$F$1:$K$1&amp;$F$2:$K$2,0))</f>
        <v>270</v>
      </c>
      <c r="E3" s="492"/>
      <c r="F3" s="144" t="s">
        <v>945</v>
      </c>
      <c r="G3" s="198" t="s">
        <v>625</v>
      </c>
      <c r="H3" s="200"/>
      <c r="I3" s="211"/>
      <c r="J3" s="200">
        <v>90</v>
      </c>
      <c r="K3" s="211">
        <v>85</v>
      </c>
      <c r="M3" s="200" t="s">
        <v>233</v>
      </c>
      <c r="N3" s="287">
        <v>0.7</v>
      </c>
      <c r="O3" s="287">
        <v>0.2</v>
      </c>
      <c r="P3" s="288">
        <v>0.1</v>
      </c>
      <c r="R3" s="483"/>
      <c r="S3" s="275" t="s">
        <v>760</v>
      </c>
      <c r="T3" s="368"/>
      <c r="U3" s="649" t="s">
        <v>758</v>
      </c>
      <c r="V3" s="649"/>
    </row>
    <row r="4" spans="1:22">
      <c r="A4" s="276" t="s">
        <v>940</v>
      </c>
      <c r="B4" s="276" t="s">
        <v>23</v>
      </c>
      <c r="C4" s="192">
        <f t="array" ref="C4">INDEX($F$1:$K$32,MATCH($A4,$F$1:$F$32,0),MATCH(Sensitivitätsanalyse!$B$27&amp;C$1,$F$1:$K$1&amp;$F$2:$K$2,0))</f>
        <v>757.57575757575762</v>
      </c>
      <c r="D4" s="192">
        <f t="array" ref="D4">INDEX($F$1:$K$32,MATCH($A4,$F$1:$F$32,0),MATCH(Sensitivitätsanalyse!$B$27&amp;D$1,$F$1:$K$1&amp;$F$2:$K$2,0))</f>
        <v>166.66666666666666</v>
      </c>
      <c r="F4" s="144" t="s">
        <v>929</v>
      </c>
      <c r="G4" s="198" t="s">
        <v>930</v>
      </c>
      <c r="H4" s="453"/>
      <c r="I4" s="460"/>
      <c r="J4" s="453">
        <v>200</v>
      </c>
      <c r="K4" s="460">
        <v>270</v>
      </c>
      <c r="M4" s="203" t="s">
        <v>234</v>
      </c>
      <c r="N4" s="292">
        <v>0.28999999999999998</v>
      </c>
      <c r="O4" s="292">
        <v>0.39</v>
      </c>
      <c r="P4" s="293">
        <v>0.32</v>
      </c>
      <c r="R4" s="483"/>
      <c r="S4" s="368" t="s">
        <v>752</v>
      </c>
      <c r="T4" s="368"/>
      <c r="U4" s="649" t="s">
        <v>763</v>
      </c>
      <c r="V4" s="649"/>
    </row>
    <row r="5" spans="1:22">
      <c r="A5" s="278" t="s">
        <v>765</v>
      </c>
      <c r="B5" s="278" t="s">
        <v>21</v>
      </c>
      <c r="C5" s="192">
        <f t="array" ref="C5">INDEX($F$1:$K$32,MATCH($A5,$F$1:$F$32,0),MATCH(Sensitivitätsanalyse!$B$27&amp;C$1,$F$1:$K$1&amp;$F$2:$K$2,0))</f>
        <v>1225</v>
      </c>
      <c r="D5" s="192">
        <f t="array" ref="D5">INDEX($F$1:$K$32,MATCH($A5,$F$1:$F$32,0),MATCH(Sensitivitätsanalyse!$B$27&amp;D$1,$F$1:$K$1&amp;$F$2:$K$2,0))</f>
        <v>1545</v>
      </c>
      <c r="F5" s="276" t="s">
        <v>940</v>
      </c>
      <c r="G5" s="277" t="s">
        <v>23</v>
      </c>
      <c r="H5" s="468"/>
      <c r="I5" s="461"/>
      <c r="J5" s="468">
        <f>J17*J7</f>
        <v>757.57575757575762</v>
      </c>
      <c r="K5" s="461">
        <f>K18*100/Sensitivitätsanalyse!C33</f>
        <v>166.66666666666666</v>
      </c>
      <c r="M5" s="144"/>
      <c r="N5" s="144"/>
      <c r="O5" s="144"/>
      <c r="P5" s="144"/>
      <c r="R5" s="483"/>
      <c r="S5" s="370" t="s">
        <v>492</v>
      </c>
      <c r="T5" s="275"/>
      <c r="U5" s="375" t="s">
        <v>624</v>
      </c>
      <c r="V5" s="375"/>
    </row>
    <row r="6" spans="1:22">
      <c r="A6" s="144" t="s">
        <v>264</v>
      </c>
      <c r="B6" s="144" t="s">
        <v>265</v>
      </c>
      <c r="C6" s="192">
        <f t="array" ref="C6">INDEX($F$1:$K$32,MATCH($A6,$F$1:$F$32,0),MATCH(Sensitivitätsanalyse!$B$27&amp;C$1,$F$1:$K$1&amp;$F$2:$K$2,0))</f>
        <v>1390</v>
      </c>
      <c r="D6" s="192">
        <f t="array" ref="D6">INDEX($F$1:$K$32,MATCH($A6,$F$1:$F$32,0),MATCH(Sensitivitätsanalyse!$B$27&amp;D$1,$F$1:$K$1&amp;$F$2:$K$2,0))</f>
        <v>0</v>
      </c>
      <c r="F6" s="278" t="s">
        <v>765</v>
      </c>
      <c r="G6" s="276" t="s">
        <v>21</v>
      </c>
      <c r="H6" s="469"/>
      <c r="I6" s="465"/>
      <c r="J6" s="469">
        <v>1225</v>
      </c>
      <c r="K6" s="465">
        <v>1545</v>
      </c>
      <c r="M6" s="205" t="s">
        <v>422</v>
      </c>
      <c r="N6" s="145" t="s">
        <v>23</v>
      </c>
      <c r="O6" s="295">
        <f>Sensitivitätsanalyse!B28*Sensitivitätsanalyse!B29</f>
        <v>180000</v>
      </c>
      <c r="P6" s="88"/>
      <c r="R6" s="483"/>
      <c r="S6" s="370" t="s">
        <v>630</v>
      </c>
      <c r="T6" s="275"/>
      <c r="U6" s="375" t="s">
        <v>631</v>
      </c>
      <c r="V6" s="375"/>
    </row>
    <row r="7" spans="1:22">
      <c r="A7" s="144" t="s">
        <v>928</v>
      </c>
      <c r="B7" s="144" t="s">
        <v>267</v>
      </c>
      <c r="C7" s="192">
        <f t="array" ref="C7">INDEX($F$1:$K$32,MATCH($A7,$F$1:$F$32,0),MATCH(Sensitivitätsanalyse!$B$27&amp;C$1,$F$1:$K$1&amp;$F$2:$K$2,0))</f>
        <v>120.64</v>
      </c>
      <c r="D7" s="192">
        <f t="array" ref="D7">INDEX($F$1:$K$32,MATCH($A7,$F$1:$F$32,0),MATCH(Sensitivitätsanalyse!$B$27&amp;D$1,$F$1:$K$1&amp;$F$2:$K$2,0))</f>
        <v>0</v>
      </c>
      <c r="F7" s="144" t="s">
        <v>935</v>
      </c>
      <c r="G7" s="144" t="s">
        <v>931</v>
      </c>
      <c r="H7" s="469"/>
      <c r="I7" s="4"/>
      <c r="J7" s="470">
        <f>1/J8*100</f>
        <v>15.151515151515152</v>
      </c>
      <c r="K7" s="462">
        <f>1/$K$8*100</f>
        <v>5.4689636313918513</v>
      </c>
      <c r="M7" s="200" t="s">
        <v>307</v>
      </c>
      <c r="N7" s="144" t="s">
        <v>30</v>
      </c>
      <c r="O7" s="296">
        <f>Sensitivitätsanalyse!B29/365</f>
        <v>41.095890410958901</v>
      </c>
      <c r="P7" s="88"/>
      <c r="R7" s="483"/>
      <c r="S7" s="370" t="s">
        <v>764</v>
      </c>
      <c r="T7" s="368" t="s">
        <v>629</v>
      </c>
      <c r="U7" s="649">
        <v>4349</v>
      </c>
      <c r="V7" s="649"/>
    </row>
    <row r="8" spans="1:22">
      <c r="A8" s="144" t="s">
        <v>1005</v>
      </c>
      <c r="B8" s="144" t="s">
        <v>13</v>
      </c>
      <c r="C8" s="508">
        <f>J13</f>
        <v>21525</v>
      </c>
      <c r="D8" s="508"/>
      <c r="F8" s="88" t="s">
        <v>957</v>
      </c>
      <c r="G8" s="88" t="s">
        <v>932</v>
      </c>
      <c r="H8" s="468"/>
      <c r="I8" s="478"/>
      <c r="J8" s="468">
        <f>Sensitivitätsanalyse!$B$35</f>
        <v>6.6</v>
      </c>
      <c r="K8" s="478">
        <f>Sensitivitätsanalyse!C35</f>
        <v>18.285</v>
      </c>
      <c r="M8" s="200" t="s">
        <v>308</v>
      </c>
      <c r="N8" s="144" t="s">
        <v>23</v>
      </c>
      <c r="O8" s="296">
        <f>Sensitivitätsanalyse!B30*Sensitivitätsanalyse!B29</f>
        <v>90000</v>
      </c>
      <c r="P8" s="88"/>
      <c r="R8" s="484"/>
      <c r="S8" s="370" t="s">
        <v>765</v>
      </c>
      <c r="T8" s="368" t="s">
        <v>21</v>
      </c>
      <c r="U8" s="409"/>
      <c r="V8" s="409"/>
    </row>
    <row r="9" spans="1:22">
      <c r="A9" s="144" t="s">
        <v>36</v>
      </c>
      <c r="B9" s="144" t="s">
        <v>13</v>
      </c>
      <c r="C9" s="508">
        <f t="array" ref="C9">INDEX($F$1:$K$32,MATCH($A9,$F$1:$F$32,0),MATCH(Sensitivitätsanalyse!$B$27&amp;C$1,$F$1:$K$1&amp;$F$2:$K$2,0))</f>
        <v>0</v>
      </c>
      <c r="D9" s="508">
        <f t="array" ref="D9">INDEX($F$1:$K$32,MATCH($A9,$F$1:$F$32,0),MATCH(Sensitivitätsanalyse!$B$27&amp;D$1,$F$1:$K$1&amp;$F$2:$K$2,0))</f>
        <v>13117.445653265362</v>
      </c>
      <c r="F9" s="144" t="s">
        <v>936</v>
      </c>
      <c r="G9" s="144" t="s">
        <v>932</v>
      </c>
      <c r="H9" s="470"/>
      <c r="I9" s="479"/>
      <c r="J9" s="470">
        <f>Sensitivitätsanalyse!$B$33</f>
        <v>6.6</v>
      </c>
      <c r="K9" s="479">
        <f>Sensitivitätsanalyse!C33</f>
        <v>15.9</v>
      </c>
      <c r="M9" s="200" t="s">
        <v>696</v>
      </c>
      <c r="N9" s="144" t="s">
        <v>8</v>
      </c>
      <c r="O9" s="297">
        <v>1</v>
      </c>
      <c r="P9" s="88"/>
      <c r="R9" s="408" t="s">
        <v>774</v>
      </c>
      <c r="S9" s="368" t="s">
        <v>627</v>
      </c>
      <c r="T9" s="368"/>
      <c r="U9" s="409" t="s">
        <v>626</v>
      </c>
      <c r="V9" s="409" t="s">
        <v>628</v>
      </c>
    </row>
    <row r="10" spans="1:22">
      <c r="A10" s="144" t="s">
        <v>938</v>
      </c>
      <c r="C10" s="508">
        <f t="array" ref="C10">INDEX($F$1:$K$32,MATCH($A10,$F$1:$F$32,0),MATCH(Sensitivitätsanalyse!$B$27&amp;C$1,$F$1:$K$1&amp;$F$2:$K$2,0))</f>
        <v>18942</v>
      </c>
      <c r="D10" s="508">
        <f t="array" ref="D10">INDEX($F$1:$K$32,MATCH($A10,$F$1:$F$32,0),MATCH(Sensitivitätsanalyse!$B$27&amp;D$1,$F$1:$K$1&amp;$F$2:$K$2,0))</f>
        <v>35437.445653265364</v>
      </c>
      <c r="F10" s="276" t="s">
        <v>948</v>
      </c>
      <c r="G10" s="276" t="s">
        <v>932</v>
      </c>
      <c r="H10" s="495"/>
      <c r="I10" s="496"/>
      <c r="J10" s="495">
        <v>6.6</v>
      </c>
      <c r="K10" s="496">
        <v>15.9</v>
      </c>
      <c r="M10" s="430" t="s">
        <v>697</v>
      </c>
      <c r="N10" s="431" t="s">
        <v>8</v>
      </c>
      <c r="O10" s="432">
        <v>0</v>
      </c>
      <c r="P10" s="88"/>
      <c r="R10" s="408"/>
      <c r="S10" s="371" t="s">
        <v>264</v>
      </c>
      <c r="T10" s="275" t="s">
        <v>265</v>
      </c>
      <c r="U10" s="375">
        <v>1395</v>
      </c>
      <c r="V10" s="375">
        <v>0</v>
      </c>
    </row>
    <row r="11" spans="1:22">
      <c r="A11" s="88" t="s">
        <v>957</v>
      </c>
      <c r="B11" s="144" t="s">
        <v>5</v>
      </c>
      <c r="C11" s="493">
        <f t="array" ref="C11">INDEX($F$1:$K$32,MATCH($A11,$F$1:$F$32,0),MATCH(Sensitivitätsanalyse!$B$27&amp;C$1,$F$1:$K$1&amp;$F$2:$K$2,0))</f>
        <v>6.6</v>
      </c>
      <c r="D11" s="493">
        <f t="array" ref="D11">INDEX($F$1:$K$32,MATCH($A11,$F$1:$F$32,0),MATCH(Sensitivitätsanalyse!$B$27&amp;D$1,$F$1:$K$1&amp;$F$2:$K$2,0))</f>
        <v>18.285</v>
      </c>
      <c r="F11" s="276" t="s">
        <v>947</v>
      </c>
      <c r="G11" s="276" t="s">
        <v>932</v>
      </c>
      <c r="H11" s="497"/>
      <c r="I11" s="496"/>
      <c r="J11" s="497">
        <v>4.3</v>
      </c>
      <c r="K11" s="496">
        <v>19.399999999999999</v>
      </c>
      <c r="M11" s="430" t="s">
        <v>698</v>
      </c>
      <c r="N11" s="431" t="s">
        <v>8</v>
      </c>
      <c r="O11" s="432">
        <v>0</v>
      </c>
      <c r="P11" s="88"/>
      <c r="R11" s="408"/>
      <c r="S11" s="371" t="s">
        <v>755</v>
      </c>
      <c r="T11" s="368" t="s">
        <v>625</v>
      </c>
      <c r="U11" s="375">
        <v>103</v>
      </c>
      <c r="V11" s="409">
        <v>0</v>
      </c>
    </row>
    <row r="12" spans="1:22">
      <c r="A12" s="144" t="s">
        <v>936</v>
      </c>
      <c r="B12" s="144" t="s">
        <v>5</v>
      </c>
      <c r="C12" s="493">
        <f t="array" ref="C12">INDEX($F$1:$K$32,MATCH($A12,$F$1:$F$32,0),MATCH(Sensitivitätsanalyse!$B$27&amp;C$1,$F$1:$K$1&amp;$F$2:$K$2,0))</f>
        <v>6.6</v>
      </c>
      <c r="D12" s="493">
        <f t="array" ref="D12">INDEX($F$1:$K$32,MATCH($A12,$F$1:$F$32,0),MATCH(Sensitivitätsanalyse!$B$27&amp;D$1,$F$1:$K$1&amp;$F$2:$K$2,0))</f>
        <v>15.9</v>
      </c>
      <c r="F12" s="276" t="s">
        <v>946</v>
      </c>
      <c r="G12" s="276" t="s">
        <v>932</v>
      </c>
      <c r="H12" s="497"/>
      <c r="I12" s="496"/>
      <c r="J12" s="497">
        <v>5.2</v>
      </c>
      <c r="K12" s="496">
        <v>19.5</v>
      </c>
      <c r="M12" s="200" t="s">
        <v>32</v>
      </c>
      <c r="N12" s="144"/>
      <c r="O12" s="298">
        <f>Sensitivitätsanalyse!B25-2013</f>
        <v>0</v>
      </c>
      <c r="P12" s="88"/>
      <c r="R12" s="408"/>
      <c r="S12" s="371" t="s">
        <v>943</v>
      </c>
      <c r="T12" s="275" t="s">
        <v>944</v>
      </c>
      <c r="U12" s="409"/>
      <c r="V12" s="409"/>
    </row>
    <row r="13" spans="1:22">
      <c r="A13" s="276" t="s">
        <v>948</v>
      </c>
      <c r="B13" s="144" t="s">
        <v>5</v>
      </c>
      <c r="C13" s="493">
        <f t="array" ref="C13">INDEX($F$1:$K$32,MATCH($A13,$F$1:$F$32,0),MATCH(Sensitivitätsanalyse!$B$27&amp;C$1,$F$1:$K$1&amp;$F$2:$K$2,0))</f>
        <v>6.6</v>
      </c>
      <c r="D13" s="493">
        <f t="array" ref="D13">INDEX($F$1:$K$32,MATCH($A13,$F$1:$F$32,0),MATCH(Sensitivitätsanalyse!$B$27&amp;D$1,$F$1:$K$1&amp;$F$2:$K$2,0))</f>
        <v>15.9</v>
      </c>
      <c r="F13" s="144" t="s">
        <v>1005</v>
      </c>
      <c r="G13" s="144" t="s">
        <v>13</v>
      </c>
      <c r="H13" s="498"/>
      <c r="I13" s="499"/>
      <c r="J13" s="498">
        <f>'NR Kraftstoffpreisprognosen'!AQ63</f>
        <v>21525</v>
      </c>
      <c r="K13" s="499">
        <f>'NR Kraftstoffpreisprognosen'!$AR$63</f>
        <v>34642.445653265364</v>
      </c>
      <c r="M13" s="200" t="s">
        <v>38</v>
      </c>
      <c r="N13" s="144" t="s">
        <v>9</v>
      </c>
      <c r="O13" s="299">
        <f>'NR Kraftstoffpreisprognosen'!J63</f>
        <v>1.6</v>
      </c>
      <c r="P13" s="88"/>
      <c r="R13" s="408"/>
      <c r="S13" s="368" t="s">
        <v>753</v>
      </c>
      <c r="T13" s="368" t="s">
        <v>23</v>
      </c>
      <c r="U13" s="409">
        <v>0</v>
      </c>
      <c r="V13" s="409">
        <v>165</v>
      </c>
    </row>
    <row r="14" spans="1:22">
      <c r="A14" s="276" t="s">
        <v>947</v>
      </c>
      <c r="B14" s="144" t="s">
        <v>5</v>
      </c>
      <c r="C14" s="493">
        <f t="array" ref="C14">INDEX($F$1:$K$32,MATCH($A14,$F$1:$F$32,0),MATCH(Sensitivitätsanalyse!$B$27&amp;C$1,$F$1:$K$1&amp;$F$2:$K$2,0))</f>
        <v>4.3</v>
      </c>
      <c r="D14" s="493">
        <f t="array" ref="D14">INDEX($F$1:$K$32,MATCH($A14,$F$1:$F$32,0),MATCH(Sensitivitätsanalyse!$B$27&amp;D$1,$F$1:$K$1&amp;$F$2:$K$2,0))</f>
        <v>19.399999999999999</v>
      </c>
      <c r="F14" s="144" t="s">
        <v>1004</v>
      </c>
      <c r="G14" s="144" t="s">
        <v>13</v>
      </c>
      <c r="H14" s="498"/>
      <c r="I14" s="499"/>
      <c r="J14" s="498">
        <v>21525</v>
      </c>
      <c r="K14" s="499">
        <f>J14+Sensitivitätsanalyse!C62-Sensitivitätsanalyse!C65+Sensitivitätsanalyse!$C$60*K19</f>
        <v>34642.445653265364</v>
      </c>
      <c r="M14" s="200" t="s">
        <v>39</v>
      </c>
      <c r="N14" s="144" t="s">
        <v>15</v>
      </c>
      <c r="O14" s="299">
        <f>'NR Kraftstoffpreisprognosen'!$BL$63/100</f>
        <v>0.261681</v>
      </c>
      <c r="P14" s="88"/>
      <c r="R14" s="408"/>
      <c r="S14" s="368" t="s">
        <v>754</v>
      </c>
      <c r="T14" s="368" t="s">
        <v>625</v>
      </c>
      <c r="U14" s="409">
        <v>0</v>
      </c>
      <c r="V14" s="409"/>
    </row>
    <row r="15" spans="1:22">
      <c r="A15" s="276" t="s">
        <v>946</v>
      </c>
      <c r="B15" s="144" t="s">
        <v>5</v>
      </c>
      <c r="C15" s="493">
        <f t="array" ref="C15">INDEX($F$1:$K$32,MATCH($A15,$F$1:$F$32,0),MATCH(Sensitivitätsanalyse!$B$27&amp;C$1,$F$1:$K$1&amp;$F$2:$K$2,0))</f>
        <v>5.2</v>
      </c>
      <c r="D15" s="493">
        <f t="array" ref="D15">INDEX($F$1:$K$32,MATCH($A15,$F$1:$F$32,0),MATCH(Sensitivitätsanalyse!$B$27&amp;D$1,$F$1:$K$1&amp;$F$2:$K$2,0))</f>
        <v>19.5</v>
      </c>
      <c r="F15" s="276" t="s">
        <v>934</v>
      </c>
      <c r="G15" s="276" t="s">
        <v>11</v>
      </c>
      <c r="H15" s="471"/>
      <c r="I15" s="499"/>
      <c r="J15" s="471">
        <v>0</v>
      </c>
      <c r="K15" s="499">
        <v>795</v>
      </c>
      <c r="M15" s="200" t="s">
        <v>40</v>
      </c>
      <c r="N15" s="144" t="s">
        <v>9</v>
      </c>
      <c r="O15" s="299">
        <f ca="1">'NR Kraftstoffpreisprognosen'!J62</f>
        <v>1.6352287014002274</v>
      </c>
      <c r="P15" s="88"/>
      <c r="R15" s="408"/>
      <c r="S15" s="368" t="s">
        <v>756</v>
      </c>
      <c r="T15" s="368" t="s">
        <v>24</v>
      </c>
      <c r="U15" s="409">
        <v>0</v>
      </c>
      <c r="V15" s="409">
        <v>26.5</v>
      </c>
    </row>
    <row r="16" spans="1:22">
      <c r="A16" s="144" t="s">
        <v>935</v>
      </c>
      <c r="B16" s="144" t="s">
        <v>14</v>
      </c>
      <c r="C16" s="493">
        <f t="array" ref="C16">INDEX($F$1:$K$32,MATCH($A16,$F$1:$F$32,0),MATCH(Sensitivitätsanalyse!$B$27&amp;C$1,$F$1:$K$1&amp;$F$2:$K$2,0))</f>
        <v>15.151515151515152</v>
      </c>
      <c r="D16" s="493">
        <f t="array" ref="D16">INDEX($F$1:$K$32,MATCH($A16,$F$1:$F$32,0),MATCH(Sensitivitätsanalyse!$B$27&amp;D$1,$F$1:$K$1&amp;$F$2:$K$2,0))</f>
        <v>5.4689636313918513</v>
      </c>
      <c r="F16" s="144" t="s">
        <v>938</v>
      </c>
      <c r="G16" s="144" t="s">
        <v>13</v>
      </c>
      <c r="H16" s="500"/>
      <c r="I16" s="499"/>
      <c r="J16" s="500">
        <f>J13*(1-Sensitivitätsanalyse!$B$59)</f>
        <v>18942</v>
      </c>
      <c r="K16" s="583">
        <f>K13*(1-Sensitivitätsanalyse!$C$59)+K15</f>
        <v>35437.445653265364</v>
      </c>
      <c r="M16" s="200" t="s">
        <v>41</v>
      </c>
      <c r="N16" s="144" t="s">
        <v>15</v>
      </c>
      <c r="O16" s="299">
        <f ca="1">'NR Kraftstoffpreisprognosen'!$BL$62/100</f>
        <v>0.26646289054797007</v>
      </c>
      <c r="P16" s="88"/>
      <c r="R16" s="372"/>
      <c r="S16" s="368" t="s">
        <v>766</v>
      </c>
      <c r="T16" s="368" t="s">
        <v>85</v>
      </c>
      <c r="U16" s="409">
        <v>0</v>
      </c>
      <c r="V16" s="376">
        <f>K10</f>
        <v>15.9</v>
      </c>
    </row>
    <row r="17" spans="1:22">
      <c r="A17" s="144" t="s">
        <v>941</v>
      </c>
      <c r="B17" s="144" t="s">
        <v>48</v>
      </c>
      <c r="C17" s="494">
        <f t="array" ref="C17">INDEX($F$1:$K$32,MATCH($A17,$F$1:$F$32,0),MATCH(Sensitivitätsanalyse!$B$27&amp;C$1,$F$1:$K$1&amp;$F$2:$K$2,0))</f>
        <v>49.28</v>
      </c>
      <c r="D17" s="494">
        <f t="array" ref="D17">INDEX($F$1:$K$32,MATCH($A17,$F$1:$F$32,0),MATCH(Sensitivitätsanalyse!$B$27&amp;D$1,$F$1:$K$1&amp;$F$2:$K$2,0))</f>
        <v>0</v>
      </c>
      <c r="F17" s="276" t="s">
        <v>259</v>
      </c>
      <c r="G17" s="276" t="s">
        <v>4</v>
      </c>
      <c r="H17" s="472"/>
      <c r="I17" s="211"/>
      <c r="J17" s="472">
        <v>50</v>
      </c>
      <c r="K17" s="211">
        <v>0</v>
      </c>
      <c r="M17" s="200" t="s">
        <v>397</v>
      </c>
      <c r="N17" s="144"/>
      <c r="O17" s="300" t="e">
        <f>INDEX('NR Fahrzeug&amp;Fahrverhalten'!$F$2:$K$28,MATCH(M17,'NR Fahrzeug&amp;Fahrverhalten'!$F$2:$F$1048576,0),MATCH(Sensitivitätsanalyse!#REF!,'NR Fahrzeug&amp;Fahrverhalten'!$F$2:$J$2,0))</f>
        <v>#REF!</v>
      </c>
      <c r="P17" s="88"/>
      <c r="R17" s="372" t="s">
        <v>496</v>
      </c>
      <c r="S17" s="368" t="s">
        <v>767</v>
      </c>
      <c r="T17" s="368" t="s">
        <v>85</v>
      </c>
      <c r="U17" s="409">
        <v>0</v>
      </c>
      <c r="V17" s="376">
        <f>K12</f>
        <v>19.5</v>
      </c>
    </row>
    <row r="18" spans="1:22">
      <c r="A18" s="144" t="s">
        <v>706</v>
      </c>
      <c r="B18" s="144" t="s">
        <v>48</v>
      </c>
      <c r="C18" s="508">
        <f t="array" ref="C18">INDEX($F$1:$K$32,MATCH($A18,$F$1:$F$32,0),MATCH(Sensitivitätsanalyse!$B$27&amp;C$1,$F$1:$K$1&amp;$F$2:$K$2,0))</f>
        <v>75.452583333333351</v>
      </c>
      <c r="D18" s="508">
        <f t="array" ref="D18">INDEX($F$1:$K$32,MATCH($A18,$F$1:$F$32,0),MATCH(Sensitivitätsanalyse!$B$27&amp;D$1,$F$1:$K$1&amp;$F$2:$K$2,0))</f>
        <v>89.501666666666665</v>
      </c>
      <c r="F18" s="276" t="s">
        <v>260</v>
      </c>
      <c r="G18" s="276" t="s">
        <v>24</v>
      </c>
      <c r="H18" s="289"/>
      <c r="I18" s="464"/>
      <c r="J18" s="289">
        <v>0</v>
      </c>
      <c r="K18" s="464">
        <v>26.5</v>
      </c>
      <c r="M18" s="200" t="s">
        <v>424</v>
      </c>
      <c r="N18" s="144" t="s">
        <v>8</v>
      </c>
      <c r="O18" s="301">
        <f>Sensitivitätsanalyse!E30</f>
        <v>0.5</v>
      </c>
      <c r="P18" s="509"/>
      <c r="R18" s="372"/>
      <c r="S18" s="368" t="s">
        <v>768</v>
      </c>
      <c r="T18" s="368" t="s">
        <v>5</v>
      </c>
      <c r="U18" s="409"/>
      <c r="V18" s="409">
        <v>0</v>
      </c>
    </row>
    <row r="19" spans="1:22">
      <c r="A19" s="276" t="s">
        <v>259</v>
      </c>
      <c r="B19" s="276" t="s">
        <v>4</v>
      </c>
      <c r="C19" s="192">
        <f t="array" ref="C19">INDEX($F$1:$K$32,MATCH($A19,$F$1:$F$32,0),MATCH(Sensitivitätsanalyse!$B$27&amp;C$1,$F$1:$K$1&amp;$F$2:$K$2,0))</f>
        <v>50</v>
      </c>
      <c r="D19" s="192">
        <f t="array" ref="D19">INDEX($F$1:$K$32,MATCH($A19,$F$1:$F$32,0),MATCH(Sensitivitätsanalyse!$B$27&amp;D$1,$F$1:$K$1&amp;$F$2:$K$2,0))</f>
        <v>0</v>
      </c>
      <c r="F19" s="144" t="s">
        <v>36</v>
      </c>
      <c r="G19" s="144"/>
      <c r="H19" s="200"/>
      <c r="I19" s="466"/>
      <c r="J19" s="200">
        <v>0</v>
      </c>
      <c r="K19" s="466">
        <f>K18*K20</f>
        <v>13117.445653265362</v>
      </c>
      <c r="M19" s="200" t="s">
        <v>423</v>
      </c>
      <c r="N19" s="144" t="s">
        <v>8</v>
      </c>
      <c r="O19" s="301">
        <f>'NR Kraftstoffpreisprognosen'!CF10</f>
        <v>0.6</v>
      </c>
      <c r="P19" s="196"/>
      <c r="R19" s="372"/>
      <c r="S19" s="368" t="s">
        <v>769</v>
      </c>
      <c r="T19" s="368" t="s">
        <v>5</v>
      </c>
      <c r="U19" s="409"/>
      <c r="V19" s="409">
        <v>0</v>
      </c>
    </row>
    <row r="20" spans="1:22">
      <c r="A20" s="276" t="s">
        <v>260</v>
      </c>
      <c r="B20" s="276" t="s">
        <v>24</v>
      </c>
      <c r="C20" s="501">
        <f t="array" ref="C20">INDEX($F$1:$K$32,MATCH($A20,$F$1:$F$32,0),MATCH(Sensitivitätsanalyse!$B$27&amp;C$1,$F$1:$K$1&amp;$F$2:$K$2,0))</f>
        <v>0</v>
      </c>
      <c r="D20" s="501">
        <f t="array" ref="D20">INDEX($F$1:$K$32,MATCH($A20,$F$1:$F$32,0),MATCH(Sensitivitätsanalyse!$B$27&amp;D$1,$F$1:$K$1&amp;$F$2:$K$2,0))</f>
        <v>26.5</v>
      </c>
      <c r="F20" s="144" t="s">
        <v>808</v>
      </c>
      <c r="G20" s="144" t="s">
        <v>15</v>
      </c>
      <c r="H20" s="200"/>
      <c r="I20" s="480"/>
      <c r="J20" s="200">
        <v>0</v>
      </c>
      <c r="K20" s="480">
        <f>'NR Kraftstoffpreisprognosen'!AG63</f>
        <v>494.99794917982501</v>
      </c>
      <c r="M20" s="200" t="s">
        <v>350</v>
      </c>
      <c r="N20" s="144" t="s">
        <v>3</v>
      </c>
      <c r="O20" s="302">
        <f>'NR Strommix-Prognose'!Q37</f>
        <v>402.14688752238033</v>
      </c>
      <c r="P20" s="88"/>
      <c r="R20" s="372"/>
      <c r="S20" s="368" t="s">
        <v>757</v>
      </c>
      <c r="T20" s="368" t="s">
        <v>8</v>
      </c>
      <c r="U20" s="377">
        <v>0</v>
      </c>
      <c r="V20" s="377">
        <v>1</v>
      </c>
    </row>
    <row r="21" spans="1:22">
      <c r="A21" s="144" t="s">
        <v>430</v>
      </c>
      <c r="C21" s="192">
        <f t="array" ref="C21">INDEX($F$1:$K$32,MATCH($A21,$F$1:$F$32,0),MATCH(Sensitivitätsanalyse!$B$27&amp;C$1,$F$1:$K$1&amp;$F$2:$K$2,0))</f>
        <v>0</v>
      </c>
      <c r="D21" s="192">
        <f t="array" ref="D21">INDEX($F$1:$K$32,MATCH($A21,$F$1:$F$32,0),MATCH(Sensitivitätsanalyse!$B$27&amp;D$1,$F$1:$K$1&amp;$F$2:$K$2,0))</f>
        <v>1100</v>
      </c>
      <c r="F21" s="144" t="s">
        <v>430</v>
      </c>
      <c r="G21" s="144"/>
      <c r="H21" s="200"/>
      <c r="I21" s="464">
        <v>1100</v>
      </c>
      <c r="J21" s="200">
        <v>0</v>
      </c>
      <c r="K21" s="464">
        <v>1100</v>
      </c>
      <c r="M21" s="200" t="s">
        <v>351</v>
      </c>
      <c r="N21" s="144" t="s">
        <v>158</v>
      </c>
      <c r="O21" s="302">
        <f ca="1">'NR Strommix-Prognose'!Q36</f>
        <v>385.91905233794995</v>
      </c>
      <c r="P21" s="88"/>
      <c r="R21" s="372"/>
      <c r="S21" s="368" t="s">
        <v>759</v>
      </c>
      <c r="T21" s="368" t="s">
        <v>8</v>
      </c>
      <c r="U21" s="648">
        <f>O9</f>
        <v>1</v>
      </c>
      <c r="V21" s="648"/>
    </row>
    <row r="22" spans="1:22">
      <c r="A22" s="142" t="s">
        <v>431</v>
      </c>
      <c r="B22" s="142" t="s">
        <v>23</v>
      </c>
      <c r="C22" s="192">
        <f t="array" ref="C22">INDEX($F$1:$K$32,MATCH($A22,$F$1:$F$32,0),MATCH(Sensitivitätsanalyse!$B$27&amp;C$1,$F$1:$K$1&amp;$F$2:$K$2,0))</f>
        <v>0</v>
      </c>
      <c r="D22" s="192">
        <f t="array" ref="D22">INDEX($F$1:$K$32,MATCH($A22,$F$1:$F$32,0),MATCH(Sensitivitätsanalyse!$B$27&amp;D$1,$F$1:$K$1&amp;$F$2:$K$2,0))</f>
        <v>183333.33333333331</v>
      </c>
      <c r="F22" s="144" t="s">
        <v>431</v>
      </c>
      <c r="G22" s="144" t="s">
        <v>23</v>
      </c>
      <c r="H22" s="453"/>
      <c r="I22" s="465"/>
      <c r="J22" s="453">
        <v>0</v>
      </c>
      <c r="K22" s="465">
        <f>K21*K5</f>
        <v>183333.33333333331</v>
      </c>
      <c r="M22" s="203" t="s">
        <v>351</v>
      </c>
      <c r="N22" s="143" t="s">
        <v>399</v>
      </c>
      <c r="O22" s="303">
        <f>40</f>
        <v>40</v>
      </c>
      <c r="P22" s="144"/>
      <c r="R22" s="372"/>
      <c r="S22" s="371" t="s">
        <v>770</v>
      </c>
      <c r="T22" s="368" t="s">
        <v>8</v>
      </c>
      <c r="U22" s="407">
        <f>Sensitivitätsanalyse!B32</f>
        <v>0</v>
      </c>
      <c r="V22" s="407">
        <f>Sensitivitätsanalyse!C32</f>
        <v>0.15</v>
      </c>
    </row>
    <row r="23" spans="1:22">
      <c r="A23" s="276" t="s">
        <v>933</v>
      </c>
      <c r="B23" s="276" t="s">
        <v>11</v>
      </c>
      <c r="C23" s="502">
        <f t="array" aca="1" ref="C23" ca="1">INDEX($F$1:$K$32,MATCH($A23,$F$1:$F$32,0),MATCH(Sensitivitätsanalyse!$B$27&amp;C$1,$F$1:$K$1&amp;$F$2:$K$2,0))</f>
        <v>0.10792509429241501</v>
      </c>
      <c r="D23" s="502">
        <f t="array" aca="1" ref="D23" ca="1">INDEX($F$1:$K$32,MATCH($A23,$F$1:$F$32,0),MATCH(Sensitivitätsanalyse!$B$27&amp;D$1,$F$1:$K$1&amp;$F$2:$K$2,0))</f>
        <v>4.2367599597127242E-2</v>
      </c>
      <c r="F23" s="142" t="s">
        <v>705</v>
      </c>
      <c r="G23" s="144" t="s">
        <v>13</v>
      </c>
      <c r="H23" s="473"/>
      <c r="I23" s="466"/>
      <c r="J23" s="471">
        <f ca="1">'NR Kraftstoffpreisprognosen'!AU62</f>
        <v>369.6978900020415</v>
      </c>
      <c r="K23" s="471">
        <f ca="1">'NR Kraftstoffpreisprognosen'!AW62</f>
        <v>249.79595338755863</v>
      </c>
      <c r="P23" s="144"/>
      <c r="R23" s="275"/>
      <c r="S23" s="371" t="s">
        <v>775</v>
      </c>
      <c r="T23" s="368" t="s">
        <v>85</v>
      </c>
      <c r="U23" s="409">
        <v>0</v>
      </c>
      <c r="V23" s="378">
        <f>Sensitivitätsanalyse!C35</f>
        <v>18.285</v>
      </c>
    </row>
    <row r="24" spans="1:22">
      <c r="A24" s="276" t="s">
        <v>939</v>
      </c>
      <c r="B24" s="276" t="s">
        <v>13</v>
      </c>
      <c r="C24" s="494">
        <f t="array" aca="1" ref="C24" ca="1">INDEX($F$1:$K$32,MATCH($A24,$F$1:$F$32,0),MATCH(Sensitivitätsanalyse!$B$27&amp;C$1,$F$1:$K$1&amp;$F$2:$K$2,0))</f>
        <v>81.761435070011373</v>
      </c>
      <c r="D24" s="494">
        <f t="array" aca="1" ref="D24" ca="1">INDEX($F$1:$K$32,MATCH($A24,$F$1:$F$32,0),MATCH(Sensitivitätsanalyse!$B$27&amp;D$1,$F$1:$K$1&amp;$F$2:$K$2,0))</f>
        <v>7.0612665995212067</v>
      </c>
      <c r="F24" s="198" t="s">
        <v>927</v>
      </c>
      <c r="G24" s="144" t="s">
        <v>267</v>
      </c>
      <c r="H24" s="474"/>
      <c r="I24" s="211"/>
      <c r="J24" s="474">
        <v>120</v>
      </c>
      <c r="K24" s="211">
        <v>0</v>
      </c>
      <c r="M24" s="88" t="s">
        <v>242</v>
      </c>
      <c r="R24" s="275"/>
      <c r="S24" s="371" t="s">
        <v>776</v>
      </c>
      <c r="T24" s="368" t="s">
        <v>5</v>
      </c>
      <c r="U24" s="378">
        <f>J8</f>
        <v>6.6</v>
      </c>
      <c r="V24" s="409">
        <v>0</v>
      </c>
    </row>
    <row r="25" spans="1:22">
      <c r="A25" s="142" t="s">
        <v>705</v>
      </c>
      <c r="B25" s="142" t="s">
        <v>749</v>
      </c>
      <c r="C25" s="494">
        <f t="array" aca="1" ref="C25" ca="1">INDEX($F$1:$K$32,MATCH($A25,$F$1:$F$32,0),MATCH(Sensitivitätsanalyse!$B$27&amp;C$1,$F$1:$K$1&amp;$F$2:$K$2,0))</f>
        <v>369.6978900020415</v>
      </c>
      <c r="D25" s="494">
        <f t="array" aca="1" ref="D25" ca="1">INDEX($F$1:$K$32,MATCH($A25,$F$1:$F$32,0),MATCH(Sensitivitätsanalyse!$B$27&amp;D$1,$F$1:$K$1&amp;$F$2:$K$2,0))</f>
        <v>249.79595338755863</v>
      </c>
      <c r="F25" s="144" t="s">
        <v>928</v>
      </c>
      <c r="G25" s="144" t="s">
        <v>267</v>
      </c>
      <c r="H25" s="475"/>
      <c r="I25" s="211"/>
      <c r="J25" s="475">
        <f>'NR Fahrzeug&amp;Fahrverhalten'!$J$12*23.2</f>
        <v>120.64</v>
      </c>
      <c r="K25" s="211">
        <v>0</v>
      </c>
      <c r="M25" s="276"/>
      <c r="N25" s="144"/>
      <c r="O25" s="192"/>
      <c r="R25" s="275"/>
      <c r="S25" s="373" t="s">
        <v>771</v>
      </c>
      <c r="T25" s="374" t="s">
        <v>13</v>
      </c>
      <c r="U25" s="379">
        <f>J14</f>
        <v>21525</v>
      </c>
      <c r="V25" s="380">
        <f>K14</f>
        <v>34642.445653265364</v>
      </c>
    </row>
    <row r="26" spans="1:22">
      <c r="A26" s="144" t="s">
        <v>942</v>
      </c>
      <c r="B26" s="144" t="s">
        <v>48</v>
      </c>
      <c r="C26" s="494">
        <f t="array" ref="C26">INDEX($F$1:$K$32,MATCH($A26,$F$1:$F$32,0),MATCH(Sensitivitätsanalyse!$B$27&amp;C$1,$F$1:$K$1&amp;$F$2:$K$2,0))</f>
        <v>20</v>
      </c>
      <c r="D26" s="494">
        <f t="array" ref="D26">INDEX($F$1:$K$32,MATCH($A26,$F$1:$F$32,0),MATCH(Sensitivitätsanalyse!$B$27&amp;D$1,$F$1:$K$1&amp;$F$2:$K$2,0))</f>
        <v>0</v>
      </c>
      <c r="F26" s="144" t="s">
        <v>264</v>
      </c>
      <c r="G26" s="144" t="s">
        <v>265</v>
      </c>
      <c r="H26" s="475"/>
      <c r="I26" s="211"/>
      <c r="J26" s="475">
        <v>1390</v>
      </c>
      <c r="K26" s="211">
        <v>0</v>
      </c>
      <c r="M26" s="144" t="s">
        <v>261</v>
      </c>
      <c r="N26" s="144" t="s">
        <v>287</v>
      </c>
      <c r="O26" s="304" t="e">
        <f>INDEX(#REF!,MATCH(Sensitivitätsanalyse!$B$25,#REF!,0),MATCH($M26,'NR Kraftstoffpreisprognosen'!$AB$1:$AE$1,0))</f>
        <v>#REF!</v>
      </c>
      <c r="R26" s="275"/>
      <c r="S26" s="373" t="s">
        <v>772</v>
      </c>
      <c r="T26" s="374" t="s">
        <v>8</v>
      </c>
      <c r="U26" s="381">
        <f>Sensitivitätsanalyse!B59</f>
        <v>0.12</v>
      </c>
      <c r="V26" s="381">
        <f>Sensitivitätsanalyse!C59</f>
        <v>0</v>
      </c>
    </row>
    <row r="27" spans="1:22">
      <c r="A27" s="198" t="s">
        <v>707</v>
      </c>
      <c r="B27" s="144" t="s">
        <v>48</v>
      </c>
      <c r="C27" s="494">
        <f t="array" ref="C27">INDEX($F$1:$K$32,MATCH($A27,$F$1:$F$32,0),MATCH(Sensitivitätsanalyse!$B$27&amp;C$1,$F$1:$K$1&amp;$F$2:$K$2,0))</f>
        <v>30</v>
      </c>
      <c r="D27" s="494">
        <f t="array" ref="D27">INDEX($F$1:$K$32,MATCH($A27,$F$1:$F$32,0),MATCH(Sensitivitätsanalyse!$B$27&amp;D$1,$F$1:$K$1&amp;$F$2:$K$2,0))</f>
        <v>20</v>
      </c>
      <c r="F27" s="144" t="s">
        <v>941</v>
      </c>
      <c r="G27" s="144" t="s">
        <v>48</v>
      </c>
      <c r="H27" s="473"/>
      <c r="I27" s="466"/>
      <c r="J27" s="473">
        <f>(ROUNDUP(J26,-2)/50)+ MAX(0,(J25-'NR Kfz-Steuer'!$C$11)*2)</f>
        <v>49.28</v>
      </c>
      <c r="K27" s="466">
        <v>0</v>
      </c>
      <c r="M27" s="144" t="s">
        <v>285</v>
      </c>
      <c r="N27" s="144" t="s">
        <v>286</v>
      </c>
      <c r="O27" s="294" t="e">
        <f>INDEX(#REF!,MATCH(Sensitivitätsanalyse!$B$25,#REF!,0),MATCH('NR Fahrzeug&amp;Fahrverhalten'!$F$19,'NR Kraftstoffpreisprognosen'!$AB$1:$AE$1,0))</f>
        <v>#REF!</v>
      </c>
      <c r="R27" s="275"/>
      <c r="S27" s="371" t="s">
        <v>699</v>
      </c>
      <c r="T27" s="368" t="s">
        <v>13</v>
      </c>
      <c r="U27" s="382">
        <f>J16</f>
        <v>18942</v>
      </c>
      <c r="V27" s="382">
        <f>K16</f>
        <v>35437.445653265364</v>
      </c>
    </row>
    <row r="28" spans="1:22">
      <c r="A28" s="198" t="s">
        <v>1006</v>
      </c>
      <c r="B28" s="144" t="s">
        <v>13</v>
      </c>
      <c r="C28" s="494" t="e">
        <f t="array" ref="C28">INDEX($F$1:$K$32,MATCH($A28,$F$1:$F$32,0),MATCH(Sensitivitätsanalyse!$B$27&amp;C$1,$F$1:$K$1&amp;$F$2:$K$2,0))</f>
        <v>#N/A</v>
      </c>
      <c r="D28" s="494" t="e">
        <f t="array" ref="D28">INDEX($F$1:$K$32,MATCH($A28,$F$1:$F$32,0),MATCH(Sensitivitätsanalyse!$B$27&amp;D$1,$F$1:$K$1&amp;$F$2:$K$2,0))</f>
        <v>#N/A</v>
      </c>
      <c r="F28" s="144" t="s">
        <v>706</v>
      </c>
      <c r="G28" s="144" t="s">
        <v>48</v>
      </c>
      <c r="H28" s="485"/>
      <c r="I28" s="486"/>
      <c r="J28" s="485">
        <f>Versicherung!A13/12</f>
        <v>75.452583333333351</v>
      </c>
      <c r="K28" s="485">
        <f>Versicherung!B13/12</f>
        <v>89.501666666666665</v>
      </c>
      <c r="M28" s="144" t="s">
        <v>296</v>
      </c>
      <c r="N28" s="144" t="s">
        <v>275</v>
      </c>
      <c r="O28" s="385">
        <f>'NR Kraftstoffpreisprognosen'!CA11</f>
        <v>0.15</v>
      </c>
    </row>
    <row r="29" spans="1:22">
      <c r="F29" s="198" t="s">
        <v>707</v>
      </c>
      <c r="G29" s="144" t="s">
        <v>48</v>
      </c>
      <c r="H29" s="487"/>
      <c r="I29" s="463"/>
      <c r="J29" s="487">
        <v>30</v>
      </c>
      <c r="K29" s="463">
        <v>20</v>
      </c>
      <c r="M29" s="144" t="s">
        <v>289</v>
      </c>
      <c r="N29" s="144" t="s">
        <v>21</v>
      </c>
      <c r="O29" s="284" t="e">
        <f>'NR Fahrzeug&amp;Fahrverhalten'!$D$20/$O$26+'NR Kraftstoffpreisprognosen'!CA7</f>
        <v>#REF!</v>
      </c>
    </row>
    <row r="30" spans="1:22">
      <c r="F30" s="144" t="s">
        <v>942</v>
      </c>
      <c r="G30" s="144" t="s">
        <v>48</v>
      </c>
      <c r="H30" s="487"/>
      <c r="I30" s="463"/>
      <c r="J30" s="487">
        <v>20</v>
      </c>
      <c r="K30" s="463">
        <v>0</v>
      </c>
      <c r="M30" s="144" t="s">
        <v>288</v>
      </c>
      <c r="N30" s="144" t="s">
        <v>297</v>
      </c>
      <c r="O30" s="305" t="e">
        <f>Sensitivitätsanalyse!C64+'NR Fahrzeug&amp;Fahrverhalten'!D20*O27</f>
        <v>#REF!</v>
      </c>
    </row>
    <row r="31" spans="1:22">
      <c r="F31" s="276" t="s">
        <v>939</v>
      </c>
      <c r="G31" s="276" t="s">
        <v>13</v>
      </c>
      <c r="H31" s="476"/>
      <c r="I31" s="466"/>
      <c r="J31" s="476">
        <f ca="1">J17*'NR Fahrzeug&amp;Fahrverhalten'!$O$15</f>
        <v>81.761435070011373</v>
      </c>
      <c r="K31" s="466">
        <f ca="1">K18*'NR Kraftstoffpreisprognosen'!$BL$62/100</f>
        <v>7.0612665995212067</v>
      </c>
    </row>
    <row r="32" spans="1:22">
      <c r="F32" s="279" t="s">
        <v>933</v>
      </c>
      <c r="G32" s="279" t="s">
        <v>11</v>
      </c>
      <c r="H32" s="477"/>
      <c r="I32" s="467"/>
      <c r="J32" s="477">
        <f ca="1">J9/100*'NR Fahrzeug&amp;Fahrverhalten'!$O$15</f>
        <v>0.10792509429241501</v>
      </c>
      <c r="K32" s="467">
        <f ca="1">Sensitivitätsanalyse!C33/100*$O$16</f>
        <v>4.2367599597127242E-2</v>
      </c>
    </row>
    <row r="33" spans="1:48">
      <c r="A33" s="364" t="s">
        <v>411</v>
      </c>
      <c r="B33" s="364"/>
      <c r="C33" s="503">
        <f>(PMT((Sensitivitätsanalyse!$B$69-Sensitivitätsanalyse!$B$71)/12,Sensitivitätsanalyse!$B$30*12,Sensitivitätsanalyse!$B$68,0,1)+PMT((Sensitivitätsanalyse!$B$70-Sensitivitätsanalyse!$B$71)/12,Sensitivitätsanalyse!$B$30*12,('Cash Flows'!$C$4-'Cash Flows'!$C$5)-Sensitivitätsanalyse!$B$68,0,1))*-1</f>
        <v>303.7938268612815</v>
      </c>
      <c r="D33" s="503">
        <f>(PMT((Sensitivitätsanalyse!$B$69-Sensitivitätsanalyse!$B$71)/12,Sensitivitätsanalyse!$B$30*12,Sensitivitätsanalyse!$B$68,0,1)+PMT((Sensitivitätsanalyse!$B$70-Sensitivitätsanalyse!$B$71)/12,Sensitivitätsanalyse!$B$30*12,('Cash Flows'!$D$4-'Cash Flows'!$D$5)-Sensitivitätsanalyse!$B$68,0,1))*-1</f>
        <v>568.34955280298652</v>
      </c>
      <c r="G33" s="198"/>
      <c r="H33" s="198"/>
      <c r="I33" s="198"/>
      <c r="J33" s="198"/>
    </row>
    <row r="34" spans="1:48">
      <c r="A34" s="364" t="s">
        <v>413</v>
      </c>
      <c r="B34" s="364"/>
      <c r="C34" s="503">
        <f>C37*Sensitivitätsanalyse!B30*12</f>
        <v>2931.1555340122695</v>
      </c>
      <c r="D34" s="503">
        <f>D37*Sensitivitätsanalyse!B30*12</f>
        <v>5483.7221485496666</v>
      </c>
      <c r="F34" s="280" t="s">
        <v>395</v>
      </c>
      <c r="G34" s="280"/>
      <c r="H34" s="280"/>
      <c r="I34" s="280"/>
      <c r="J34" s="280"/>
      <c r="K34" s="456">
        <f>1-('NR Kraftstoffpreisprognosen'!$CF$9+'NR Kraftstoffpreisprognosen'!$CF$10)/2</f>
        <v>0.25</v>
      </c>
    </row>
    <row r="35" spans="1:48">
      <c r="A35" s="364" t="s">
        <v>398</v>
      </c>
      <c r="B35" s="364"/>
      <c r="C35" s="504">
        <f>(('Cash Flows'!$C$4-'Cash Flows'!$C$5))*Sensitivitätsanalyse!$B$69</f>
        <v>0</v>
      </c>
      <c r="D35" s="504">
        <f>(('Cash Flows'!$D$4-'Cash Flows'!$D$5))*Sensitivitätsanalyse!$B$69</f>
        <v>0</v>
      </c>
      <c r="F35" s="280" t="s">
        <v>392</v>
      </c>
      <c r="G35" s="280"/>
      <c r="H35" s="280"/>
      <c r="I35" s="280"/>
      <c r="J35" s="280"/>
      <c r="K35" s="457">
        <v>0</v>
      </c>
    </row>
    <row r="36" spans="1:48">
      <c r="A36" s="364" t="s">
        <v>414</v>
      </c>
      <c r="B36" s="364"/>
      <c r="C36" s="503">
        <f>('Cash Flows'!$C$4-'Cash Flows'!$C$5)/(Sensitivitätsanalyse!$B$30*12)</f>
        <v>263.08333333333331</v>
      </c>
      <c r="D36" s="503">
        <f>('Cash Flows'!$D$4-'Cash Flows'!$D$5)/(Sensitivitätsanalyse!$B$30*12)</f>
        <v>492.18674518424115</v>
      </c>
      <c r="F36" s="280" t="s">
        <v>352</v>
      </c>
      <c r="G36" s="280"/>
      <c r="H36" s="280"/>
      <c r="I36" s="280"/>
      <c r="J36" s="280"/>
      <c r="K36" s="458">
        <f>'NR Batterieleasing'!$F$18+K35</f>
        <v>96</v>
      </c>
    </row>
    <row r="37" spans="1:48">
      <c r="A37" s="364" t="s">
        <v>415</v>
      </c>
      <c r="B37" s="364"/>
      <c r="C37" s="503">
        <f>C33-C36</f>
        <v>40.710493527948188</v>
      </c>
      <c r="D37" s="503">
        <f>D33-D36</f>
        <v>76.162807618745376</v>
      </c>
      <c r="F37" s="280" t="s">
        <v>397</v>
      </c>
      <c r="G37" s="280"/>
      <c r="H37" s="280"/>
      <c r="I37" s="280"/>
      <c r="J37" s="280"/>
      <c r="K37" s="458" t="e">
        <f>K19/Sensitivitätsanalyse!#REF!/12*(1-Sensitivitätsanalyse!$C$60)</f>
        <v>#REF!</v>
      </c>
    </row>
    <row r="38" spans="1:48">
      <c r="A38" s="455" t="s">
        <v>262</v>
      </c>
      <c r="B38" s="455"/>
      <c r="C38" s="455"/>
      <c r="D38" s="505" t="e">
        <f>#REF!</f>
        <v>#REF!</v>
      </c>
      <c r="F38" s="280" t="s">
        <v>396</v>
      </c>
      <c r="G38" s="280"/>
      <c r="H38" s="280"/>
      <c r="I38" s="280"/>
      <c r="J38" s="280"/>
      <c r="K38" s="458" t="e">
        <f>K37*12*Sensitivitätsanalyse!$B$30</f>
        <v>#REF!</v>
      </c>
    </row>
    <row r="39" spans="1:48">
      <c r="A39" s="455" t="s">
        <v>352</v>
      </c>
      <c r="B39" s="455"/>
      <c r="C39" s="455"/>
      <c r="D39" s="506" t="e">
        <f t="array" ref="D39">INDEX('NR Fahrzeug&amp;Fahrverhalten'!$F$2:$K$28,MATCH(#REF!&amp;A39,'NR Fahrzeug&amp;Fahrverhalten'!#REF!&amp;'NR Fahrzeug&amp;Fahrverhalten'!$F$2:$F$1048576,0),MATCH(Sensitivitätsanalyse!#REF!,'NR Fahrzeug&amp;Fahrverhalten'!$F$2:$J$2,0))</f>
        <v>#REF!</v>
      </c>
      <c r="F39" s="280" t="s">
        <v>253</v>
      </c>
      <c r="G39" s="280" t="s">
        <v>13</v>
      </c>
      <c r="H39" s="280"/>
      <c r="I39" s="280"/>
      <c r="J39" s="280"/>
      <c r="K39" s="459">
        <f>Sensitivitätsanalyse!$B$30*12*K36</f>
        <v>6912</v>
      </c>
    </row>
    <row r="40" spans="1:48">
      <c r="A40" s="455" t="s">
        <v>396</v>
      </c>
      <c r="B40" s="455"/>
      <c r="C40" s="455"/>
      <c r="D40" s="506" t="e">
        <f t="array" ref="D40">INDEX('NR Fahrzeug&amp;Fahrverhalten'!$F$2:$K$28,MATCH(#REF!&amp;A40,'NR Fahrzeug&amp;Fahrverhalten'!#REF!&amp;'NR Fahrzeug&amp;Fahrverhalten'!$F$2:$F$1048576,0),MATCH(Sensitivitätsanalyse!#REF!,'NR Fahrzeug&amp;Fahrverhalten'!$F$2:$J$2,0))</f>
        <v>#REF!</v>
      </c>
      <c r="G40" s="198"/>
      <c r="H40" s="198"/>
      <c r="I40" s="198"/>
      <c r="J40" s="198"/>
    </row>
    <row r="41" spans="1:48">
      <c r="A41" s="455" t="s">
        <v>253</v>
      </c>
      <c r="B41" s="455" t="s">
        <v>13</v>
      </c>
      <c r="C41" s="455"/>
      <c r="D41" s="506" t="e">
        <f t="array" ref="D41">INDEX('NR Fahrzeug&amp;Fahrverhalten'!$F$2:$K$28,MATCH(#REF!&amp;A41,'NR Fahrzeug&amp;Fahrverhalten'!#REF!&amp;'NR Fahrzeug&amp;Fahrverhalten'!$F$2:$F$1048576,0),MATCH(Sensitivitätsanalyse!#REF!,'NR Fahrzeug&amp;Fahrverhalten'!$F$2:$J$2,0))</f>
        <v>#REF!</v>
      </c>
      <c r="E41" s="142"/>
    </row>
    <row r="42" spans="1:48">
      <c r="E42" s="142"/>
    </row>
    <row r="43" spans="1:48">
      <c r="E43" s="142"/>
    </row>
    <row r="44" spans="1:48">
      <c r="E44" s="142"/>
    </row>
    <row r="45" spans="1:48">
      <c r="E45" s="142"/>
      <c r="AV45" s="507"/>
    </row>
    <row r="46" spans="1:48">
      <c r="E46" s="142"/>
    </row>
    <row r="47" spans="1:48">
      <c r="E47" s="142"/>
    </row>
    <row r="48" spans="1:48">
      <c r="E48" s="142"/>
    </row>
    <row r="49" spans="5:5">
      <c r="E49" s="142"/>
    </row>
    <row r="50" spans="5:5">
      <c r="E50" s="142"/>
    </row>
    <row r="51" spans="5:5">
      <c r="E51" s="142"/>
    </row>
    <row r="52" spans="5:5">
      <c r="E52" s="142"/>
    </row>
    <row r="53" spans="5:5">
      <c r="E53" s="142"/>
    </row>
    <row r="54" spans="5:5">
      <c r="E54" s="142"/>
    </row>
    <row r="55" spans="5:5">
      <c r="E55" s="142"/>
    </row>
    <row r="56" spans="5:5">
      <c r="E56" s="142"/>
    </row>
    <row r="57" spans="5:5">
      <c r="E57" s="142"/>
    </row>
    <row r="58" spans="5:5">
      <c r="E58" s="142"/>
    </row>
    <row r="59" spans="5:5">
      <c r="E59" s="142"/>
    </row>
    <row r="60" spans="5:5">
      <c r="E60" s="142"/>
    </row>
    <row r="61" spans="5:5">
      <c r="E61" s="142"/>
    </row>
    <row r="62" spans="5:5">
      <c r="E62" s="142"/>
    </row>
    <row r="63" spans="5:5">
      <c r="E63" s="142"/>
    </row>
    <row r="64" spans="5:5">
      <c r="E64" s="142"/>
    </row>
    <row r="65" spans="5:5">
      <c r="E65" s="142"/>
    </row>
    <row r="66" spans="5:5">
      <c r="E66" s="142"/>
    </row>
    <row r="67" spans="5:5">
      <c r="E67" s="142"/>
    </row>
    <row r="68" spans="5:5">
      <c r="E68" s="142"/>
    </row>
    <row r="69" spans="5:5">
      <c r="E69" s="142"/>
    </row>
    <row r="70" spans="5:5">
      <c r="E70" s="142"/>
    </row>
    <row r="71" spans="5:5">
      <c r="E71" s="142"/>
    </row>
    <row r="72" spans="5:5">
      <c r="E72" s="142"/>
    </row>
    <row r="73" spans="5:5">
      <c r="E73" s="142"/>
    </row>
    <row r="74" spans="5:5">
      <c r="E74" s="142"/>
    </row>
    <row r="75" spans="5:5">
      <c r="E75" s="142"/>
    </row>
    <row r="76" spans="5:5">
      <c r="E76" s="142"/>
    </row>
    <row r="77" spans="5:5">
      <c r="E77" s="142"/>
    </row>
    <row r="78" spans="5:5">
      <c r="E78" s="142"/>
    </row>
    <row r="79" spans="5:5">
      <c r="E79" s="142"/>
    </row>
    <row r="80" spans="5:5">
      <c r="E80" s="142"/>
    </row>
    <row r="81" spans="5:22">
      <c r="E81" s="142"/>
    </row>
    <row r="82" spans="5:22">
      <c r="E82" s="142"/>
    </row>
    <row r="83" spans="5:22">
      <c r="E83" s="142"/>
    </row>
    <row r="84" spans="5:22">
      <c r="E84" s="142"/>
    </row>
    <row r="85" spans="5:22">
      <c r="E85" s="142"/>
    </row>
    <row r="86" spans="5:22">
      <c r="E86" s="142"/>
    </row>
    <row r="87" spans="5:22">
      <c r="T87" s="142"/>
      <c r="U87" s="142"/>
      <c r="V87" s="142"/>
    </row>
    <row r="88" spans="5:22">
      <c r="T88" s="142"/>
      <c r="U88" s="142"/>
      <c r="V88" s="142"/>
    </row>
    <row r="89" spans="5:22" ht="15" customHeight="1">
      <c r="T89" s="142"/>
      <c r="U89" s="142"/>
      <c r="V89" s="142"/>
    </row>
    <row r="90" spans="5:22" ht="30" customHeight="1">
      <c r="T90" s="142"/>
      <c r="U90" s="142"/>
      <c r="V90" s="142"/>
    </row>
    <row r="91" spans="5:22">
      <c r="T91" s="142"/>
      <c r="U91" s="142"/>
      <c r="V91" s="142"/>
    </row>
    <row r="92" spans="5:22">
      <c r="T92" s="142"/>
      <c r="U92" s="142"/>
      <c r="V92" s="142"/>
    </row>
    <row r="93" spans="5:22">
      <c r="T93" s="142"/>
      <c r="U93" s="142"/>
      <c r="V93" s="142"/>
    </row>
    <row r="94" spans="5:22">
      <c r="T94" s="142"/>
      <c r="U94" s="142"/>
      <c r="V94" s="142"/>
    </row>
    <row r="95" spans="5:22">
      <c r="T95" s="142"/>
      <c r="U95" s="142"/>
      <c r="V95" s="142"/>
    </row>
    <row r="96" spans="5:22">
      <c r="T96" s="142"/>
      <c r="U96" s="142"/>
      <c r="V96" s="142"/>
    </row>
    <row r="97" spans="20:22">
      <c r="T97" s="142"/>
      <c r="U97" s="142"/>
      <c r="V97" s="142"/>
    </row>
    <row r="98" spans="20:22">
      <c r="T98" s="142"/>
      <c r="U98" s="142"/>
      <c r="V98" s="142"/>
    </row>
    <row r="121" spans="19:22">
      <c r="S121" s="369"/>
      <c r="T121" s="369"/>
      <c r="U121" s="369"/>
      <c r="V121" s="369"/>
    </row>
  </sheetData>
  <mergeCells count="5">
    <mergeCell ref="U21:V21"/>
    <mergeCell ref="U2:V2"/>
    <mergeCell ref="U3:V3"/>
    <mergeCell ref="U4:V4"/>
    <mergeCell ref="U7:V7"/>
  </mergeCells>
  <pageMargins left="0.7" right="0.7" top="0.78740157499999996" bottom="0.78740157499999996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F103"/>
  <sheetViews>
    <sheetView zoomScaleNormal="100" workbookViewId="0">
      <pane xSplit="1" topLeftCell="BM1" activePane="topRight" state="frozen"/>
      <selection activeCell="A3" sqref="A3"/>
      <selection pane="topRight" activeCell="BY19" sqref="BY19"/>
    </sheetView>
  </sheetViews>
  <sheetFormatPr baseColWidth="10" defaultRowHeight="15" outlineLevelRow="1" outlineLevelCol="1"/>
  <cols>
    <col min="1" max="1" width="11.5" style="55" bestFit="1" customWidth="1"/>
    <col min="2" max="2" width="7.83203125" style="55" hidden="1" customWidth="1" outlineLevel="1"/>
    <col min="3" max="3" width="8.6640625" style="55" hidden="1" customWidth="1" outlineLevel="1"/>
    <col min="4" max="4" width="5.1640625" style="55" bestFit="1" customWidth="1" collapsed="1"/>
    <col min="5" max="5" width="18.5" style="55" customWidth="1" outlineLevel="1"/>
    <col min="6" max="6" width="8.5" style="55" customWidth="1" outlineLevel="1"/>
    <col min="7" max="7" width="9.5" style="55" customWidth="1" outlineLevel="1"/>
    <col min="8" max="8" width="13.6640625" style="55" customWidth="1" outlineLevel="1"/>
    <col min="9" max="9" width="10.5" style="55" customWidth="1" outlineLevel="1"/>
    <col min="10" max="10" width="19.33203125" style="55" customWidth="1"/>
    <col min="11" max="11" width="10.1640625" style="55" customWidth="1" outlineLevel="1"/>
    <col min="12" max="12" width="8.5" style="55" customWidth="1" outlineLevel="1"/>
    <col min="13" max="13" width="19.5" style="55" customWidth="1" outlineLevel="1"/>
    <col min="14" max="14" width="12" style="55" customWidth="1" outlineLevel="1"/>
    <col min="15" max="15" width="8.5" style="55" customWidth="1" outlineLevel="1"/>
    <col min="16" max="16" width="20.33203125" style="55" bestFit="1" customWidth="1"/>
    <col min="17" max="19" width="21.6640625" style="55" customWidth="1"/>
    <col min="20" max="21" width="10.5" style="55" customWidth="1"/>
    <col min="25" max="25" width="11.5" style="524"/>
    <col min="26" max="26" width="11.5" style="547"/>
    <col min="27" max="27" width="17" style="547" bestFit="1" customWidth="1"/>
    <col min="28" max="29" width="38.33203125" bestFit="1" customWidth="1"/>
    <col min="30" max="30" width="38.33203125" customWidth="1"/>
    <col min="31" max="31" width="14.5" bestFit="1" customWidth="1"/>
    <col min="32" max="32" width="14.5" customWidth="1"/>
    <col min="33" max="33" width="11.5" bestFit="1" customWidth="1"/>
    <col min="34" max="34" width="15.33203125" bestFit="1" customWidth="1"/>
    <col min="35" max="35" width="15.5" bestFit="1" customWidth="1"/>
    <col min="36" max="36" width="11.5" bestFit="1" customWidth="1"/>
    <col min="37" max="37" width="15.33203125" bestFit="1" customWidth="1"/>
    <col min="38" max="38" width="15.5" bestFit="1" customWidth="1"/>
    <col min="39" max="39" width="17" bestFit="1" customWidth="1"/>
    <col min="40" max="40" width="6.5" bestFit="1" customWidth="1"/>
    <col min="41" max="41" width="26" bestFit="1" customWidth="1"/>
    <col min="42" max="42" width="6.5" bestFit="1" customWidth="1"/>
    <col min="43" max="43" width="16.33203125" bestFit="1" customWidth="1"/>
    <col min="44" max="44" width="16.33203125" customWidth="1"/>
    <col min="45" max="45" width="17.33203125" bestFit="1" customWidth="1"/>
    <col min="46" max="48" width="9.5" bestFit="1" customWidth="1"/>
    <col min="49" max="49" width="8.83203125" bestFit="1" customWidth="1"/>
    <col min="50" max="51" width="10.5" bestFit="1" customWidth="1"/>
    <col min="52" max="52" width="8.1640625" bestFit="1" customWidth="1"/>
    <col min="53" max="53" width="6.83203125" bestFit="1" customWidth="1"/>
    <col min="54" max="54" width="9.1640625" bestFit="1" customWidth="1"/>
    <col min="55" max="55" width="6.83203125" bestFit="1" customWidth="1"/>
    <col min="56" max="56" width="18.5" bestFit="1" customWidth="1"/>
    <col min="57" max="57" width="12" bestFit="1" customWidth="1"/>
    <col min="58" max="58" width="28.5" bestFit="1" customWidth="1"/>
    <col min="59" max="59" width="12.6640625" bestFit="1" customWidth="1"/>
    <col min="60" max="60" width="11.83203125" bestFit="1" customWidth="1"/>
    <col min="62" max="62" width="24.33203125" bestFit="1" customWidth="1"/>
    <col min="63" max="63" width="15.5" bestFit="1" customWidth="1"/>
    <col min="64" max="64" width="22.5" bestFit="1" customWidth="1"/>
    <col min="77" max="77" width="40.6640625" bestFit="1" customWidth="1"/>
    <col min="78" max="78" width="10" bestFit="1" customWidth="1"/>
    <col min="79" max="79" width="12" bestFit="1" customWidth="1"/>
    <col min="80" max="80" width="15.1640625" bestFit="1" customWidth="1"/>
    <col min="81" max="81" width="12" bestFit="1" customWidth="1"/>
    <col min="82" max="82" width="11" bestFit="1" customWidth="1"/>
    <col min="83" max="83" width="8.1640625" bestFit="1" customWidth="1"/>
    <col min="84" max="84" width="7.5" bestFit="1" customWidth="1"/>
  </cols>
  <sheetData>
    <row r="1" spans="1:84">
      <c r="A1" s="142"/>
      <c r="B1" s="420"/>
      <c r="C1" s="420"/>
      <c r="D1" s="420"/>
      <c r="E1" s="650" t="s">
        <v>375</v>
      </c>
      <c r="F1" s="651"/>
      <c r="G1" s="651"/>
      <c r="H1" s="651"/>
      <c r="I1" s="651"/>
      <c r="J1" s="410" t="s">
        <v>377</v>
      </c>
      <c r="K1" s="206" t="s">
        <v>441</v>
      </c>
      <c r="L1" s="206" t="s">
        <v>439</v>
      </c>
      <c r="M1" s="206" t="s">
        <v>440</v>
      </c>
      <c r="N1" s="206" t="s">
        <v>442</v>
      </c>
      <c r="O1" s="206" t="s">
        <v>429</v>
      </c>
      <c r="P1" s="207" t="s">
        <v>378</v>
      </c>
      <c r="Q1" s="206" t="s">
        <v>381</v>
      </c>
      <c r="R1" s="420" t="s">
        <v>703</v>
      </c>
      <c r="S1" s="420" t="s">
        <v>711</v>
      </c>
      <c r="T1" s="420" t="s">
        <v>962</v>
      </c>
      <c r="U1" s="420" t="s">
        <v>962</v>
      </c>
      <c r="V1" s="420" t="s">
        <v>962</v>
      </c>
      <c r="W1" s="420" t="s">
        <v>962</v>
      </c>
      <c r="X1" s="420" t="s">
        <v>962</v>
      </c>
      <c r="Y1" s="420" t="s">
        <v>962</v>
      </c>
      <c r="Z1" s="420" t="s">
        <v>1014</v>
      </c>
      <c r="AA1" s="420" t="s">
        <v>1006</v>
      </c>
      <c r="AB1" s="88" t="s">
        <v>957</v>
      </c>
      <c r="AC1" s="88" t="s">
        <v>957</v>
      </c>
      <c r="AD1" s="88" t="s">
        <v>260</v>
      </c>
      <c r="AE1" s="208" t="s">
        <v>261</v>
      </c>
      <c r="AF1" s="88" t="s">
        <v>975</v>
      </c>
      <c r="AG1" s="142" t="s">
        <v>976</v>
      </c>
      <c r="AH1" t="s">
        <v>802</v>
      </c>
      <c r="AI1" t="s">
        <v>801</v>
      </c>
      <c r="AJ1" t="s">
        <v>968</v>
      </c>
      <c r="AK1" t="s">
        <v>969</v>
      </c>
      <c r="AL1" t="s">
        <v>970</v>
      </c>
      <c r="AM1" t="s">
        <v>804</v>
      </c>
      <c r="AO1" t="s">
        <v>835</v>
      </c>
      <c r="AQ1" t="s">
        <v>1033</v>
      </c>
      <c r="AR1" t="s">
        <v>1033</v>
      </c>
      <c r="AS1" t="s">
        <v>836</v>
      </c>
      <c r="AU1" t="s">
        <v>705</v>
      </c>
      <c r="AV1" t="s">
        <v>705</v>
      </c>
      <c r="AW1" t="s">
        <v>705</v>
      </c>
      <c r="AX1" t="s">
        <v>963</v>
      </c>
      <c r="AY1" t="s">
        <v>963</v>
      </c>
      <c r="BD1" t="s">
        <v>983</v>
      </c>
      <c r="BE1" t="s">
        <v>442</v>
      </c>
      <c r="BF1" t="s">
        <v>989</v>
      </c>
      <c r="BG1" t="s">
        <v>990</v>
      </c>
      <c r="BH1" t="s">
        <v>992</v>
      </c>
      <c r="BI1" t="s">
        <v>993</v>
      </c>
      <c r="BJ1" t="s">
        <v>994</v>
      </c>
      <c r="BK1" t="s">
        <v>991</v>
      </c>
      <c r="BL1" t="s">
        <v>995</v>
      </c>
      <c r="BM1" t="s">
        <v>997</v>
      </c>
      <c r="BN1" t="s">
        <v>998</v>
      </c>
      <c r="BO1" t="s">
        <v>999</v>
      </c>
      <c r="BP1" t="s">
        <v>1000</v>
      </c>
      <c r="BY1" s="2" t="s">
        <v>965</v>
      </c>
      <c r="BZ1" s="142"/>
      <c r="CA1" s="142"/>
      <c r="CB1" s="142"/>
      <c r="CC1" s="142"/>
      <c r="CD1" s="142"/>
      <c r="CE1" s="142"/>
      <c r="CF1" s="142"/>
    </row>
    <row r="2" spans="1:84">
      <c r="A2" s="2"/>
      <c r="E2" s="142" t="s">
        <v>362</v>
      </c>
      <c r="F2" s="142" t="s">
        <v>363</v>
      </c>
      <c r="G2" s="142" t="s">
        <v>365</v>
      </c>
      <c r="H2" s="142" t="s">
        <v>364</v>
      </c>
      <c r="I2" s="142" t="s">
        <v>366</v>
      </c>
      <c r="J2" s="144" t="s">
        <v>76</v>
      </c>
      <c r="K2" s="144"/>
      <c r="L2" s="144"/>
      <c r="M2" s="144"/>
      <c r="N2" s="144"/>
      <c r="O2" s="144"/>
      <c r="P2" s="144" t="s">
        <v>76</v>
      </c>
      <c r="T2"/>
      <c r="U2"/>
      <c r="AA2" s="547" t="s">
        <v>13</v>
      </c>
      <c r="AB2" s="144" t="s">
        <v>7</v>
      </c>
      <c r="AC2" s="201" t="s">
        <v>33</v>
      </c>
      <c r="AD2" s="144" t="s">
        <v>24</v>
      </c>
      <c r="AE2" s="142" t="s">
        <v>287</v>
      </c>
      <c r="AF2" s="198" t="s">
        <v>21</v>
      </c>
      <c r="AG2" t="s">
        <v>286</v>
      </c>
      <c r="AH2" t="s">
        <v>286</v>
      </c>
      <c r="AI2" t="s">
        <v>286</v>
      </c>
      <c r="AJ2" t="s">
        <v>8</v>
      </c>
      <c r="AK2" t="s">
        <v>8</v>
      </c>
      <c r="AL2" t="s">
        <v>8</v>
      </c>
      <c r="AQ2" t="s">
        <v>1</v>
      </c>
      <c r="AR2" t="s">
        <v>0</v>
      </c>
      <c r="AU2" t="s">
        <v>1</v>
      </c>
      <c r="AW2" t="s">
        <v>0</v>
      </c>
      <c r="BD2" t="s">
        <v>996</v>
      </c>
      <c r="BE2" t="s">
        <v>996</v>
      </c>
      <c r="BF2" t="s">
        <v>996</v>
      </c>
      <c r="BG2" t="s">
        <v>996</v>
      </c>
      <c r="BH2" t="s">
        <v>996</v>
      </c>
      <c r="BI2" t="s">
        <v>996</v>
      </c>
      <c r="BJ2" t="s">
        <v>996</v>
      </c>
      <c r="BK2" t="s">
        <v>996</v>
      </c>
      <c r="BL2" t="s">
        <v>996</v>
      </c>
      <c r="BY2" s="142"/>
      <c r="BZ2" s="152"/>
      <c r="CA2" s="152" t="s">
        <v>966</v>
      </c>
      <c r="CB2" s="142" t="s">
        <v>380</v>
      </c>
      <c r="CC2" s="142" t="s">
        <v>967</v>
      </c>
      <c r="CD2" s="142" t="s">
        <v>974</v>
      </c>
      <c r="CE2" s="142" t="s">
        <v>973</v>
      </c>
      <c r="CF2" s="142" t="s">
        <v>972</v>
      </c>
    </row>
    <row r="3" spans="1:84">
      <c r="A3" s="208" t="s">
        <v>376</v>
      </c>
      <c r="B3" s="142">
        <v>1</v>
      </c>
      <c r="C3" s="142">
        <v>2</v>
      </c>
      <c r="D3" s="142">
        <v>3</v>
      </c>
      <c r="E3" s="142">
        <v>4</v>
      </c>
      <c r="F3" s="142">
        <v>5</v>
      </c>
      <c r="G3" s="142">
        <v>6</v>
      </c>
      <c r="H3" s="142">
        <v>7</v>
      </c>
      <c r="I3" s="142">
        <v>8</v>
      </c>
      <c r="J3" s="142">
        <v>9</v>
      </c>
      <c r="K3" s="142">
        <v>10</v>
      </c>
      <c r="L3" s="142">
        <v>11</v>
      </c>
      <c r="M3" s="142">
        <v>12</v>
      </c>
      <c r="N3" s="142">
        <v>13</v>
      </c>
      <c r="O3" s="142">
        <v>14</v>
      </c>
      <c r="P3" s="142">
        <v>15</v>
      </c>
      <c r="Q3" s="142">
        <v>16</v>
      </c>
      <c r="R3" s="142">
        <v>17</v>
      </c>
      <c r="S3" s="142">
        <v>18</v>
      </c>
      <c r="T3" s="142">
        <v>19</v>
      </c>
      <c r="U3" s="142">
        <v>20</v>
      </c>
      <c r="V3" s="142">
        <v>21</v>
      </c>
      <c r="W3" s="142">
        <v>22</v>
      </c>
      <c r="X3" s="142">
        <v>23</v>
      </c>
      <c r="Y3" s="201">
        <v>24</v>
      </c>
      <c r="Z3" s="142">
        <v>25</v>
      </c>
      <c r="AA3" s="201">
        <v>26</v>
      </c>
      <c r="AB3" s="142">
        <v>27</v>
      </c>
      <c r="AC3" s="201">
        <v>28</v>
      </c>
      <c r="AD3" s="142">
        <v>29</v>
      </c>
      <c r="AE3" s="201">
        <v>30</v>
      </c>
      <c r="AF3" s="142">
        <v>31</v>
      </c>
      <c r="AG3" s="201">
        <v>32</v>
      </c>
      <c r="AH3" s="142">
        <v>33</v>
      </c>
      <c r="AI3" s="201">
        <v>34</v>
      </c>
      <c r="AJ3" s="142">
        <v>35</v>
      </c>
      <c r="AK3" s="201">
        <v>36</v>
      </c>
      <c r="AL3" s="142">
        <v>37</v>
      </c>
      <c r="AM3" s="201">
        <v>38</v>
      </c>
      <c r="AN3" s="142">
        <v>39</v>
      </c>
      <c r="AO3" s="201">
        <v>40</v>
      </c>
      <c r="AP3" s="142">
        <v>41</v>
      </c>
      <c r="AQ3" s="201">
        <v>42</v>
      </c>
      <c r="AR3" s="142">
        <v>43</v>
      </c>
      <c r="AS3" s="201">
        <v>44</v>
      </c>
      <c r="AT3" s="142">
        <v>45</v>
      </c>
      <c r="AU3" s="201">
        <v>46</v>
      </c>
      <c r="AV3" s="142">
        <v>47</v>
      </c>
      <c r="AW3" s="201">
        <v>48</v>
      </c>
      <c r="AX3" s="142">
        <v>49</v>
      </c>
      <c r="AY3" s="201">
        <v>50</v>
      </c>
      <c r="AZ3" s="142">
        <v>51</v>
      </c>
      <c r="BA3" s="201">
        <v>52</v>
      </c>
      <c r="BB3" s="142">
        <v>53</v>
      </c>
      <c r="BC3" s="201">
        <v>54</v>
      </c>
      <c r="BD3" s="142">
        <v>55</v>
      </c>
      <c r="BE3" s="201">
        <v>56</v>
      </c>
      <c r="BF3" s="142">
        <v>57</v>
      </c>
      <c r="BG3" s="201">
        <v>58</v>
      </c>
      <c r="BH3" s="142">
        <v>59</v>
      </c>
      <c r="BI3" s="201">
        <v>60</v>
      </c>
      <c r="BJ3" s="142">
        <v>61</v>
      </c>
      <c r="BK3" s="201">
        <v>62</v>
      </c>
      <c r="BL3" s="142">
        <v>63</v>
      </c>
      <c r="BM3" s="201">
        <v>64</v>
      </c>
      <c r="BN3" s="142">
        <v>65</v>
      </c>
      <c r="BO3" s="201">
        <v>66</v>
      </c>
      <c r="BP3" s="142">
        <v>67</v>
      </c>
      <c r="BY3" s="142" t="s">
        <v>376</v>
      </c>
      <c r="BZ3" s="142"/>
      <c r="CA3" s="142">
        <v>2013</v>
      </c>
      <c r="CB3" s="142"/>
      <c r="CC3" s="142">
        <f>Sensitivitätsanalyse!B25</f>
        <v>2013</v>
      </c>
      <c r="CD3" s="130">
        <v>2020</v>
      </c>
      <c r="CE3" s="142"/>
      <c r="CF3" s="142"/>
    </row>
    <row r="4" spans="1:84" outlineLevel="1">
      <c r="A4" s="211">
        <v>1980</v>
      </c>
      <c r="B4" s="142"/>
      <c r="C4" s="142"/>
      <c r="D4" s="142"/>
      <c r="E4" s="142"/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447">
        <v>36.83</v>
      </c>
      <c r="U4"/>
      <c r="AA4" s="547" t="s">
        <v>1</v>
      </c>
      <c r="AB4" s="144" t="s">
        <v>1</v>
      </c>
      <c r="AC4" s="201" t="s">
        <v>0</v>
      </c>
      <c r="AD4" s="144" t="s">
        <v>0</v>
      </c>
      <c r="AE4" s="142"/>
      <c r="AF4" s="142"/>
      <c r="AG4" s="142"/>
      <c r="BY4" s="142" t="s">
        <v>976</v>
      </c>
      <c r="BZ4" s="142" t="s">
        <v>15</v>
      </c>
      <c r="CA4" s="4">
        <f>'NR Kraftstoffpreisprognosen'!AG37</f>
        <v>494.99794917982501</v>
      </c>
      <c r="CB4" s="142"/>
      <c r="CC4" s="4">
        <f>INDEX('NR Kraftstoffpreisprognosen'!$A$1:$BC$59,MATCH(Sensitivitätsanalyse!$B$25,'NR Kraftstoffpreisprognosen'!$A:$A,0),MATCH('NR Kraftstoffpreisprognosen'!$BY$4,'NR Kraftstoffpreisprognosen'!1:1,0))</f>
        <v>494.99794917982501</v>
      </c>
      <c r="CD4" s="326">
        <f>INDEX('NR Kraftstoffpreisprognosen'!$A$1:$BC$59,MATCH($CD$3,'NR Kraftstoffpreisprognosen'!$A:$A,0),MATCH('NR Kraftstoffpreisprognosen'!$BY4,'NR Kraftstoffpreisprognosen'!$1:$1,0))</f>
        <v>245</v>
      </c>
      <c r="CE4" s="142"/>
      <c r="CF4" s="142"/>
    </row>
    <row r="5" spans="1:84" outlineLevel="1">
      <c r="A5" s="211">
        <v>1981</v>
      </c>
      <c r="B5" s="142"/>
      <c r="C5" s="142"/>
      <c r="D5" s="142"/>
      <c r="E5" s="142"/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447">
        <v>35.93</v>
      </c>
      <c r="U5"/>
      <c r="BY5" s="142" t="s">
        <v>261</v>
      </c>
      <c r="BZ5" s="142" t="s">
        <v>287</v>
      </c>
      <c r="CA5" s="384">
        <v>0.12</v>
      </c>
      <c r="CB5" s="142"/>
      <c r="CC5" s="541">
        <f>INDEX('NR Kraftstoffpreisprognosen'!$A$1:$BC$59,MATCH(Sensitivitätsanalyse!$B$25,'NR Kraftstoffpreisprognosen'!$A:$A,0),MATCH('NR Kraftstoffpreisprognosen'!$BY5,'NR Kraftstoffpreisprognosen'!$1:$1,0))</f>
        <v>0.12</v>
      </c>
      <c r="CD5" s="384">
        <v>0.2</v>
      </c>
      <c r="CE5" s="135">
        <f>CD3-CA3</f>
        <v>7</v>
      </c>
      <c r="CF5" s="142"/>
    </row>
    <row r="6" spans="1:84" outlineLevel="1">
      <c r="A6" s="211">
        <v>1982</v>
      </c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447">
        <v>32.97</v>
      </c>
      <c r="U6"/>
      <c r="BY6" s="142" t="s">
        <v>260</v>
      </c>
      <c r="BZ6" s="142" t="s">
        <v>24</v>
      </c>
      <c r="CA6" s="534">
        <f>'NR Fahrzeug&amp;Fahrverhalten'!$D$20</f>
        <v>26.5</v>
      </c>
      <c r="CB6" s="533">
        <v>0.02</v>
      </c>
      <c r="CC6" s="531">
        <f>INDEX('NR Kraftstoffpreisprognosen'!$A$1:$BC$59,MATCH(Sensitivitätsanalyse!$B$25,'NR Kraftstoffpreisprognosen'!$A:$A,0),MATCH('NR Kraftstoffpreisprognosen'!$BY6,'NR Kraftstoffpreisprognosen'!$1:$1,0))</f>
        <v>26.5</v>
      </c>
      <c r="CD6" s="535">
        <f>INDEX('NR Kraftstoffpreisprognosen'!$A$1:$BC$59,MATCH($CD$3,'NR Kraftstoffpreisprognosen'!$A:$A,0),MATCH('NR Kraftstoffpreisprognosen'!$BY6,'NR Kraftstoffpreisprognosen'!$1:$1,0))</f>
        <v>30.440170192705924</v>
      </c>
      <c r="CE6" s="142"/>
      <c r="CF6" s="142"/>
    </row>
    <row r="7" spans="1:84" outlineLevel="1">
      <c r="A7" s="211">
        <v>1983</v>
      </c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  <c r="T7" s="447">
        <v>29.55</v>
      </c>
      <c r="U7"/>
      <c r="BY7" s="144" t="s">
        <v>975</v>
      </c>
      <c r="BZ7" s="142" t="s">
        <v>21</v>
      </c>
      <c r="CA7" s="135">
        <v>100</v>
      </c>
      <c r="CB7" s="533">
        <v>0</v>
      </c>
      <c r="CC7" s="531">
        <f>INDEX('NR Kraftstoffpreisprognosen'!$A$1:$BC$59,MATCH(Sensitivitätsanalyse!$B$25,'NR Kraftstoffpreisprognosen'!$A:$A,0),MATCH('NR Kraftstoffpreisprognosen'!$BY7,'NR Kraftstoffpreisprognosen'!$1:$1,0))</f>
        <v>100</v>
      </c>
      <c r="CD7" s="535">
        <f>INDEX('NR Kraftstoffpreisprognosen'!$A$1:$BC$59,MATCH($CD$3,'NR Kraftstoffpreisprognosen'!$A:$A,0),MATCH('NR Kraftstoffpreisprognosen'!$BY7,'NR Kraftstoffpreisprognosen'!$1:$1,0))</f>
        <v>100</v>
      </c>
      <c r="CE7" s="142"/>
      <c r="CF7" s="142"/>
    </row>
    <row r="8" spans="1:84" outlineLevel="1">
      <c r="A8" s="211">
        <v>1984</v>
      </c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  <c r="T8" s="447">
        <v>28.78</v>
      </c>
      <c r="U8"/>
      <c r="BY8" s="142" t="s">
        <v>355</v>
      </c>
      <c r="BZ8" s="142" t="s">
        <v>21</v>
      </c>
      <c r="CA8" s="532">
        <f>CA6/CA5+CA7</f>
        <v>320.83333333333337</v>
      </c>
      <c r="CB8" s="142"/>
      <c r="CC8" s="532">
        <f>CC6/CC5+CC7</f>
        <v>320.83333333333337</v>
      </c>
      <c r="CD8" s="532">
        <f>CD6/CD5+CD7</f>
        <v>252.2008509635296</v>
      </c>
      <c r="CE8" s="142"/>
      <c r="CF8" s="142"/>
    </row>
    <row r="9" spans="1:84" outlineLevel="1">
      <c r="A9" s="211">
        <v>1985</v>
      </c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  <c r="T9" s="447">
        <v>27.56</v>
      </c>
      <c r="U9"/>
      <c r="BY9" s="142" t="s">
        <v>394</v>
      </c>
      <c r="BZ9" s="198" t="s">
        <v>23</v>
      </c>
      <c r="CA9" s="282">
        <v>100000</v>
      </c>
      <c r="CB9" s="142"/>
      <c r="CC9" s="142"/>
      <c r="CD9" s="142"/>
      <c r="CE9" s="142"/>
      <c r="CF9" s="252">
        <f>Sensitivitätsanalyse!B29*Sensitivitätsanalyse!B30/CA9</f>
        <v>0.9</v>
      </c>
    </row>
    <row r="10" spans="1:84" outlineLevel="1">
      <c r="A10" s="211">
        <v>1986</v>
      </c>
      <c r="B10" s="142"/>
      <c r="C10" s="142"/>
      <c r="D10" s="142"/>
      <c r="E10" s="142"/>
      <c r="F10" s="142"/>
      <c r="G10" s="142"/>
      <c r="H10" s="142"/>
      <c r="I10" s="142"/>
      <c r="J10" s="142"/>
      <c r="K10" s="142"/>
      <c r="L10" s="142"/>
      <c r="M10" s="142"/>
      <c r="N10" s="142"/>
      <c r="O10" s="142"/>
      <c r="P10" s="142"/>
      <c r="Q10" s="142"/>
      <c r="R10" s="142"/>
      <c r="S10" s="142"/>
      <c r="T10" s="447">
        <v>14.43</v>
      </c>
      <c r="U10"/>
      <c r="BY10" s="142" t="s">
        <v>393</v>
      </c>
      <c r="BZ10" s="198" t="s">
        <v>16</v>
      </c>
      <c r="CA10" s="130">
        <v>10</v>
      </c>
      <c r="CB10" s="142"/>
      <c r="CC10" s="142"/>
      <c r="CD10" s="142"/>
      <c r="CE10" s="142"/>
      <c r="CF10" s="252">
        <f>Sensitivitätsanalyse!B30/CA10</f>
        <v>0.6</v>
      </c>
    </row>
    <row r="11" spans="1:84" outlineLevel="1">
      <c r="A11" s="211">
        <v>1987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447">
        <v>18.440000000000001</v>
      </c>
      <c r="U11"/>
      <c r="BY11" s="142" t="s">
        <v>306</v>
      </c>
      <c r="BZ11" s="142" t="s">
        <v>275</v>
      </c>
      <c r="CA11" s="384">
        <v>0.15</v>
      </c>
      <c r="CB11" s="142"/>
      <c r="CC11" s="142"/>
      <c r="CD11" s="142"/>
      <c r="CE11" s="142"/>
      <c r="CF11" s="142"/>
    </row>
    <row r="12" spans="1:84" outlineLevel="1">
      <c r="A12" s="211">
        <v>1988</v>
      </c>
      <c r="B12" s="142"/>
      <c r="C12" s="142"/>
      <c r="D12" s="142"/>
      <c r="E12" s="142"/>
      <c r="F12" s="142"/>
      <c r="G12" s="142"/>
      <c r="H12" s="142"/>
      <c r="I12" s="142"/>
      <c r="J12" s="142"/>
      <c r="K12" s="142"/>
      <c r="L12" s="142"/>
      <c r="M12" s="142"/>
      <c r="N12" s="142"/>
      <c r="O12" s="142"/>
      <c r="P12" s="142"/>
      <c r="Q12" s="142"/>
      <c r="R12" s="142"/>
      <c r="S12" s="142"/>
      <c r="T12" s="447">
        <v>14.92</v>
      </c>
      <c r="U12"/>
      <c r="BY12" s="142" t="s">
        <v>410</v>
      </c>
      <c r="BZ12" s="142" t="s">
        <v>409</v>
      </c>
      <c r="CA12" s="284">
        <f>'NR Fahrzeug&amp;Fahrverhalten'!D20*'NR Fahrzeug&amp;Fahrverhalten'!O28</f>
        <v>3.9749999999999996</v>
      </c>
      <c r="CB12" s="142"/>
      <c r="CC12" s="142"/>
      <c r="CD12" s="142"/>
      <c r="CE12" s="142"/>
      <c r="CF12" s="142"/>
    </row>
    <row r="13" spans="1:84" outlineLevel="1">
      <c r="A13" s="211">
        <v>1989</v>
      </c>
      <c r="B13" s="142"/>
      <c r="C13" s="142"/>
      <c r="D13" s="142"/>
      <c r="E13" s="142"/>
      <c r="F13" s="142"/>
      <c r="G13" s="142"/>
      <c r="H13" s="142"/>
      <c r="I13" s="142"/>
      <c r="J13" s="142"/>
      <c r="K13" s="142"/>
      <c r="L13" s="142"/>
      <c r="M13" s="142"/>
      <c r="N13" s="142"/>
      <c r="O13" s="142"/>
      <c r="P13" s="142"/>
      <c r="Q13" s="142"/>
      <c r="R13" s="142"/>
      <c r="S13" s="142"/>
      <c r="T13" s="447">
        <v>18.23</v>
      </c>
      <c r="U13"/>
      <c r="BY13" s="142" t="s">
        <v>36</v>
      </c>
      <c r="BZ13" s="198" t="s">
        <v>13</v>
      </c>
      <c r="CA13" s="542">
        <f>CA6*CA4+Sensitivitätsanalyse!$C$64</f>
        <v>13317.445653265362</v>
      </c>
      <c r="CC13" s="542">
        <f>CC6*CC4+Sensitivitätsanalyse!$C$64</f>
        <v>13317.445653265362</v>
      </c>
      <c r="CD13" s="542">
        <f>CD6*CD4+Sensitivitätsanalyse!$C$64</f>
        <v>7657.8416972129517</v>
      </c>
    </row>
    <row r="14" spans="1:84" outlineLevel="1">
      <c r="A14" s="211">
        <v>1990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447">
        <v>23.73</v>
      </c>
      <c r="U14"/>
    </row>
    <row r="15" spans="1:84" outlineLevel="1">
      <c r="A15" s="211">
        <v>1991</v>
      </c>
      <c r="B15" s="142"/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447">
        <v>20</v>
      </c>
      <c r="U15"/>
    </row>
    <row r="16" spans="1:84" outlineLevel="1">
      <c r="A16" s="211">
        <v>1992</v>
      </c>
      <c r="B16" s="142"/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447">
        <v>19.32</v>
      </c>
      <c r="U16"/>
    </row>
    <row r="17" spans="1:67" outlineLevel="1">
      <c r="A17" s="211">
        <v>1993</v>
      </c>
      <c r="B17" s="142"/>
      <c r="C17" s="142"/>
      <c r="D17" s="142"/>
      <c r="E17" s="142"/>
      <c r="F17" s="142"/>
      <c r="G17" s="142"/>
      <c r="H17" s="142"/>
      <c r="I17" s="142"/>
      <c r="J17" s="142"/>
      <c r="K17" s="142"/>
      <c r="L17" s="142"/>
      <c r="M17" s="142"/>
      <c r="N17" s="142"/>
      <c r="O17" s="142"/>
      <c r="P17" s="142"/>
      <c r="Q17" s="142"/>
      <c r="R17" s="142"/>
      <c r="S17" s="142"/>
      <c r="T17" s="447">
        <v>16.97</v>
      </c>
      <c r="U17"/>
    </row>
    <row r="18" spans="1:67" outlineLevel="1">
      <c r="A18" s="211">
        <v>1994</v>
      </c>
      <c r="B18" s="142"/>
      <c r="C18" s="142"/>
      <c r="D18" s="142"/>
      <c r="E18" s="142"/>
      <c r="F18" s="142"/>
      <c r="G18" s="142"/>
      <c r="H18" s="142"/>
      <c r="I18" s="142"/>
      <c r="J18" s="142"/>
      <c r="K18" s="142"/>
      <c r="L18" s="142"/>
      <c r="M18" s="142"/>
      <c r="N18" s="142"/>
      <c r="O18" s="142"/>
      <c r="P18" s="142"/>
      <c r="Q18" s="142"/>
      <c r="R18" s="142"/>
      <c r="S18" s="142"/>
      <c r="T18" s="447">
        <v>15.82</v>
      </c>
      <c r="U18"/>
    </row>
    <row r="19" spans="1:67" outlineLevel="1">
      <c r="A19" s="211">
        <v>1995</v>
      </c>
      <c r="B19" s="142"/>
      <c r="C19" s="142"/>
      <c r="D19" s="142"/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2"/>
      <c r="P19" s="142"/>
      <c r="Q19" s="142"/>
      <c r="R19" s="142"/>
      <c r="S19" s="142"/>
      <c r="T19" s="447">
        <v>17.02</v>
      </c>
      <c r="U19"/>
      <c r="BK19">
        <f>0.19*SUM(BD20:BJ20)</f>
        <v>4.1324999999999994</v>
      </c>
    </row>
    <row r="20" spans="1:67" outlineLevel="1">
      <c r="A20" s="211">
        <v>1996</v>
      </c>
      <c r="B20" s="142"/>
      <c r="C20" s="142"/>
      <c r="D20" s="142"/>
      <c r="E20" s="142"/>
      <c r="F20" s="142"/>
      <c r="G20" s="142"/>
      <c r="H20" s="142"/>
      <c r="I20" s="142"/>
      <c r="J20" s="142"/>
      <c r="K20" s="142"/>
      <c r="L20" s="142"/>
      <c r="M20" s="142"/>
      <c r="N20" s="142"/>
      <c r="O20" s="142"/>
      <c r="P20" s="142"/>
      <c r="Q20" s="142"/>
      <c r="R20" s="142"/>
      <c r="S20" s="142"/>
      <c r="T20" s="447">
        <v>20.67</v>
      </c>
      <c r="U20"/>
      <c r="BD20" s="546">
        <v>1.79</v>
      </c>
      <c r="BE20" s="546">
        <v>2.0499999999999998</v>
      </c>
      <c r="BF20" s="546">
        <v>14.17</v>
      </c>
      <c r="BG20" s="546">
        <v>3.59</v>
      </c>
      <c r="BH20" s="546">
        <v>0.15</v>
      </c>
      <c r="BI20" s="546">
        <v>0</v>
      </c>
      <c r="BJ20" s="546">
        <v>0</v>
      </c>
      <c r="BK20" s="546">
        <v>4.13</v>
      </c>
    </row>
    <row r="21" spans="1:67" outlineLevel="1">
      <c r="A21" s="211">
        <v>1997</v>
      </c>
      <c r="B21" s="142"/>
      <c r="C21" s="142"/>
      <c r="D21" s="142"/>
      <c r="E21" s="142"/>
      <c r="F21" s="142"/>
      <c r="G21" s="142"/>
      <c r="H21" s="142"/>
      <c r="I21" s="142"/>
      <c r="J21" s="142"/>
      <c r="K21" s="142"/>
      <c r="L21" s="142"/>
      <c r="M21" s="142"/>
      <c r="N21" s="142"/>
      <c r="O21" s="142"/>
      <c r="P21" s="142"/>
      <c r="Q21" s="142"/>
      <c r="R21" s="142"/>
      <c r="S21" s="142"/>
      <c r="T21" s="447">
        <v>19.09</v>
      </c>
      <c r="U21"/>
    </row>
    <row r="22" spans="1:67" outlineLevel="1">
      <c r="A22" s="211">
        <v>1998</v>
      </c>
      <c r="B22" s="142"/>
      <c r="C22" s="142"/>
      <c r="D22" s="142"/>
      <c r="E22" s="142"/>
      <c r="F22" s="142"/>
      <c r="G22" s="142"/>
      <c r="H22" s="142"/>
      <c r="I22" s="142"/>
      <c r="J22" s="142"/>
      <c r="K22" s="142"/>
      <c r="L22" s="142"/>
      <c r="M22" s="142"/>
      <c r="N22" s="142"/>
      <c r="O22" s="142"/>
      <c r="P22" s="142"/>
      <c r="Q22" s="142"/>
      <c r="R22" s="142"/>
      <c r="S22" s="142"/>
      <c r="T22" s="447">
        <v>12.72</v>
      </c>
      <c r="U22"/>
      <c r="BD22" s="383">
        <v>1.79</v>
      </c>
      <c r="BE22" s="383">
        <v>0</v>
      </c>
      <c r="BF22" s="383">
        <v>12.91</v>
      </c>
      <c r="BG22" s="383">
        <v>0.08</v>
      </c>
      <c r="BH22" s="383">
        <v>0</v>
      </c>
      <c r="BI22" s="383">
        <v>0</v>
      </c>
      <c r="BJ22" s="383">
        <v>0</v>
      </c>
      <c r="BK22" s="383">
        <f t="shared" ref="BK22:BK29" si="0">SUM(BD22:BJ22)*0.16</f>
        <v>2.3647999999999998</v>
      </c>
      <c r="BL22" s="383">
        <f t="shared" ref="BL22:BL59" si="1">SUM(BD22:BK22)</f>
        <v>17.1448</v>
      </c>
      <c r="BM22" s="383">
        <v>12.91</v>
      </c>
    </row>
    <row r="23" spans="1:67" outlineLevel="1">
      <c r="A23" s="211">
        <v>1999</v>
      </c>
      <c r="B23" s="142"/>
      <c r="C23" s="142"/>
      <c r="D23" s="142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447">
        <v>17.97</v>
      </c>
      <c r="U23"/>
      <c r="BD23" s="383">
        <v>1.79</v>
      </c>
      <c r="BE23" s="383">
        <v>0.77</v>
      </c>
      <c r="BF23" s="383">
        <v>11.6</v>
      </c>
      <c r="BG23" s="383">
        <v>0.09</v>
      </c>
      <c r="BH23" s="383">
        <v>0</v>
      </c>
      <c r="BI23" s="383">
        <v>0</v>
      </c>
      <c r="BJ23" s="383">
        <v>0</v>
      </c>
      <c r="BK23" s="383">
        <f t="shared" si="0"/>
        <v>2.2800000000000002</v>
      </c>
      <c r="BL23" s="383">
        <f t="shared" si="1"/>
        <v>16.53</v>
      </c>
      <c r="BM23" s="383">
        <f t="shared" ref="BM23:BM36" si="2">BM22*(1+BM$61)</f>
        <v>12.91</v>
      </c>
    </row>
    <row r="24" spans="1:67" outlineLevel="1">
      <c r="A24" s="211">
        <v>2000</v>
      </c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O24" s="142"/>
      <c r="P24" s="142"/>
      <c r="Q24" s="142"/>
      <c r="R24" s="142"/>
      <c r="S24" s="142"/>
      <c r="T24" s="447">
        <v>28.5</v>
      </c>
      <c r="U24"/>
      <c r="BD24" s="383">
        <v>1.79</v>
      </c>
      <c r="BE24" s="383">
        <v>1.28</v>
      </c>
      <c r="BF24" s="383">
        <v>8.6199999999999992</v>
      </c>
      <c r="BG24" s="383">
        <v>0.2</v>
      </c>
      <c r="BH24" s="383">
        <v>0.13</v>
      </c>
      <c r="BI24" s="383">
        <v>0</v>
      </c>
      <c r="BJ24" s="383">
        <v>0</v>
      </c>
      <c r="BK24" s="383">
        <f t="shared" si="0"/>
        <v>1.9232</v>
      </c>
      <c r="BL24" s="383">
        <f t="shared" si="1"/>
        <v>13.943199999999999</v>
      </c>
      <c r="BM24" s="383">
        <f t="shared" si="2"/>
        <v>12.91</v>
      </c>
    </row>
    <row r="25" spans="1:67" outlineLevel="1">
      <c r="A25" s="211">
        <v>2001</v>
      </c>
      <c r="B25" s="142"/>
      <c r="C25" s="142"/>
      <c r="D25" s="142"/>
      <c r="E25" s="142"/>
      <c r="F25" s="142"/>
      <c r="G25" s="142"/>
      <c r="H25" s="142"/>
      <c r="I25" s="142"/>
      <c r="J25" s="142"/>
      <c r="K25" s="142"/>
      <c r="L25" s="142"/>
      <c r="M25" s="142"/>
      <c r="N25" s="142"/>
      <c r="O25" s="142"/>
      <c r="P25" s="142"/>
      <c r="Q25" s="142"/>
      <c r="R25" s="142"/>
      <c r="S25" s="142"/>
      <c r="T25" s="447">
        <v>24.44</v>
      </c>
      <c r="U25"/>
      <c r="BD25" s="383">
        <v>1.79</v>
      </c>
      <c r="BE25" s="383">
        <v>1.53</v>
      </c>
      <c r="BF25" s="383">
        <v>8.58</v>
      </c>
      <c r="BG25" s="383">
        <v>0.25</v>
      </c>
      <c r="BH25" s="383">
        <v>0.2</v>
      </c>
      <c r="BI25" s="383">
        <v>0</v>
      </c>
      <c r="BJ25" s="383">
        <v>0</v>
      </c>
      <c r="BK25" s="383">
        <f t="shared" si="0"/>
        <v>1.976</v>
      </c>
      <c r="BL25" s="383">
        <f t="shared" si="1"/>
        <v>14.326000000000001</v>
      </c>
      <c r="BM25" s="383">
        <f t="shared" si="2"/>
        <v>12.91</v>
      </c>
    </row>
    <row r="26" spans="1:67" outlineLevel="1">
      <c r="A26" s="211">
        <v>2002</v>
      </c>
      <c r="B26" s="142"/>
      <c r="C26" s="142"/>
      <c r="D26" s="142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447">
        <v>25.02</v>
      </c>
      <c r="U26"/>
      <c r="BD26" s="383">
        <v>1.79</v>
      </c>
      <c r="BE26" s="383">
        <v>1.79</v>
      </c>
      <c r="BF26" s="383">
        <v>9.7100000000000009</v>
      </c>
      <c r="BG26" s="383">
        <v>0.35</v>
      </c>
      <c r="BH26" s="383">
        <v>0.25</v>
      </c>
      <c r="BI26" s="383">
        <v>0</v>
      </c>
      <c r="BJ26" s="383">
        <v>0</v>
      </c>
      <c r="BK26" s="383">
        <f t="shared" si="0"/>
        <v>2.2223999999999999</v>
      </c>
      <c r="BL26" s="383">
        <f t="shared" si="1"/>
        <v>16.112400000000001</v>
      </c>
      <c r="BM26" s="383">
        <f t="shared" si="2"/>
        <v>12.91</v>
      </c>
    </row>
    <row r="27" spans="1:67" outlineLevel="1">
      <c r="A27" s="211">
        <v>2003</v>
      </c>
      <c r="B27" s="142"/>
      <c r="C27" s="142"/>
      <c r="D27" s="142"/>
      <c r="E27" s="142"/>
      <c r="F27" s="142"/>
      <c r="G27" s="142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447">
        <v>28.83</v>
      </c>
      <c r="U27"/>
      <c r="BD27" s="383">
        <v>1.79</v>
      </c>
      <c r="BE27" s="383">
        <v>2.0499999999999998</v>
      </c>
      <c r="BF27" s="383">
        <v>10.23</v>
      </c>
      <c r="BG27" s="383">
        <v>0.42</v>
      </c>
      <c r="BH27" s="383">
        <v>0.33</v>
      </c>
      <c r="BI27" s="383">
        <v>0</v>
      </c>
      <c r="BJ27" s="383">
        <v>0</v>
      </c>
      <c r="BK27" s="383">
        <f t="shared" si="0"/>
        <v>2.3712</v>
      </c>
      <c r="BL27" s="383">
        <f t="shared" si="1"/>
        <v>17.191200000000002</v>
      </c>
      <c r="BM27" s="383">
        <f t="shared" si="2"/>
        <v>12.91</v>
      </c>
      <c r="BN27" s="383">
        <v>10.23</v>
      </c>
    </row>
    <row r="28" spans="1:67" outlineLevel="1">
      <c r="A28" s="211">
        <v>2004</v>
      </c>
      <c r="B28" s="142"/>
      <c r="C28" s="142"/>
      <c r="D28" s="142"/>
      <c r="E28" s="142"/>
      <c r="F28" s="142"/>
      <c r="G28" s="142"/>
      <c r="H28" s="142"/>
      <c r="I28" s="142"/>
      <c r="J28" s="142"/>
      <c r="K28" s="142"/>
      <c r="L28" s="142"/>
      <c r="M28" s="142"/>
      <c r="N28" s="142"/>
      <c r="P28" s="142"/>
      <c r="Q28" s="142"/>
      <c r="R28" s="142"/>
      <c r="S28" s="142"/>
      <c r="T28" s="447">
        <v>38.270000000000003</v>
      </c>
      <c r="U28"/>
      <c r="BD28" s="383">
        <v>1.79</v>
      </c>
      <c r="BE28" s="383">
        <v>2.0499999999999998</v>
      </c>
      <c r="BF28" s="383">
        <v>10.82</v>
      </c>
      <c r="BG28" s="383">
        <v>0.51</v>
      </c>
      <c r="BH28" s="383">
        <v>0.31</v>
      </c>
      <c r="BI28" s="383">
        <v>0</v>
      </c>
      <c r="BJ28" s="383">
        <v>0</v>
      </c>
      <c r="BK28" s="383">
        <f t="shared" si="0"/>
        <v>2.4768000000000003</v>
      </c>
      <c r="BL28" s="383">
        <f t="shared" si="1"/>
        <v>17.956800000000001</v>
      </c>
      <c r="BM28" s="383">
        <f t="shared" si="2"/>
        <v>12.91</v>
      </c>
      <c r="BN28" s="383">
        <f t="shared" ref="BN28:BN36" si="3">BN27*(1+BN$61)</f>
        <v>10.565797587964232</v>
      </c>
    </row>
    <row r="29" spans="1:67" outlineLevel="1">
      <c r="A29" s="211">
        <v>2005</v>
      </c>
      <c r="B29" s="142"/>
      <c r="C29" s="142"/>
      <c r="D29" s="142"/>
      <c r="E29" s="142"/>
      <c r="F29" s="142"/>
      <c r="G29" s="142"/>
      <c r="H29" s="142"/>
      <c r="I29" s="142"/>
      <c r="J29" s="142"/>
      <c r="K29" s="142"/>
      <c r="L29" s="142"/>
      <c r="M29" s="142"/>
      <c r="N29" s="142"/>
      <c r="O29" s="142"/>
      <c r="P29" s="142"/>
      <c r="Q29" s="142"/>
      <c r="R29" s="142"/>
      <c r="S29" s="142"/>
      <c r="T29" s="447">
        <v>54.52</v>
      </c>
      <c r="U29"/>
      <c r="BD29" s="383">
        <v>1.79</v>
      </c>
      <c r="BE29" s="383">
        <v>2.0499999999999998</v>
      </c>
      <c r="BF29" s="383">
        <v>11.22</v>
      </c>
      <c r="BG29" s="383">
        <v>0.69</v>
      </c>
      <c r="BH29" s="383">
        <v>0.34</v>
      </c>
      <c r="BI29" s="383">
        <v>0</v>
      </c>
      <c r="BJ29" s="383">
        <v>0</v>
      </c>
      <c r="BK29" s="383">
        <f t="shared" si="0"/>
        <v>2.5744000000000002</v>
      </c>
      <c r="BL29" s="383">
        <f t="shared" si="1"/>
        <v>18.664400000000001</v>
      </c>
      <c r="BM29" s="383">
        <f t="shared" si="2"/>
        <v>12.91</v>
      </c>
      <c r="BN29" s="383">
        <f t="shared" si="3"/>
        <v>10.912617660785022</v>
      </c>
    </row>
    <row r="30" spans="1:67" outlineLevel="1">
      <c r="A30" s="211">
        <v>2006</v>
      </c>
      <c r="B30" s="142"/>
      <c r="C30" s="142"/>
      <c r="D30" s="142"/>
      <c r="E30" s="142"/>
      <c r="F30" s="142"/>
      <c r="G30" s="142"/>
      <c r="H30" s="142"/>
      <c r="I30" s="142"/>
      <c r="J30" s="142"/>
      <c r="K30" s="142"/>
      <c r="L30" s="142"/>
      <c r="M30" s="142"/>
      <c r="N30" s="142"/>
      <c r="O30" s="142"/>
      <c r="P30" s="142"/>
      <c r="Q30" s="142"/>
      <c r="R30" s="142"/>
      <c r="S30" s="142"/>
      <c r="T30" s="447">
        <v>65.14</v>
      </c>
      <c r="U30"/>
      <c r="AB30" s="144"/>
      <c r="AC30" s="144"/>
      <c r="AD30" s="144"/>
      <c r="AE30" s="142"/>
      <c r="AF30" s="142"/>
      <c r="AH30" s="395"/>
      <c r="AI30" s="395"/>
      <c r="AJ30" s="395"/>
      <c r="AK30" s="395"/>
      <c r="BD30" s="383">
        <v>1.79</v>
      </c>
      <c r="BE30" s="383">
        <v>2.0499999999999998</v>
      </c>
      <c r="BF30" s="383">
        <v>11.75</v>
      </c>
      <c r="BG30" s="383">
        <v>0.88</v>
      </c>
      <c r="BH30" s="383">
        <v>0.31</v>
      </c>
      <c r="BI30" s="383">
        <v>0</v>
      </c>
      <c r="BJ30" s="383">
        <v>0</v>
      </c>
      <c r="BK30" s="383">
        <f>SUM(BD30:BJ30)*0.16</f>
        <v>2.6847999999999996</v>
      </c>
      <c r="BL30" s="383">
        <f t="shared" si="1"/>
        <v>19.464799999999997</v>
      </c>
      <c r="BM30" s="383">
        <f t="shared" si="2"/>
        <v>12.91</v>
      </c>
      <c r="BN30" s="383">
        <f t="shared" si="3"/>
        <v>11.270822029198268</v>
      </c>
    </row>
    <row r="31" spans="1:67" outlineLevel="1">
      <c r="A31" s="211">
        <v>2007</v>
      </c>
      <c r="B31" s="144"/>
      <c r="C31" s="144"/>
      <c r="D31" s="144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45"/>
      <c r="Q31" s="145"/>
      <c r="R31" s="144"/>
      <c r="S31" s="144"/>
      <c r="T31" s="447">
        <v>72.39</v>
      </c>
      <c r="U31"/>
      <c r="AB31" s="145"/>
      <c r="AC31" s="145"/>
      <c r="AD31" s="145"/>
      <c r="AE31" s="145"/>
      <c r="AF31" s="144"/>
      <c r="BD31" s="383">
        <v>1.79</v>
      </c>
      <c r="BE31" s="383">
        <v>2.0499999999999998</v>
      </c>
      <c r="BF31" s="383">
        <v>12.19</v>
      </c>
      <c r="BG31" s="383">
        <v>1.02</v>
      </c>
      <c r="BH31" s="383">
        <v>0.28999999999999998</v>
      </c>
      <c r="BI31" s="383">
        <v>0</v>
      </c>
      <c r="BJ31" s="383">
        <v>0</v>
      </c>
      <c r="BK31" s="383">
        <f t="shared" ref="BK31:BK36" si="4">SUM(BD31:BJ31)*0.19</f>
        <v>3.2946</v>
      </c>
      <c r="BL31" s="383">
        <f t="shared" si="1"/>
        <v>20.634599999999999</v>
      </c>
      <c r="BM31" s="383">
        <f t="shared" si="2"/>
        <v>12.91</v>
      </c>
      <c r="BN31" s="383">
        <f t="shared" si="3"/>
        <v>11.640784380300801</v>
      </c>
    </row>
    <row r="32" spans="1:67" outlineLevel="1">
      <c r="A32" s="211">
        <v>2008</v>
      </c>
      <c r="B32" s="142"/>
      <c r="C32" s="142"/>
      <c r="D32" s="142"/>
      <c r="E32" s="144"/>
      <c r="F32" s="144"/>
      <c r="G32" s="218"/>
      <c r="H32" s="144"/>
      <c r="I32" s="144"/>
      <c r="J32" s="144"/>
      <c r="K32" s="144"/>
      <c r="L32" s="144"/>
      <c r="M32" s="144"/>
      <c r="N32" s="144"/>
      <c r="O32" s="144"/>
      <c r="P32" s="144"/>
      <c r="Q32" s="142"/>
      <c r="R32" s="142"/>
      <c r="S32" s="142"/>
      <c r="T32" s="447">
        <v>97.26</v>
      </c>
      <c r="U32"/>
      <c r="AB32" s="144"/>
      <c r="AC32" s="144"/>
      <c r="AD32" s="144"/>
      <c r="AE32" s="144"/>
      <c r="AF32" s="144"/>
      <c r="BD32" s="383">
        <v>1.79</v>
      </c>
      <c r="BE32" s="383">
        <v>2.0499999999999998</v>
      </c>
      <c r="BF32" s="383">
        <v>13</v>
      </c>
      <c r="BG32" s="383">
        <v>1.1599999999999999</v>
      </c>
      <c r="BH32" s="383">
        <v>0.19</v>
      </c>
      <c r="BI32" s="383">
        <v>0</v>
      </c>
      <c r="BJ32" s="383">
        <v>0</v>
      </c>
      <c r="BK32" s="383">
        <f t="shared" si="4"/>
        <v>3.4561000000000002</v>
      </c>
      <c r="BL32" s="383">
        <f t="shared" si="1"/>
        <v>21.646100000000001</v>
      </c>
      <c r="BM32" s="383">
        <f t="shared" si="2"/>
        <v>12.91</v>
      </c>
      <c r="BN32" s="383">
        <f t="shared" si="3"/>
        <v>12.022890667389435</v>
      </c>
      <c r="BO32" s="383">
        <v>13</v>
      </c>
    </row>
    <row r="33" spans="1:68" outlineLevel="1">
      <c r="A33" s="211">
        <v>2009</v>
      </c>
      <c r="B33" s="520"/>
      <c r="C33" s="520"/>
      <c r="D33" s="520"/>
      <c r="E33" s="144"/>
      <c r="F33" s="144"/>
      <c r="G33" s="218"/>
      <c r="H33" s="144"/>
      <c r="I33" s="144"/>
      <c r="J33" s="144"/>
      <c r="K33" s="144"/>
      <c r="L33" s="144"/>
      <c r="M33" s="144"/>
      <c r="N33" s="144"/>
      <c r="O33" s="144"/>
      <c r="P33" s="144"/>
      <c r="Q33" s="221"/>
      <c r="R33" s="520"/>
      <c r="S33" s="520"/>
      <c r="T33" s="447">
        <v>61.67</v>
      </c>
      <c r="U33"/>
      <c r="AB33" s="144"/>
      <c r="AC33" s="144"/>
      <c r="AE33" s="144"/>
      <c r="AF33" s="144"/>
      <c r="BD33" s="383">
        <v>1.79</v>
      </c>
      <c r="BE33" s="383">
        <v>2.0499999999999998</v>
      </c>
      <c r="BF33" s="383">
        <v>14.11</v>
      </c>
      <c r="BG33" s="383">
        <v>1.31</v>
      </c>
      <c r="BH33" s="383">
        <v>0.24</v>
      </c>
      <c r="BI33" s="383">
        <v>0</v>
      </c>
      <c r="BJ33" s="383">
        <v>0</v>
      </c>
      <c r="BK33" s="383">
        <f t="shared" si="4"/>
        <v>3.7049999999999992</v>
      </c>
      <c r="BL33" s="383">
        <f t="shared" si="1"/>
        <v>23.204999999999995</v>
      </c>
      <c r="BM33" s="383">
        <f t="shared" si="2"/>
        <v>12.91</v>
      </c>
      <c r="BN33" s="383">
        <f t="shared" si="3"/>
        <v>12.417539512596379</v>
      </c>
      <c r="BO33" s="383">
        <f>BO32*(1+BO$61)</f>
        <v>13.218528575392391</v>
      </c>
    </row>
    <row r="34" spans="1:68" outlineLevel="1">
      <c r="A34" s="211">
        <v>2010</v>
      </c>
      <c r="B34" s="520"/>
      <c r="C34" s="520"/>
      <c r="D34" s="520"/>
      <c r="E34" s="144"/>
      <c r="F34" s="144"/>
      <c r="G34" s="218"/>
      <c r="H34" s="144"/>
      <c r="I34" s="144"/>
      <c r="J34" s="144"/>
      <c r="K34" s="144"/>
      <c r="L34" s="144"/>
      <c r="M34" s="144"/>
      <c r="N34" s="144"/>
      <c r="O34" s="144"/>
      <c r="P34" s="144"/>
      <c r="Q34" s="221"/>
      <c r="R34" s="520"/>
      <c r="S34" s="520"/>
      <c r="T34" s="447">
        <v>79.5</v>
      </c>
      <c r="U34"/>
      <c r="AC34" s="144"/>
      <c r="AD34" s="144"/>
      <c r="AE34" s="144"/>
      <c r="AF34" s="144"/>
      <c r="AG34" s="391">
        <v>558</v>
      </c>
      <c r="AH34" s="391">
        <v>558</v>
      </c>
      <c r="AI34" s="391">
        <v>558</v>
      </c>
      <c r="AT34" s="392">
        <v>373</v>
      </c>
      <c r="AU34" s="392">
        <f t="shared" ref="AU34:AU59" si="5">IF($D34&gt;0,AT34,0)</f>
        <v>0</v>
      </c>
      <c r="AV34" s="392">
        <v>254</v>
      </c>
      <c r="AW34" s="392">
        <f t="shared" ref="AW34:AW59" si="6">IF($D34&gt;0,AV34,0)</f>
        <v>0</v>
      </c>
      <c r="BD34" s="383">
        <v>1.79</v>
      </c>
      <c r="BE34" s="383">
        <v>2.0499999999999998</v>
      </c>
      <c r="BF34" s="383">
        <v>13.89</v>
      </c>
      <c r="BG34" s="383">
        <v>2.0499999999999998</v>
      </c>
      <c r="BH34" s="383">
        <v>0.13</v>
      </c>
      <c r="BI34" s="383">
        <v>0</v>
      </c>
      <c r="BJ34" s="383">
        <v>0</v>
      </c>
      <c r="BK34" s="383">
        <f t="shared" si="4"/>
        <v>3.7829000000000002</v>
      </c>
      <c r="BL34" s="383">
        <f t="shared" si="1"/>
        <v>23.692900000000002</v>
      </c>
      <c r="BM34" s="383">
        <f t="shared" si="2"/>
        <v>12.91</v>
      </c>
      <c r="BN34" s="383">
        <f t="shared" si="3"/>
        <v>12.825142622741092</v>
      </c>
      <c r="BO34" s="383">
        <f>BO33*(1+BO$61)</f>
        <v>13.440730592189629</v>
      </c>
    </row>
    <row r="35" spans="1:68">
      <c r="A35" s="211">
        <v>2011</v>
      </c>
      <c r="B35" s="520"/>
      <c r="C35" s="520"/>
      <c r="D35" s="211"/>
      <c r="E35" s="144"/>
      <c r="F35" s="144"/>
      <c r="G35" s="218"/>
      <c r="H35" s="144"/>
      <c r="I35" s="144"/>
      <c r="J35" s="144"/>
      <c r="K35" s="144"/>
      <c r="L35" s="144"/>
      <c r="M35" s="144"/>
      <c r="N35" s="144"/>
      <c r="O35" s="144"/>
      <c r="P35" s="144"/>
      <c r="Q35" s="221">
        <f>T35</f>
        <v>107.6</v>
      </c>
      <c r="R35" s="294">
        <f>IF($D35&gt;0,(Sensitivitätsanalyse!$B$29*Sensitivitätsanalyse!$B$35*J35/100),0)</f>
        <v>0</v>
      </c>
      <c r="S35" s="294">
        <f>IF($D35&gt;0,(Sensitivitätsanalyse!$B$29*Sensitivitätsanalyse!$C$35*BL35/10000),0)</f>
        <v>0</v>
      </c>
      <c r="T35" s="448">
        <f t="shared" ref="T35:T58" si="7">INDEX($E$71:$F$75,MATCH(T$59,$E$71:$E$75,0),2)*LN($A36-$A$35)+$T$64</f>
        <v>107.6</v>
      </c>
      <c r="U35" s="448">
        <f t="shared" ref="U35:U58" si="8">INDEX($E$71:$F$75,MATCH(U$59,$E$71:$E$75,0),2)*LN($A36-$A$35)+$T$64</f>
        <v>107.6</v>
      </c>
      <c r="V35" s="448">
        <f t="shared" ref="V35:V58" si="9">INDEX($E$71:$F$75,MATCH(V$59,$E$71:$E$75,0),2)*LN($A36-$A$35)+$T$64</f>
        <v>107.6</v>
      </c>
      <c r="W35" s="448">
        <f t="shared" ref="W35:W58" si="10">INDEX($E$71:$F$75,MATCH(W$59,$E$71:$E$75,0),2)*LN($A36-$A$35)+$T$64</f>
        <v>107.6</v>
      </c>
      <c r="X35" s="448">
        <f t="shared" ref="X35:X58" si="11">INDEX($E$71:$F$75,MATCH(X$59,$E$71:$E$75,0),2)*LN($A36-$A$35)+$T$64</f>
        <v>107.6</v>
      </c>
      <c r="Y35" s="525">
        <f t="shared" ref="Y35:Y58" si="12">INDEX($E$71:$F$75,MATCH(Y$59,$E$71:$E$75,0),2)*LN($A36-$A$35)+$T$64</f>
        <v>107.6</v>
      </c>
      <c r="Z35" s="548"/>
      <c r="AA35" s="548"/>
      <c r="AB35" s="144"/>
      <c r="AC35" s="144"/>
      <c r="AD35" s="144"/>
      <c r="AE35" s="144"/>
      <c r="AF35" s="144"/>
      <c r="AG35" s="4">
        <f t="shared" ref="AG35:AI38" si="13">(1+AJ35)*AG34</f>
        <v>536.15529473136246</v>
      </c>
      <c r="AH35" s="4">
        <f t="shared" si="13"/>
        <v>484.36627616064413</v>
      </c>
      <c r="AI35" s="4">
        <f t="shared" si="13"/>
        <v>591.99714439253898</v>
      </c>
      <c r="AJ35" s="6">
        <f t="shared" ref="AJ35:AL39" si="14">(AG$39/AG$34)^(1/($A$39-$A$34))-1</f>
        <v>-3.9148217327307444E-2</v>
      </c>
      <c r="AK35" s="6">
        <f t="shared" si="14"/>
        <v>-0.1319600785651539</v>
      </c>
      <c r="AL35" s="6">
        <f t="shared" si="14"/>
        <v>6.0926782065481966E-2</v>
      </c>
      <c r="AS35" s="6">
        <f t="shared" ref="AS35:AS58" si="15">MAX(0,(A35-$A$37)/($A$59-$A$37)*$AS$59)</f>
        <v>0</v>
      </c>
      <c r="AT35" s="4">
        <f t="shared" ref="AT35:AT37" si="16">(1+AX35)*AT34</f>
        <v>372.3980603372309</v>
      </c>
      <c r="AU35" s="392">
        <f t="shared" ref="AU35" si="17">IF($D35&gt;0,AT35,0)</f>
        <v>0</v>
      </c>
      <c r="AV35" s="4">
        <f t="shared" ref="AV35:AV37" si="18">(1+AY35)*AV34</f>
        <v>253.19491248256173</v>
      </c>
      <c r="AW35" s="392">
        <f t="shared" si="6"/>
        <v>0</v>
      </c>
      <c r="AX35" s="6">
        <f t="shared" ref="AX35:AX38" si="19">(AT$39/AT$34)^(1/($A$39-$A$34))-1</f>
        <v>-1.6137792567536557E-3</v>
      </c>
      <c r="AY35" s="6">
        <f t="shared" ref="AY35:AY38" si="20">(AV$39/AV$34)^(1/($A$39-$A$34))-1</f>
        <v>-3.1696358954262926E-3</v>
      </c>
      <c r="BD35" s="383">
        <v>1.79</v>
      </c>
      <c r="BE35" s="383">
        <v>2.0499999999999998</v>
      </c>
      <c r="BF35" s="383">
        <v>13.8</v>
      </c>
      <c r="BG35" s="383">
        <v>3.53</v>
      </c>
      <c r="BH35" s="383">
        <v>0.03</v>
      </c>
      <c r="BI35" s="383">
        <v>0</v>
      </c>
      <c r="BJ35" s="383">
        <v>0</v>
      </c>
      <c r="BK35" s="383">
        <f t="shared" si="4"/>
        <v>4.0280000000000005</v>
      </c>
      <c r="BL35" s="383">
        <f t="shared" si="1"/>
        <v>25.228000000000002</v>
      </c>
      <c r="BM35" s="383">
        <f t="shared" si="2"/>
        <v>12.91</v>
      </c>
      <c r="BN35" s="383">
        <f t="shared" si="3"/>
        <v>13.246125218832365</v>
      </c>
      <c r="BO35" s="383">
        <f>BO34*(1+BO$61)</f>
        <v>13.666667800539177</v>
      </c>
    </row>
    <row r="36" spans="1:68">
      <c r="A36" s="211">
        <v>2012</v>
      </c>
      <c r="B36" s="520"/>
      <c r="C36" s="520"/>
      <c r="D36" s="211">
        <f t="shared" ref="D36:D59" si="21">IF(B36+C36=2,$A36,0)</f>
        <v>0</v>
      </c>
      <c r="E36" s="421">
        <f>J37/1.19</f>
        <v>1.3445378151260505</v>
      </c>
      <c r="F36" s="421">
        <f>J37-E36</f>
        <v>0.25546218487394956</v>
      </c>
      <c r="G36" s="422">
        <f t="shared" ref="G36:G59" si="22">0.6596</f>
        <v>0.65959999999999996</v>
      </c>
      <c r="H36" s="421">
        <f>E36-G36</f>
        <v>0.68493781512605056</v>
      </c>
      <c r="I36" s="421">
        <f t="shared" ref="I36:I59" si="23">G36+F36</f>
        <v>0.91506218487394952</v>
      </c>
      <c r="K36" s="425">
        <v>0.13569999999999999</v>
      </c>
      <c r="L36" s="425">
        <f t="shared" ref="L36:L59" si="24">0.035</f>
        <v>3.5000000000000003E-2</v>
      </c>
      <c r="M36" s="426">
        <v>1.7899999999999999E-2</v>
      </c>
      <c r="N36" s="426">
        <v>2.0500000000000001E-2</v>
      </c>
      <c r="O36" s="223">
        <f>K36+M36+N36+L36</f>
        <v>0.20909999999999998</v>
      </c>
      <c r="P36" s="222">
        <f>O36*1.19</f>
        <v>0.24882899999999997</v>
      </c>
      <c r="Q36" s="221">
        <f t="shared" ref="Q36:Q59" si="25">T36</f>
        <v>111.3429947750237</v>
      </c>
      <c r="R36" s="294">
        <f>IF($D36&gt;0,(Sensitivitätsanalyse!$B$29*Sensitivitätsanalyse!$B$35*J36/100),0)</f>
        <v>0</v>
      </c>
      <c r="S36" s="294">
        <f>IF($D36&gt;0,(Sensitivitätsanalyse!$B$29*Sensitivitätsanalyse!$C$35*BL36/10000),0)</f>
        <v>0</v>
      </c>
      <c r="T36" s="446">
        <f t="shared" si="7"/>
        <v>111.3429947750237</v>
      </c>
      <c r="U36" s="446">
        <f t="shared" si="8"/>
        <v>95.19266546797698</v>
      </c>
      <c r="V36" s="446">
        <f t="shared" si="9"/>
        <v>106.00576148471212</v>
      </c>
      <c r="W36" s="446">
        <f t="shared" si="10"/>
        <v>111.3429947750237</v>
      </c>
      <c r="X36" s="446">
        <f t="shared" si="11"/>
        <v>115.64050729449536</v>
      </c>
      <c r="Y36" s="526">
        <f t="shared" si="12"/>
        <v>127.49332408207042</v>
      </c>
      <c r="Z36" s="549"/>
      <c r="AA36" s="549"/>
      <c r="AB36" s="522">
        <f>INDEX('NR Fahrzeug&amp;Fahrverhalten'!$A$1:$D$27,MATCH(AB$1,'NR Fahrzeug&amp;Fahrverhalten'!$A:$A,0),MATCH('NR Kraftstoffpreisprognosen'!AB$4,'NR Fahrzeug&amp;Fahrverhalten'!$1:$1,0))</f>
        <v>6.6</v>
      </c>
      <c r="AC36" s="224">
        <f t="array" ref="AC36">INDEX('NR Fahrzeug&amp;Fahrverhalten'!$A$1:$D$27,MATCH(AC$1,'NR Fahrzeug&amp;Fahrverhalten'!$A:$A,0),MATCH('NR Kraftstoffpreisprognosen'!AC$4,'NR Fahrzeug&amp;Fahrverhalten'!$1:$1,0))</f>
        <v>18.285</v>
      </c>
      <c r="AD36" s="224"/>
      <c r="AG36" s="4">
        <f t="shared" si="13"/>
        <v>515.16577073203246</v>
      </c>
      <c r="AH36" s="4">
        <f t="shared" si="13"/>
        <v>420.44926430417451</v>
      </c>
      <c r="AI36" s="4">
        <f t="shared" si="13"/>
        <v>628.06562539233084</v>
      </c>
      <c r="AJ36" s="6">
        <f t="shared" si="14"/>
        <v>-3.9148217327307444E-2</v>
      </c>
      <c r="AK36" s="6">
        <f t="shared" si="14"/>
        <v>-0.1319600785651539</v>
      </c>
      <c r="AL36" s="6">
        <f t="shared" si="14"/>
        <v>6.0926782065481966E-2</v>
      </c>
      <c r="AS36" s="6">
        <f t="shared" si="15"/>
        <v>0</v>
      </c>
      <c r="AT36" s="4">
        <f t="shared" si="16"/>
        <v>371.79709207220338</v>
      </c>
      <c r="AU36" s="392">
        <f t="shared" ref="AU36" si="26">IF($D36&gt;0,AT36,0)</f>
        <v>0</v>
      </c>
      <c r="AV36" s="4">
        <f t="shared" si="18"/>
        <v>252.39237679941769</v>
      </c>
      <c r="AW36" s="392">
        <f t="shared" si="6"/>
        <v>0</v>
      </c>
      <c r="AX36" s="6">
        <f t="shared" si="19"/>
        <v>-1.6137792567536557E-3</v>
      </c>
      <c r="AY36" s="6">
        <f t="shared" si="20"/>
        <v>-3.1696358954262926E-3</v>
      </c>
      <c r="AZ36" s="387">
        <f>'NR Fahrzeug&amp;Fahrverhalten'!J9</f>
        <v>6.6</v>
      </c>
      <c r="BA36" s="397">
        <f t="shared" ref="BA36:BA59" si="27">(AZ$44/AZ$36)^(1/($A$44-$A$36))-1</f>
        <v>-2.7507527533926934E-2</v>
      </c>
      <c r="BB36" s="387">
        <f>'NR Fahrzeug&amp;Fahrverhalten'!K9</f>
        <v>15.9</v>
      </c>
      <c r="BC36" s="397">
        <f t="shared" ref="BC36:BC59" si="28">(BB$44/BB$36)^(1/($A$44-$A$36))-1</f>
        <v>-1.3083718633998487E-2</v>
      </c>
      <c r="BD36" s="383">
        <v>1.79</v>
      </c>
      <c r="BE36" s="383">
        <v>2.0499999999999998</v>
      </c>
      <c r="BF36" s="383">
        <v>14.17</v>
      </c>
      <c r="BG36" s="383">
        <v>3.59</v>
      </c>
      <c r="BH36" s="383">
        <v>0</v>
      </c>
      <c r="BI36" s="383">
        <v>0.15</v>
      </c>
      <c r="BJ36" s="383">
        <v>0</v>
      </c>
      <c r="BK36" s="383">
        <f t="shared" si="4"/>
        <v>4.1324999999999994</v>
      </c>
      <c r="BL36" s="383">
        <f t="shared" si="1"/>
        <v>25.882499999999997</v>
      </c>
      <c r="BM36" s="383">
        <f t="shared" si="2"/>
        <v>12.91</v>
      </c>
      <c r="BN36" s="383">
        <f t="shared" si="3"/>
        <v>13.680926479668738</v>
      </c>
      <c r="BO36" s="383">
        <f>BO35*(1+BO$61)</f>
        <v>13.896402988601706</v>
      </c>
      <c r="BP36" s="383">
        <v>14.17</v>
      </c>
    </row>
    <row r="37" spans="1:68">
      <c r="A37" s="211">
        <v>2013</v>
      </c>
      <c r="B37" s="520" t="b">
        <f>IF($A37&gt;=Sensitivitätsanalyse!$B$25,TRUE,FALSE)</f>
        <v>1</v>
      </c>
      <c r="C37" s="520" t="b">
        <f>IF($A37&lt;(Sensitivitätsanalyse!$B$25+Sensitivitätsanalyse!$B$30),TRUE,FALSE)</f>
        <v>1</v>
      </c>
      <c r="D37" s="211">
        <f t="shared" si="21"/>
        <v>2013</v>
      </c>
      <c r="E37" s="421">
        <f t="shared" ref="E37:E59" si="29">H37+G37</f>
        <v>1.3580068194708721</v>
      </c>
      <c r="F37" s="421">
        <f t="shared" ref="F37:F59" si="30">0.19*E37</f>
        <v>0.25802129569946569</v>
      </c>
      <c r="G37" s="421">
        <f t="shared" si="22"/>
        <v>0.65959999999999996</v>
      </c>
      <c r="H37" s="305">
        <f t="shared" ref="H37:H59" si="31">H36*T37/T36</f>
        <v>0.69840681947087224</v>
      </c>
      <c r="I37" s="421">
        <f t="shared" si="23"/>
        <v>0.9176212956994656</v>
      </c>
      <c r="J37" s="421">
        <f>INDEX($Q$66:$V$75,MATCH(J$2,$Q$66:$Q$75,0),MATCH($J$1,$Q$66:$V$66,0))</f>
        <v>1.6</v>
      </c>
      <c r="K37" s="223">
        <f>K36*(1-(1-T36/T35)*Sensitivitätsanalyse!$B$37)</f>
        <v>0.13806024345246615</v>
      </c>
      <c r="L37" s="425">
        <f t="shared" si="24"/>
        <v>3.5000000000000003E-2</v>
      </c>
      <c r="M37" s="426">
        <v>1.7899999999999999E-2</v>
      </c>
      <c r="N37" s="426">
        <v>2.0500000000000001E-2</v>
      </c>
      <c r="O37" s="223">
        <f t="shared" ref="O37:O59" si="32">K37+M37+N37+L37</f>
        <v>0.21146024345246614</v>
      </c>
      <c r="P37" s="222">
        <f t="shared" ref="P37:P59" si="33">O37*1.19</f>
        <v>0.2516376897084347</v>
      </c>
      <c r="Q37" s="221">
        <f t="shared" si="25"/>
        <v>113.53250635880779</v>
      </c>
      <c r="R37" s="294">
        <f>IF($D37&gt;0,(Sensitivitätsanalyse!$B$29*Sensitivitätsanalyse!$B$35*J37/100),0)</f>
        <v>1584</v>
      </c>
      <c r="S37" s="294">
        <f>IF($D37&gt;0,(Sensitivitätsanalyse!$B$29*Sensitivitätsanalyse!$C$35*BL37/10000),0)</f>
        <v>717.72556274999999</v>
      </c>
      <c r="T37" s="446">
        <f t="shared" si="7"/>
        <v>113.53250635880779</v>
      </c>
      <c r="U37" s="446">
        <f t="shared" si="8"/>
        <v>87.934840032840839</v>
      </c>
      <c r="V37" s="446">
        <f t="shared" si="9"/>
        <v>105.07319173606334</v>
      </c>
      <c r="W37" s="446">
        <f t="shared" si="10"/>
        <v>113.53250635880779</v>
      </c>
      <c r="X37" s="446">
        <f t="shared" si="11"/>
        <v>120.34390254855006</v>
      </c>
      <c r="Y37" s="526">
        <f t="shared" si="12"/>
        <v>139.13017268477475</v>
      </c>
      <c r="Z37" s="563">
        <f>Sensitivitätsanalyse!C38</f>
        <v>0.25</v>
      </c>
      <c r="AA37" s="549">
        <v>0</v>
      </c>
      <c r="AB37" s="522">
        <f>AB36*(1+Sensitivitätsanalyse!$B$42)</f>
        <v>6.4184503182760819</v>
      </c>
      <c r="AC37" s="224">
        <f>AC36*(1+Sensitivitätsanalyse!$C$42)</f>
        <v>18.045764204777338</v>
      </c>
      <c r="AD37" s="224">
        <f>'NR Fahrzeug&amp;Fahrverhalten'!$D$20</f>
        <v>26.5</v>
      </c>
      <c r="AE37" s="225">
        <f>'NR Kraftstoffpreisprognosen'!$CA$5</f>
        <v>0.12</v>
      </c>
      <c r="AF37" s="539">
        <v>100</v>
      </c>
      <c r="AG37" s="4">
        <f t="shared" si="13"/>
        <v>494.99794917982501</v>
      </c>
      <c r="AH37" s="4">
        <f t="shared" si="13"/>
        <v>364.96674635393447</v>
      </c>
      <c r="AI37" s="4">
        <f t="shared" si="13"/>
        <v>666.33164287343004</v>
      </c>
      <c r="AJ37" s="6">
        <f t="shared" si="14"/>
        <v>-3.9148217327307444E-2</v>
      </c>
      <c r="AK37" s="6">
        <f t="shared" si="14"/>
        <v>-0.1319600785651539</v>
      </c>
      <c r="AL37" s="6">
        <f t="shared" si="14"/>
        <v>6.0926782065481966E-2</v>
      </c>
      <c r="AM37" s="394">
        <f>Sensitivitätsanalyse!C66</f>
        <v>2000</v>
      </c>
      <c r="AN37" s="393">
        <v>-0.5</v>
      </c>
      <c r="AO37" s="394">
        <f>Sensitivitätsanalyse!C63</f>
        <v>2000</v>
      </c>
      <c r="AP37" s="393">
        <v>-0.5</v>
      </c>
      <c r="AQ37" s="4">
        <f>'NR Fahrzeug&amp;Fahrverhalten'!$J$14</f>
        <v>21525</v>
      </c>
      <c r="AR37" s="4">
        <f>'NR Fahrzeug&amp;Fahrverhalten'!$K$14</f>
        <v>34642.445653265364</v>
      </c>
      <c r="AS37" s="6">
        <f t="shared" si="15"/>
        <v>0</v>
      </c>
      <c r="AT37" s="4">
        <f t="shared" si="16"/>
        <v>371.19709363729595</v>
      </c>
      <c r="AU37" s="392">
        <f t="shared" ref="AU37" si="34">IF($D37&gt;0,AT37,0)</f>
        <v>371.19709363729595</v>
      </c>
      <c r="AV37" s="4">
        <f t="shared" si="18"/>
        <v>251.59238486218229</v>
      </c>
      <c r="AW37" s="392">
        <f>IF($D37&gt;0,AV37,0)</f>
        <v>251.59238486218229</v>
      </c>
      <c r="AX37" s="6">
        <f t="shared" si="19"/>
        <v>-1.6137792567536557E-3</v>
      </c>
      <c r="AY37" s="6">
        <f t="shared" si="20"/>
        <v>-3.1696358954262926E-3</v>
      </c>
      <c r="AZ37" s="387">
        <f>AZ36</f>
        <v>6.6</v>
      </c>
      <c r="BA37" s="397">
        <f t="shared" si="27"/>
        <v>-2.7507527533926934E-2</v>
      </c>
      <c r="BB37" s="387">
        <f>BB36</f>
        <v>15.9</v>
      </c>
      <c r="BC37" s="397">
        <f t="shared" si="28"/>
        <v>-1.3083718633998487E-2</v>
      </c>
      <c r="BD37" s="383">
        <v>1.79</v>
      </c>
      <c r="BE37" s="383">
        <v>2.0499999999999998</v>
      </c>
      <c r="BF37" s="545">
        <v>12.16</v>
      </c>
      <c r="BG37" s="383">
        <v>5.28</v>
      </c>
      <c r="BH37" s="383">
        <v>0.13</v>
      </c>
      <c r="BI37" s="383">
        <v>0.33</v>
      </c>
      <c r="BJ37" s="383">
        <v>0.25</v>
      </c>
      <c r="BK37" s="383">
        <f t="shared" ref="BK37:BK59" si="35">SUM(BD37:BJ37)*0.19</f>
        <v>4.1780999999999997</v>
      </c>
      <c r="BL37" s="545">
        <f t="shared" si="1"/>
        <v>26.168099999999999</v>
      </c>
      <c r="BM37" s="383">
        <v>14.13</v>
      </c>
      <c r="BN37" s="383">
        <v>14.13</v>
      </c>
      <c r="BO37" s="383">
        <v>14.13</v>
      </c>
      <c r="BP37" s="383">
        <v>14.13</v>
      </c>
    </row>
    <row r="38" spans="1:68">
      <c r="A38" s="211">
        <v>2014</v>
      </c>
      <c r="B38" s="520" t="b">
        <f>IF($A38&gt;=Sensitivitätsanalyse!$B$25,TRUE,FALSE)</f>
        <v>1</v>
      </c>
      <c r="C38" s="520" t="b">
        <f>IF($A38&lt;(Sensitivitätsanalyse!$B$25+Sensitivitätsanalyse!$B$30),TRUE,FALSE)</f>
        <v>1</v>
      </c>
      <c r="D38" s="211">
        <f t="shared" si="21"/>
        <v>2014</v>
      </c>
      <c r="E38" s="421">
        <f t="shared" si="29"/>
        <v>1.3675632301367848</v>
      </c>
      <c r="F38" s="421">
        <f t="shared" si="30"/>
        <v>0.25983701372598911</v>
      </c>
      <c r="G38" s="421">
        <f t="shared" si="22"/>
        <v>0.65959999999999996</v>
      </c>
      <c r="H38" s="305">
        <f t="shared" si="31"/>
        <v>0.70796323013678497</v>
      </c>
      <c r="I38" s="421">
        <f t="shared" si="23"/>
        <v>0.91943701372598907</v>
      </c>
      <c r="J38" s="421">
        <f t="shared" ref="J38:J59" si="36">E38+F38</f>
        <v>1.6274002438627739</v>
      </c>
      <c r="K38" s="223">
        <f>K37*(1-(1-T37/T36)*Sensitivitätsanalyse!$B$37)</f>
        <v>0.1394176907840653</v>
      </c>
      <c r="L38" s="425">
        <f t="shared" si="24"/>
        <v>3.5000000000000003E-2</v>
      </c>
      <c r="M38" s="426">
        <v>1.7899999999999999E-2</v>
      </c>
      <c r="N38" s="426">
        <v>2.0500000000000001E-2</v>
      </c>
      <c r="O38" s="223">
        <f t="shared" si="32"/>
        <v>0.21281769078406529</v>
      </c>
      <c r="P38" s="222">
        <f t="shared" si="33"/>
        <v>0.25325305203303766</v>
      </c>
      <c r="Q38" s="221">
        <f t="shared" si="25"/>
        <v>115.0859895500474</v>
      </c>
      <c r="R38" s="294">
        <f>IF($D38&gt;0,(Sensitivitätsanalyse!$B$29*Sensitivitätsanalyse!$B$35*J38/100),0)</f>
        <v>1611.1262414241462</v>
      </c>
      <c r="S38" s="294">
        <f>IF($D38&gt;0,(Sensitivitätsanalyse!$B$29*Sensitivitätsanalyse!$C$35*BL38/10000),0)</f>
        <v>723.5373949982544</v>
      </c>
      <c r="T38" s="446">
        <f t="shared" si="7"/>
        <v>115.0859895500474</v>
      </c>
      <c r="U38" s="446">
        <f t="shared" si="8"/>
        <v>82.785330935953951</v>
      </c>
      <c r="V38" s="446">
        <f t="shared" si="9"/>
        <v>104.41152296942424</v>
      </c>
      <c r="W38" s="446">
        <f t="shared" si="10"/>
        <v>115.0859895500474</v>
      </c>
      <c r="X38" s="446">
        <f t="shared" si="11"/>
        <v>123.68101458899072</v>
      </c>
      <c r="Y38" s="526">
        <f t="shared" si="12"/>
        <v>147.38664816414087</v>
      </c>
      <c r="Z38" s="564">
        <f t="shared" ref="Z38:Z43" si="37">($A$44-A38)/($A$44-$A$37)*$Z$37</f>
        <v>0.21428571428571427</v>
      </c>
      <c r="AA38" s="549"/>
      <c r="AB38" s="522">
        <f>AB37*(1+Sensitivitätsanalyse!$B$42)</f>
        <v>6.2418946194209601</v>
      </c>
      <c r="AC38" s="224">
        <f>AC37*(1+Sensitivitätsanalyse!$C$42)</f>
        <v>17.809658503386551</v>
      </c>
      <c r="AD38" s="224">
        <f>AD37*(1+'NR Kraftstoffpreisprognosen'!$CB$6)</f>
        <v>27.03</v>
      </c>
      <c r="AE38" s="225">
        <f>AE37*(1+'NR Kraftstoffpreisprognosen'!$AE$61)</f>
        <v>0.12791230932608474</v>
      </c>
      <c r="AF38" s="540">
        <f>AF37*(1+'NR Kraftstoffpreisprognosen'!$AF$61)</f>
        <v>100</v>
      </c>
      <c r="AG38" s="4">
        <f t="shared" si="13"/>
        <v>475.61966188876175</v>
      </c>
      <c r="AH38" s="4">
        <f t="shared" si="13"/>
        <v>316.8057058314007</v>
      </c>
      <c r="AI38" s="4">
        <f t="shared" si="13"/>
        <v>706.92908566211406</v>
      </c>
      <c r="AJ38" s="6">
        <f t="shared" si="14"/>
        <v>-3.9148217327307444E-2</v>
      </c>
      <c r="AK38" s="6">
        <f t="shared" si="14"/>
        <v>-0.1319600785651539</v>
      </c>
      <c r="AL38" s="6">
        <f t="shared" si="14"/>
        <v>6.0926782065481966E-2</v>
      </c>
      <c r="AM38" s="394">
        <f t="shared" ref="AM38:AM43" si="38">AM37*(1+AN37)</f>
        <v>1000</v>
      </c>
      <c r="AN38" s="393">
        <v>-0.5</v>
      </c>
      <c r="AO38" s="394">
        <f t="shared" ref="AO38:AO43" si="39">AO37*(1+AP37)</f>
        <v>1000</v>
      </c>
      <c r="AP38" s="393">
        <v>-0.5</v>
      </c>
      <c r="AQ38" s="4">
        <f>(1+$AQ$61)*AQ37</f>
        <v>21740.25</v>
      </c>
      <c r="AR38" s="4">
        <f t="shared" ref="AR38:AR59" si="40">(1+$AR$61)*AR37</f>
        <v>34642.445653265364</v>
      </c>
      <c r="AS38" s="6">
        <f t="shared" si="15"/>
        <v>5.4545454545454541E-3</v>
      </c>
      <c r="AT38" s="4">
        <f t="shared" ref="AT38" si="41">(1+AX38)*AT37</f>
        <v>370.59806346741686</v>
      </c>
      <c r="AU38" s="392">
        <f t="shared" si="5"/>
        <v>370.59806346741686</v>
      </c>
      <c r="AV38" s="4">
        <f t="shared" ref="AV38" si="42">(1+AY38)*AV37</f>
        <v>250.7949286081072</v>
      </c>
      <c r="AW38" s="392">
        <f t="shared" si="6"/>
        <v>250.7949286081072</v>
      </c>
      <c r="AX38" s="6">
        <f t="shared" si="19"/>
        <v>-1.6137792567536557E-3</v>
      </c>
      <c r="AY38" s="6">
        <f t="shared" si="20"/>
        <v>-3.1696358954262926E-3</v>
      </c>
      <c r="AZ38" s="387">
        <f t="shared" ref="AZ38:AZ43" si="43">AZ37*(1+BA38)</f>
        <v>6.4184503182760819</v>
      </c>
      <c r="BA38" s="397">
        <f t="shared" si="27"/>
        <v>-2.7507527533926934E-2</v>
      </c>
      <c r="BB38" s="387">
        <f t="shared" ref="BB38:BB43" si="44">BB37*(1+BC38)</f>
        <v>15.691968873719425</v>
      </c>
      <c r="BC38" s="397">
        <f t="shared" si="28"/>
        <v>-1.3083718633998487E-2</v>
      </c>
      <c r="BD38" s="545">
        <v>1.79</v>
      </c>
      <c r="BE38" s="545">
        <v>2.0499999999999998</v>
      </c>
      <c r="BF38" s="383">
        <f>BF37*(1+($BF$61*0.5+0.5*(T38/T37-1)))</f>
        <v>12.338065541722433</v>
      </c>
      <c r="BG38" s="545">
        <v>5.28</v>
      </c>
      <c r="BH38" s="545">
        <v>0.13</v>
      </c>
      <c r="BI38" s="545">
        <v>0.33</v>
      </c>
      <c r="BJ38" s="545">
        <v>0.25</v>
      </c>
      <c r="BK38" s="383">
        <f t="shared" si="35"/>
        <v>4.2119324529272619</v>
      </c>
      <c r="BL38" s="383">
        <f t="shared" si="1"/>
        <v>26.379997994649692</v>
      </c>
    </row>
    <row r="39" spans="1:68">
      <c r="A39" s="211">
        <v>2015</v>
      </c>
      <c r="B39" s="520" t="b">
        <f>IF($A39&gt;=Sensitivitätsanalyse!$B$25,TRUE,FALSE)</f>
        <v>1</v>
      </c>
      <c r="C39" s="520" t="b">
        <f>IF($A39&lt;(Sensitivitätsanalyse!$B$25+Sensitivitätsanalyse!$B$30),TRUE,FALSE)</f>
        <v>1</v>
      </c>
      <c r="D39" s="211">
        <f t="shared" si="21"/>
        <v>2015</v>
      </c>
      <c r="E39" s="421">
        <f t="shared" si="29"/>
        <v>1.3749757581251816</v>
      </c>
      <c r="F39" s="421">
        <f t="shared" si="30"/>
        <v>0.2612453940437845</v>
      </c>
      <c r="G39" s="421">
        <f t="shared" si="22"/>
        <v>0.65959999999999996</v>
      </c>
      <c r="H39" s="305">
        <f t="shared" si="31"/>
        <v>0.71537575812518162</v>
      </c>
      <c r="I39" s="421">
        <f t="shared" si="23"/>
        <v>0.9208453940437844</v>
      </c>
      <c r="J39" s="421">
        <f t="shared" si="36"/>
        <v>1.636221152168966</v>
      </c>
      <c r="K39" s="223">
        <f>K38*(1-(1-T38/T37)*Sensitivitätsanalyse!$B$37)</f>
        <v>0.14037152791028001</v>
      </c>
      <c r="L39" s="425">
        <f t="shared" si="24"/>
        <v>3.5000000000000003E-2</v>
      </c>
      <c r="M39" s="426">
        <v>1.7899999999999999E-2</v>
      </c>
      <c r="N39" s="426">
        <v>2.0500000000000001E-2</v>
      </c>
      <c r="O39" s="223">
        <f t="shared" si="32"/>
        <v>0.21377152791028001</v>
      </c>
      <c r="P39" s="222">
        <f t="shared" si="33"/>
        <v>0.25438811821323321</v>
      </c>
      <c r="Q39" s="221">
        <f t="shared" si="25"/>
        <v>116.29096472714414</v>
      </c>
      <c r="R39" s="294">
        <f>IF($D39&gt;0,(Sensitivitätsanalyse!$B$29*Sensitivitätsanalyse!$B$35*J39/100),0)</f>
        <v>1619.8589406472765</v>
      </c>
      <c r="S39" s="294">
        <f>IF($D39&gt;0,(Sensitivitätsanalyse!$B$29*Sensitivitätsanalyse!$C$35*BL39/10000),0)</f>
        <v>728.78740933097674</v>
      </c>
      <c r="T39" s="446">
        <f t="shared" si="7"/>
        <v>116.29096472714414</v>
      </c>
      <c r="U39" s="446">
        <f t="shared" si="8"/>
        <v>78.791061367429606</v>
      </c>
      <c r="V39" s="446">
        <f t="shared" si="9"/>
        <v>103.89829280140157</v>
      </c>
      <c r="W39" s="446">
        <f t="shared" si="10"/>
        <v>116.29096472714414</v>
      </c>
      <c r="X39" s="446">
        <f t="shared" si="11"/>
        <v>126.26947978423556</v>
      </c>
      <c r="Y39" s="526">
        <f t="shared" si="12"/>
        <v>153.79086808685867</v>
      </c>
      <c r="Z39" s="564">
        <f t="shared" si="37"/>
        <v>0.17857142857142858</v>
      </c>
      <c r="AA39" s="549"/>
      <c r="AB39" s="522">
        <f>AB38*(1+Sensitivitätsanalyse!$B$42)</f>
        <v>6.0701955313133675</v>
      </c>
      <c r="AC39" s="224">
        <f>AC38*(1+Sensitivitätsanalyse!$C$42)</f>
        <v>17.576641942560641</v>
      </c>
      <c r="AD39" s="224">
        <f>AD38*(1+'NR Kraftstoffpreisprognosen'!$CB$6)</f>
        <v>27.570600000000002</v>
      </c>
      <c r="AE39" s="225">
        <f>AE38*(1+'NR Kraftstoffpreisprognosen'!$AE$61)</f>
        <v>0.13634632397609989</v>
      </c>
      <c r="AF39" s="540">
        <f>AF38*(1+'NR Kraftstoffpreisprognosen'!$AF$61)</f>
        <v>100</v>
      </c>
      <c r="AG39" s="391">
        <v>457</v>
      </c>
      <c r="AH39" s="391">
        <v>275</v>
      </c>
      <c r="AI39" s="391">
        <v>750</v>
      </c>
      <c r="AJ39" s="6">
        <f t="shared" si="14"/>
        <v>-3.9148217327307444E-2</v>
      </c>
      <c r="AK39" s="6">
        <f t="shared" si="14"/>
        <v>-0.1319600785651539</v>
      </c>
      <c r="AL39" s="6">
        <f t="shared" si="14"/>
        <v>6.0926782065481966E-2</v>
      </c>
      <c r="AM39" s="394">
        <f t="shared" si="38"/>
        <v>500</v>
      </c>
      <c r="AN39" s="393">
        <v>-0.5</v>
      </c>
      <c r="AO39" s="394">
        <f t="shared" si="39"/>
        <v>500</v>
      </c>
      <c r="AP39" s="393">
        <v>-0.5</v>
      </c>
      <c r="AQ39" s="4">
        <f t="shared" ref="AQ39:AQ59" si="45">(1+$AQ$61)*AQ38</f>
        <v>21957.6525</v>
      </c>
      <c r="AR39" s="4">
        <f t="shared" si="40"/>
        <v>34642.445653265364</v>
      </c>
      <c r="AS39" s="6">
        <f t="shared" si="15"/>
        <v>1.0909090909090908E-2</v>
      </c>
      <c r="AT39" s="392">
        <v>370</v>
      </c>
      <c r="AU39" s="392">
        <f t="shared" si="5"/>
        <v>370</v>
      </c>
      <c r="AV39" s="392">
        <v>250</v>
      </c>
      <c r="AW39" s="392">
        <f t="shared" si="6"/>
        <v>250</v>
      </c>
      <c r="AX39" s="6">
        <f>(AT$39/AT$34)^(1/($A$39-$A$34))-1</f>
        <v>-1.6137792567536557E-3</v>
      </c>
      <c r="AY39" s="6">
        <f>(AV$39/AV$34)^(1/($A$39-$A$34))-1</f>
        <v>-3.1696358954262926E-3</v>
      </c>
      <c r="AZ39" s="387">
        <f t="shared" si="43"/>
        <v>6.2418946194209601</v>
      </c>
      <c r="BA39" s="397">
        <f t="shared" si="27"/>
        <v>-2.7507527533926934E-2</v>
      </c>
      <c r="BB39" s="387">
        <f t="shared" si="44"/>
        <v>15.486659568162217</v>
      </c>
      <c r="BC39" s="397">
        <f t="shared" si="28"/>
        <v>-1.3083718633998487E-2</v>
      </c>
      <c r="BD39" s="532">
        <f>BD38*(1+BD$61)</f>
        <v>1.79</v>
      </c>
      <c r="BE39" s="532">
        <f>BE38*(1+BE$61)</f>
        <v>2.0499999999999998</v>
      </c>
      <c r="BF39" s="383">
        <f t="shared" ref="BF39:BF59" si="46">BF38*(1+($BF$61*0.5+0.5*(T39/T38-1)))</f>
        <v>12.498917852366375</v>
      </c>
      <c r="BG39" s="532">
        <f>BG38*(1+BG$61)</f>
        <v>5.28</v>
      </c>
      <c r="BH39" s="532">
        <f>BH38*(1+BH$61)</f>
        <v>0.13</v>
      </c>
      <c r="BI39" s="532">
        <f>BI38*(1+BI$61)</f>
        <v>0.33</v>
      </c>
      <c r="BJ39" s="532">
        <f>BJ38*(1+BJ$61)</f>
        <v>0.25</v>
      </c>
      <c r="BK39" s="383">
        <f t="shared" si="35"/>
        <v>4.2424943919496112</v>
      </c>
      <c r="BL39" s="383">
        <f t="shared" si="1"/>
        <v>26.571412244315987</v>
      </c>
    </row>
    <row r="40" spans="1:68">
      <c r="A40" s="211">
        <v>2016</v>
      </c>
      <c r="B40" s="520" t="b">
        <f>IF($A40&gt;=Sensitivitätsanalyse!$B$25,TRUE,FALSE)</f>
        <v>1</v>
      </c>
      <c r="C40" s="520" t="b">
        <f>IF($A40&lt;(Sensitivitätsanalyse!$B$25+Sensitivitätsanalyse!$B$30),TRUE,FALSE)</f>
        <v>1</v>
      </c>
      <c r="D40" s="211">
        <f t="shared" si="21"/>
        <v>2016</v>
      </c>
      <c r="E40" s="421">
        <f t="shared" si="29"/>
        <v>1.3810322344816066</v>
      </c>
      <c r="F40" s="421">
        <f t="shared" si="30"/>
        <v>0.26239612455150524</v>
      </c>
      <c r="G40" s="421">
        <f t="shared" si="22"/>
        <v>0.65959999999999996</v>
      </c>
      <c r="H40" s="305">
        <f t="shared" si="31"/>
        <v>0.72143223448160665</v>
      </c>
      <c r="I40" s="421">
        <f t="shared" si="23"/>
        <v>0.92199612455150515</v>
      </c>
      <c r="J40" s="421">
        <f t="shared" si="36"/>
        <v>1.6434283590331118</v>
      </c>
      <c r="K40" s="223">
        <f>K39*(1-(1-T39/T38)*Sensitivitätsanalyse!$B$37)</f>
        <v>0.14110638802385395</v>
      </c>
      <c r="L40" s="425">
        <f t="shared" si="24"/>
        <v>3.5000000000000003E-2</v>
      </c>
      <c r="M40" s="426">
        <v>1.7899999999999999E-2</v>
      </c>
      <c r="N40" s="426">
        <v>2.0500000000000001E-2</v>
      </c>
      <c r="O40" s="223">
        <f t="shared" si="32"/>
        <v>0.21450638802385394</v>
      </c>
      <c r="P40" s="222">
        <f t="shared" si="33"/>
        <v>0.25526260174838616</v>
      </c>
      <c r="Q40" s="221">
        <f t="shared" si="25"/>
        <v>117.2755011338315</v>
      </c>
      <c r="R40" s="294">
        <f>IF($D40&gt;0,(Sensitivitätsanalyse!$B$29*Sensitivitätsanalyse!$B$35*J40/100),0)</f>
        <v>1626.9940754427807</v>
      </c>
      <c r="S40" s="294">
        <f>IF($D40&gt;0,(Sensitivitätsanalyse!$B$29*Sensitivitätsanalyse!$C$35*BL40/10000),0)</f>
        <v>733.69708978446317</v>
      </c>
      <c r="T40" s="446">
        <f t="shared" si="7"/>
        <v>117.2755011338315</v>
      </c>
      <c r="U40" s="446">
        <f t="shared" si="8"/>
        <v>75.52750550081781</v>
      </c>
      <c r="V40" s="446">
        <f t="shared" si="9"/>
        <v>103.47895322077547</v>
      </c>
      <c r="W40" s="446">
        <f t="shared" si="10"/>
        <v>117.2755011338315</v>
      </c>
      <c r="X40" s="446">
        <f t="shared" si="11"/>
        <v>128.38440984304543</v>
      </c>
      <c r="Y40" s="526">
        <f t="shared" si="12"/>
        <v>159.02349676684517</v>
      </c>
      <c r="Z40" s="564">
        <f t="shared" si="37"/>
        <v>0.14285714285714285</v>
      </c>
      <c r="AA40" s="549"/>
      <c r="AB40" s="522">
        <f>AB39*(1+Sensitivitätsanalyse!$B$42)</f>
        <v>5.9032194605994448</v>
      </c>
      <c r="AC40" s="224">
        <f>AC39*(1+Sensitivitätsanalyse!$C$42)</f>
        <v>17.346674104853641</v>
      </c>
      <c r="AD40" s="224">
        <f>AD39*(1+'NR Kraftstoffpreisprognosen'!$CB$6)</f>
        <v>28.122012000000002</v>
      </c>
      <c r="AE40" s="225">
        <f>AE39*(1+'NR Kraftstoffpreisprognosen'!$AE$61)</f>
        <v>0.14533644306587878</v>
      </c>
      <c r="AF40" s="540">
        <f>AF39*(1+'NR Kraftstoffpreisprognosen'!$AF$61)</f>
        <v>100</v>
      </c>
      <c r="AG40" s="4">
        <f t="shared" ref="AG40:AI43" si="47">(1+AJ40)*AG39</f>
        <v>403.42812978203705</v>
      </c>
      <c r="AH40" s="4">
        <f t="shared" si="47"/>
        <v>248.29212414804442</v>
      </c>
      <c r="AI40" s="4">
        <f t="shared" si="47"/>
        <v>627.30201968281278</v>
      </c>
      <c r="AJ40" s="6">
        <f t="shared" ref="AJ40:AL44" si="48">(AG$44/AG$39)^(1/($A$44-$A$39))-1</f>
        <v>-0.11722509894521438</v>
      </c>
      <c r="AK40" s="6">
        <f t="shared" si="48"/>
        <v>-9.7119548552565771E-2</v>
      </c>
      <c r="AL40" s="6">
        <f t="shared" si="48"/>
        <v>-0.16359730708958298</v>
      </c>
      <c r="AM40" s="394">
        <f t="shared" si="38"/>
        <v>250</v>
      </c>
      <c r="AN40" s="393">
        <v>-0.5</v>
      </c>
      <c r="AO40" s="394">
        <f t="shared" si="39"/>
        <v>250</v>
      </c>
      <c r="AP40" s="393">
        <v>-0.5</v>
      </c>
      <c r="AQ40" s="4">
        <f t="shared" si="45"/>
        <v>22177.229025000001</v>
      </c>
      <c r="AR40" s="4">
        <f t="shared" si="40"/>
        <v>34642.445653265364</v>
      </c>
      <c r="AS40" s="6">
        <f t="shared" si="15"/>
        <v>1.6363636363636361E-2</v>
      </c>
      <c r="AT40" s="4">
        <f t="shared" ref="AT40:AT42" si="49">(1+AX40)*AT39</f>
        <v>369.39804453322648</v>
      </c>
      <c r="AU40" s="392">
        <f t="shared" ref="AU40" si="50">IF($D40&gt;0,AT40,0)</f>
        <v>369.39804453322648</v>
      </c>
      <c r="AV40" s="4">
        <f t="shared" ref="AV40:AV42" si="51">(1+AY40)*AV39</f>
        <v>249.39709908821365</v>
      </c>
      <c r="AW40" s="392">
        <f t="shared" si="6"/>
        <v>249.39709908821365</v>
      </c>
      <c r="AX40" s="6">
        <f t="shared" ref="AX40:AX43" si="52">(AT$44/AT$39)^(1/($A$44-$A$39))-1</f>
        <v>-1.6269066669555299E-3</v>
      </c>
      <c r="AY40" s="6">
        <f t="shared" ref="AY40:AY43" si="53">(AV$44/AV$39)^(1/($A$44-$A$39))-1</f>
        <v>-2.4116036471454327E-3</v>
      </c>
      <c r="AZ40" s="387">
        <f t="shared" si="43"/>
        <v>6.0701955313133675</v>
      </c>
      <c r="BA40" s="397">
        <f t="shared" si="27"/>
        <v>-2.7507527533926934E-2</v>
      </c>
      <c r="BB40" s="387">
        <f t="shared" si="44"/>
        <v>15.284036471791863</v>
      </c>
      <c r="BC40" s="397">
        <f t="shared" si="28"/>
        <v>-1.3083718633998487E-2</v>
      </c>
      <c r="BD40" s="532">
        <f t="shared" ref="BD40:BD59" si="54">BD39*(1+BD$61)</f>
        <v>1.79</v>
      </c>
      <c r="BE40" s="532">
        <f t="shared" ref="BE40:BE59" si="55">BE39*(1+BE$61)</f>
        <v>2.0499999999999998</v>
      </c>
      <c r="BF40" s="383">
        <f t="shared" si="46"/>
        <v>12.649342859883873</v>
      </c>
      <c r="BG40" s="532">
        <f t="shared" ref="BG40:BG59" si="56">BG39*(1+BG$61)</f>
        <v>5.28</v>
      </c>
      <c r="BH40" s="532">
        <f t="shared" ref="BH40:BH59" si="57">BH39*(1+BH$61)</f>
        <v>0.13</v>
      </c>
      <c r="BI40" s="532">
        <f t="shared" ref="BI40:BI59" si="58">BI39*(1+BI$61)</f>
        <v>0.33</v>
      </c>
      <c r="BJ40" s="532">
        <f t="shared" ref="BJ40:BJ59" si="59">BJ39*(1+BJ$61)</f>
        <v>0.25</v>
      </c>
      <c r="BK40" s="383">
        <f t="shared" si="35"/>
        <v>4.2710751433779359</v>
      </c>
      <c r="BL40" s="383">
        <f t="shared" si="1"/>
        <v>26.750418003261807</v>
      </c>
    </row>
    <row r="41" spans="1:68">
      <c r="A41" s="211">
        <v>2017</v>
      </c>
      <c r="B41" s="520" t="b">
        <f>IF($A41&gt;=Sensitivitätsanalyse!$B$25,TRUE,FALSE)</f>
        <v>1</v>
      </c>
      <c r="C41" s="520" t="b">
        <f>IF($A41&lt;(Sensitivitätsanalyse!$B$25+Sensitivitätsanalyse!$B$30),TRUE,FALSE)</f>
        <v>1</v>
      </c>
      <c r="D41" s="211">
        <f t="shared" si="21"/>
        <v>2017</v>
      </c>
      <c r="E41" s="421">
        <f t="shared" si="29"/>
        <v>1.3861529122781204</v>
      </c>
      <c r="F41" s="421">
        <f t="shared" si="30"/>
        <v>0.26336905333284288</v>
      </c>
      <c r="G41" s="421">
        <f t="shared" si="22"/>
        <v>0.65959999999999996</v>
      </c>
      <c r="H41" s="305">
        <f t="shared" si="31"/>
        <v>0.72655291227812047</v>
      </c>
      <c r="I41" s="421">
        <f t="shared" si="23"/>
        <v>0.92296905333284285</v>
      </c>
      <c r="J41" s="421">
        <f t="shared" si="36"/>
        <v>1.6495219656109632</v>
      </c>
      <c r="K41" s="223">
        <f>K40*(1-(1-T40/T39)*Sensitivitätsanalyse!$B$37)</f>
        <v>0.14170370173843014</v>
      </c>
      <c r="L41" s="425">
        <f t="shared" si="24"/>
        <v>3.5000000000000003E-2</v>
      </c>
      <c r="M41" s="426">
        <v>1.7899999999999999E-2</v>
      </c>
      <c r="N41" s="426">
        <v>2.0500000000000001E-2</v>
      </c>
      <c r="O41" s="223">
        <f t="shared" si="32"/>
        <v>0.21510370173843013</v>
      </c>
      <c r="P41" s="222">
        <f t="shared" si="33"/>
        <v>0.25597340506873184</v>
      </c>
      <c r="Q41" s="221">
        <f t="shared" si="25"/>
        <v>118.10791480489868</v>
      </c>
      <c r="R41" s="294">
        <f>IF($D41&gt;0,(Sensitivitätsanalyse!$B$29*Sensitivitätsanalyse!$B$35*J41/100),0)</f>
        <v>1633.0267459548536</v>
      </c>
      <c r="S41" s="294">
        <f>IF($D41&gt;0,(Sensitivitätsanalyse!$B$29*Sensitivitätsanalyse!$C$35*BL41/10000),0)</f>
        <v>738.38341914340083</v>
      </c>
      <c r="T41" s="446">
        <f t="shared" si="7"/>
        <v>118.10791480489868</v>
      </c>
      <c r="U41" s="446">
        <f t="shared" si="8"/>
        <v>72.768208331909889</v>
      </c>
      <c r="V41" s="446">
        <f t="shared" si="9"/>
        <v>103.12440665717277</v>
      </c>
      <c r="W41" s="446">
        <f t="shared" si="10"/>
        <v>118.10791480489868</v>
      </c>
      <c r="X41" s="446">
        <f t="shared" si="11"/>
        <v>130.17255772904161</v>
      </c>
      <c r="Y41" s="526">
        <f t="shared" si="12"/>
        <v>163.44762127788749</v>
      </c>
      <c r="Z41" s="564">
        <f t="shared" si="37"/>
        <v>0.10714285714285714</v>
      </c>
      <c r="AA41" s="549"/>
      <c r="AB41" s="522">
        <f>AB40*(1+Sensitivitätsanalyse!$B$42)</f>
        <v>5.740836488748192</v>
      </c>
      <c r="AC41" s="224">
        <f>AC40*(1+Sensitivitätsanalyse!$C$42)</f>
        <v>17.119715101630067</v>
      </c>
      <c r="AD41" s="224">
        <f>AD40*(1+'NR Kraftstoffpreisprognosen'!$CB$6)</f>
        <v>28.684452240000002</v>
      </c>
      <c r="AE41" s="225">
        <f>AE40*(1+'NR Kraftstoffpreisprognosen'!$AE$61)</f>
        <v>0.15491933384829662</v>
      </c>
      <c r="AF41" s="540">
        <f>AF40*(1+'NR Kraftstoffpreisprognosen'!$AF$61)</f>
        <v>100</v>
      </c>
      <c r="AG41" s="4">
        <f t="shared" si="47"/>
        <v>356.13622735105497</v>
      </c>
      <c r="AH41" s="4">
        <f t="shared" si="47"/>
        <v>224.17810514162872</v>
      </c>
      <c r="AI41" s="4">
        <f t="shared" si="47"/>
        <v>524.67709853084807</v>
      </c>
      <c r="AJ41" s="6">
        <f t="shared" si="48"/>
        <v>-0.11722509894521438</v>
      </c>
      <c r="AK41" s="6">
        <f t="shared" si="48"/>
        <v>-9.7119548552565771E-2</v>
      </c>
      <c r="AL41" s="6">
        <f t="shared" si="48"/>
        <v>-0.16359730708958298</v>
      </c>
      <c r="AM41" s="394">
        <f t="shared" si="38"/>
        <v>125</v>
      </c>
      <c r="AN41" s="393">
        <v>-0.5</v>
      </c>
      <c r="AO41" s="394">
        <f t="shared" si="39"/>
        <v>125</v>
      </c>
      <c r="AP41" s="393">
        <v>-0.5</v>
      </c>
      <c r="AQ41" s="4">
        <f t="shared" si="45"/>
        <v>22399.00131525</v>
      </c>
      <c r="AR41" s="4">
        <f t="shared" si="40"/>
        <v>34642.445653265364</v>
      </c>
      <c r="AS41" s="6">
        <f t="shared" si="15"/>
        <v>2.1818181818181816E-2</v>
      </c>
      <c r="AT41" s="4">
        <f t="shared" si="49"/>
        <v>368.79706839181506</v>
      </c>
      <c r="AU41" s="392">
        <f t="shared" ref="AU41" si="60">IF($D41&gt;0,AT41,0)</f>
        <v>368.79706839181506</v>
      </c>
      <c r="AV41" s="4">
        <f t="shared" si="51"/>
        <v>248.79565213446503</v>
      </c>
      <c r="AW41" s="392">
        <f t="shared" si="6"/>
        <v>248.79565213446503</v>
      </c>
      <c r="AX41" s="6">
        <f t="shared" si="52"/>
        <v>-1.6269066669555299E-3</v>
      </c>
      <c r="AY41" s="6">
        <f t="shared" si="53"/>
        <v>-2.4116036471454327E-3</v>
      </c>
      <c r="AZ41" s="387">
        <f t="shared" si="43"/>
        <v>5.9032194605994448</v>
      </c>
      <c r="BA41" s="397">
        <f t="shared" si="27"/>
        <v>-2.7507527533926934E-2</v>
      </c>
      <c r="BB41" s="387">
        <f t="shared" si="44"/>
        <v>15.084064439003168</v>
      </c>
      <c r="BC41" s="397">
        <f t="shared" si="28"/>
        <v>-1.3083718633998487E-2</v>
      </c>
      <c r="BD41" s="532">
        <f t="shared" si="54"/>
        <v>1.79</v>
      </c>
      <c r="BE41" s="532">
        <f t="shared" si="55"/>
        <v>2.0499999999999998</v>
      </c>
      <c r="BF41" s="383">
        <f t="shared" si="46"/>
        <v>12.792924735675209</v>
      </c>
      <c r="BG41" s="532">
        <f t="shared" si="56"/>
        <v>5.28</v>
      </c>
      <c r="BH41" s="532">
        <f t="shared" si="57"/>
        <v>0.13</v>
      </c>
      <c r="BI41" s="532">
        <f t="shared" si="58"/>
        <v>0.33</v>
      </c>
      <c r="BJ41" s="532">
        <f t="shared" si="59"/>
        <v>0.25</v>
      </c>
      <c r="BK41" s="383">
        <f t="shared" si="35"/>
        <v>4.2983556997782895</v>
      </c>
      <c r="BL41" s="383">
        <f t="shared" si="1"/>
        <v>26.921280435453497</v>
      </c>
    </row>
    <row r="42" spans="1:68">
      <c r="A42" s="211">
        <v>2018</v>
      </c>
      <c r="B42" s="520" t="b">
        <f>IF($A42&gt;=Sensitivitätsanalyse!$B$25,TRUE,FALSE)</f>
        <v>1</v>
      </c>
      <c r="C42" s="520" t="b">
        <f>IF($A42&lt;(Sensitivitätsanalyse!$B$25+Sensitivitätsanalyse!$B$30),TRUE,FALSE)</f>
        <v>1</v>
      </c>
      <c r="D42" s="211">
        <f t="shared" si="21"/>
        <v>2018</v>
      </c>
      <c r="E42" s="421">
        <f t="shared" si="29"/>
        <v>1.3905886451475193</v>
      </c>
      <c r="F42" s="421">
        <f t="shared" si="30"/>
        <v>0.26421184257802866</v>
      </c>
      <c r="G42" s="421">
        <f t="shared" si="22"/>
        <v>0.65959999999999996</v>
      </c>
      <c r="H42" s="305">
        <f t="shared" si="31"/>
        <v>0.73098864514751938</v>
      </c>
      <c r="I42" s="421">
        <f t="shared" si="23"/>
        <v>0.92381184257802862</v>
      </c>
      <c r="J42" s="421">
        <f t="shared" si="36"/>
        <v>1.654800487725548</v>
      </c>
      <c r="K42" s="223">
        <f>K41*(1-(1-T41/T40)*Sensitivitätsanalyse!$B$37)</f>
        <v>0.14220660344180164</v>
      </c>
      <c r="L42" s="425">
        <f t="shared" si="24"/>
        <v>3.5000000000000003E-2</v>
      </c>
      <c r="M42" s="426">
        <v>1.7899999999999999E-2</v>
      </c>
      <c r="N42" s="426">
        <v>2.0500000000000001E-2</v>
      </c>
      <c r="O42" s="223">
        <f t="shared" si="32"/>
        <v>0.21560660344180163</v>
      </c>
      <c r="P42" s="222">
        <f t="shared" si="33"/>
        <v>0.25657185809574395</v>
      </c>
      <c r="Q42" s="221">
        <f t="shared" si="25"/>
        <v>118.8289843250711</v>
      </c>
      <c r="R42" s="294">
        <f>IF($D42&gt;0,(Sensitivitätsanalyse!$B$29*Sensitivitätsanalyse!$B$35*J42/100),0)</f>
        <v>1638.2524828482926</v>
      </c>
      <c r="S42" s="294">
        <f>IF($D42&gt;0,(Sensitivitätsanalyse!$B$29*Sensitivitätsanalyse!$C$35*BL42/10000),0)</f>
        <v>742.91568229557345</v>
      </c>
      <c r="T42" s="446">
        <f t="shared" si="7"/>
        <v>118.8289843250711</v>
      </c>
      <c r="U42" s="446">
        <f t="shared" si="8"/>
        <v>70.377996403930936</v>
      </c>
      <c r="V42" s="446">
        <f t="shared" si="9"/>
        <v>102.81728445413637</v>
      </c>
      <c r="W42" s="446">
        <f t="shared" si="10"/>
        <v>118.8289843250711</v>
      </c>
      <c r="X42" s="446">
        <f t="shared" si="11"/>
        <v>131.72152188348608</v>
      </c>
      <c r="Y42" s="526">
        <f t="shared" si="12"/>
        <v>167.27997224621129</v>
      </c>
      <c r="Z42" s="564">
        <f t="shared" si="37"/>
        <v>7.1428571428571425E-2</v>
      </c>
      <c r="AA42" s="549"/>
      <c r="AB42" s="522">
        <f>AB41*(1+Sensitivitätsanalyse!$B$42)</f>
        <v>5.5829202709661789</v>
      </c>
      <c r="AC42" s="224">
        <f>AC41*(1+Sensitivitätsanalyse!$C$42)</f>
        <v>16.895725566146126</v>
      </c>
      <c r="AD42" s="224">
        <f>AD41*(1+'NR Kraftstoffpreisprognosen'!$CB$6)</f>
        <v>29.258141284800004</v>
      </c>
      <c r="AE42" s="225">
        <f>AE41*(1+'NR Kraftstoffpreisprognosen'!$AE$61)</f>
        <v>0.16513408126495258</v>
      </c>
      <c r="AF42" s="540">
        <f>AF41*(1+'NR Kraftstoffpreisprognosen'!$AF$61)</f>
        <v>100</v>
      </c>
      <c r="AG42" s="4">
        <f t="shared" si="47"/>
        <v>314.3881228618522</v>
      </c>
      <c r="AH42" s="4">
        <f t="shared" si="47"/>
        <v>202.40602877490412</v>
      </c>
      <c r="AI42" s="4">
        <f t="shared" si="47"/>
        <v>438.84133811962556</v>
      </c>
      <c r="AJ42" s="6">
        <f t="shared" si="48"/>
        <v>-0.11722509894521438</v>
      </c>
      <c r="AK42" s="6">
        <f t="shared" si="48"/>
        <v>-9.7119548552565771E-2</v>
      </c>
      <c r="AL42" s="6">
        <f t="shared" si="48"/>
        <v>-0.16359730708958298</v>
      </c>
      <c r="AM42" s="394">
        <f t="shared" si="38"/>
        <v>62.5</v>
      </c>
      <c r="AN42" s="393">
        <v>-0.5</v>
      </c>
      <c r="AO42" s="394">
        <f t="shared" si="39"/>
        <v>62.5</v>
      </c>
      <c r="AP42" s="393">
        <v>-0.5</v>
      </c>
      <c r="AQ42" s="4">
        <f t="shared" si="45"/>
        <v>22622.991328402499</v>
      </c>
      <c r="AR42" s="4">
        <f t="shared" si="40"/>
        <v>34642.445653265364</v>
      </c>
      <c r="AS42" s="6">
        <f t="shared" si="15"/>
        <v>2.7272727272727271E-2</v>
      </c>
      <c r="AT42" s="4">
        <f t="shared" si="49"/>
        <v>368.19706998249478</v>
      </c>
      <c r="AU42" s="392">
        <f t="shared" ref="AU42" si="61">IF($D42&gt;0,AT42,0)</f>
        <v>368.19706998249478</v>
      </c>
      <c r="AV42" s="4">
        <f t="shared" si="51"/>
        <v>248.19565563238362</v>
      </c>
      <c r="AW42" s="392">
        <f t="shared" si="6"/>
        <v>248.19565563238362</v>
      </c>
      <c r="AX42" s="6">
        <f t="shared" si="52"/>
        <v>-1.6269066669555299E-3</v>
      </c>
      <c r="AY42" s="6">
        <f t="shared" si="53"/>
        <v>-2.4116036471454327E-3</v>
      </c>
      <c r="AZ42" s="387">
        <f t="shared" si="43"/>
        <v>5.740836488748192</v>
      </c>
      <c r="BA42" s="397">
        <f t="shared" si="27"/>
        <v>-2.7507527533926934E-2</v>
      </c>
      <c r="BB42" s="387">
        <f t="shared" si="44"/>
        <v>14.886708784026148</v>
      </c>
      <c r="BC42" s="397">
        <f t="shared" si="28"/>
        <v>-1.3083718633998487E-2</v>
      </c>
      <c r="BD42" s="532">
        <f t="shared" si="54"/>
        <v>1.79</v>
      </c>
      <c r="BE42" s="532">
        <f t="shared" si="55"/>
        <v>2.0499999999999998</v>
      </c>
      <c r="BF42" s="383">
        <f t="shared" si="46"/>
        <v>12.931786261429437</v>
      </c>
      <c r="BG42" s="532">
        <f t="shared" si="56"/>
        <v>5.28</v>
      </c>
      <c r="BH42" s="532">
        <f t="shared" si="57"/>
        <v>0.13</v>
      </c>
      <c r="BI42" s="532">
        <f t="shared" si="58"/>
        <v>0.33</v>
      </c>
      <c r="BJ42" s="532">
        <f t="shared" si="59"/>
        <v>0.25</v>
      </c>
      <c r="BK42" s="383">
        <f t="shared" si="35"/>
        <v>4.3247393896715929</v>
      </c>
      <c r="BL42" s="383">
        <f t="shared" si="1"/>
        <v>27.086525651101027</v>
      </c>
    </row>
    <row r="43" spans="1:68">
      <c r="A43" s="211">
        <v>2019</v>
      </c>
      <c r="B43" s="520" t="b">
        <f>IF($A43&gt;=Sensitivitätsanalyse!$B$25,TRUE,FALSE)</f>
        <v>1</v>
      </c>
      <c r="C43" s="520" t="b">
        <f>IF($A43&lt;(Sensitivitätsanalyse!$B$25+Sensitivitätsanalyse!$B$30),TRUE,FALSE)</f>
        <v>0</v>
      </c>
      <c r="D43" s="211">
        <f t="shared" si="21"/>
        <v>0</v>
      </c>
      <c r="E43" s="421">
        <f t="shared" si="29"/>
        <v>1.3945012388264284</v>
      </c>
      <c r="F43" s="421">
        <f t="shared" si="30"/>
        <v>0.26495523537702143</v>
      </c>
      <c r="G43" s="421">
        <f t="shared" si="22"/>
        <v>0.65959999999999996</v>
      </c>
      <c r="H43" s="305">
        <f t="shared" si="31"/>
        <v>0.73490123882642833</v>
      </c>
      <c r="I43" s="421">
        <f t="shared" si="23"/>
        <v>0.92455523537702144</v>
      </c>
      <c r="J43" s="421">
        <f t="shared" si="36"/>
        <v>1.6594564742034499</v>
      </c>
      <c r="K43" s="223">
        <f>K42*(1-(1-T42/T41)*Sensitivitätsanalyse!$B$37)</f>
        <v>0.14264070156079103</v>
      </c>
      <c r="L43" s="425">
        <f t="shared" si="24"/>
        <v>3.5000000000000003E-2</v>
      </c>
      <c r="M43" s="426">
        <v>1.7899999999999999E-2</v>
      </c>
      <c r="N43" s="426">
        <v>2.0500000000000001E-2</v>
      </c>
      <c r="O43" s="223">
        <f t="shared" si="32"/>
        <v>0.21604070156079103</v>
      </c>
      <c r="P43" s="222">
        <f t="shared" si="33"/>
        <v>0.25708843485734129</v>
      </c>
      <c r="Q43" s="221">
        <f t="shared" si="25"/>
        <v>119.46501271761558</v>
      </c>
      <c r="R43" s="294">
        <f>IF($D43&gt;0,(Sensitivitätsanalyse!$B$29*Sensitivitätsanalyse!$B$35*J43/100),0)</f>
        <v>0</v>
      </c>
      <c r="S43" s="294">
        <f>IF($D43&gt;0,(Sensitivitätsanalyse!$B$29*Sensitivitätsanalyse!$C$35*BL43/10000),0)</f>
        <v>0</v>
      </c>
      <c r="T43" s="446">
        <f t="shared" si="7"/>
        <v>119.46501271761558</v>
      </c>
      <c r="U43" s="446">
        <f t="shared" si="8"/>
        <v>68.269680065681669</v>
      </c>
      <c r="V43" s="446">
        <f t="shared" si="9"/>
        <v>102.54638347212669</v>
      </c>
      <c r="W43" s="446">
        <f t="shared" si="10"/>
        <v>119.46501271761558</v>
      </c>
      <c r="X43" s="446">
        <f t="shared" si="11"/>
        <v>133.08780509710013</v>
      </c>
      <c r="Y43" s="526">
        <f t="shared" si="12"/>
        <v>170.6603453695495</v>
      </c>
      <c r="Z43" s="564">
        <f t="shared" si="37"/>
        <v>3.5714285714285712E-2</v>
      </c>
      <c r="AA43" s="549"/>
      <c r="AB43" s="522">
        <f>AB42*(1+Sensitivitätsanalyse!$B$42)</f>
        <v>5.4293479378928575</v>
      </c>
      <c r="AC43" s="224">
        <f>AC42*(1+Sensitivitätsanalyse!$C$42)</f>
        <v>16.674666646721416</v>
      </c>
      <c r="AD43" s="224">
        <f>AD42*(1+'NR Kraftstoffpreisprognosen'!$CB$6)</f>
        <v>29.843304110496003</v>
      </c>
      <c r="AE43" s="225">
        <f>AE42*(1+'NR Kraftstoffpreisprognosen'!$AE$61)</f>
        <v>0.17602234735867858</v>
      </c>
      <c r="AF43" s="540">
        <f>AF42*(1+'NR Kraftstoffpreisprognosen'!$AF$61)</f>
        <v>100</v>
      </c>
      <c r="AG43" s="4">
        <f t="shared" si="47"/>
        <v>277.53394405217136</v>
      </c>
      <c r="AH43" s="4">
        <f t="shared" si="47"/>
        <v>182.74844663596778</v>
      </c>
      <c r="AI43" s="4">
        <f t="shared" si="47"/>
        <v>367.04807696366566</v>
      </c>
      <c r="AJ43" s="6">
        <f t="shared" si="48"/>
        <v>-0.11722509894521438</v>
      </c>
      <c r="AK43" s="6">
        <f t="shared" si="48"/>
        <v>-9.7119548552565771E-2</v>
      </c>
      <c r="AL43" s="6">
        <f t="shared" si="48"/>
        <v>-0.16359730708958298</v>
      </c>
      <c r="AM43" s="394">
        <f t="shared" si="38"/>
        <v>31.25</v>
      </c>
      <c r="AN43" s="393">
        <v>-0.5</v>
      </c>
      <c r="AO43" s="394">
        <f t="shared" si="39"/>
        <v>31.25</v>
      </c>
      <c r="AP43" s="393">
        <v>-0.5</v>
      </c>
      <c r="AQ43" s="4">
        <f t="shared" si="45"/>
        <v>22849.221241686522</v>
      </c>
      <c r="AR43" s="4">
        <f t="shared" si="40"/>
        <v>34642.445653265364</v>
      </c>
      <c r="AS43" s="6">
        <f t="shared" si="15"/>
        <v>3.2727272727272723E-2</v>
      </c>
      <c r="AT43" s="4">
        <f t="shared" ref="AT43" si="62">(1+AX43)*AT42</f>
        <v>367.59804771458676</v>
      </c>
      <c r="AU43" s="392">
        <f t="shared" si="5"/>
        <v>0</v>
      </c>
      <c r="AV43" s="4">
        <f t="shared" ref="AV43" si="63">(1+AY43)*AV42</f>
        <v>247.5971060840549</v>
      </c>
      <c r="AW43" s="392">
        <f t="shared" si="6"/>
        <v>0</v>
      </c>
      <c r="AX43" s="6">
        <f t="shared" si="52"/>
        <v>-1.6269066669555299E-3</v>
      </c>
      <c r="AY43" s="6">
        <f t="shared" si="53"/>
        <v>-2.4116036471454327E-3</v>
      </c>
      <c r="AZ43" s="387">
        <f t="shared" si="43"/>
        <v>5.5829202709661789</v>
      </c>
      <c r="BA43" s="397">
        <f t="shared" si="27"/>
        <v>-2.7507527533926934E-2</v>
      </c>
      <c r="BB43" s="387">
        <f t="shared" si="44"/>
        <v>14.691935274909676</v>
      </c>
      <c r="BC43" s="397">
        <f t="shared" si="28"/>
        <v>-1.3083718633998487E-2</v>
      </c>
      <c r="BD43" s="532">
        <f t="shared" si="54"/>
        <v>1.79</v>
      </c>
      <c r="BE43" s="532">
        <f t="shared" si="55"/>
        <v>2.0499999999999998</v>
      </c>
      <c r="BF43" s="383">
        <f t="shared" si="46"/>
        <v>13.067288145808845</v>
      </c>
      <c r="BG43" s="532">
        <f t="shared" si="56"/>
        <v>5.28</v>
      </c>
      <c r="BH43" s="532">
        <f t="shared" si="57"/>
        <v>0.13</v>
      </c>
      <c r="BI43" s="532">
        <f t="shared" si="58"/>
        <v>0.33</v>
      </c>
      <c r="BJ43" s="532">
        <f t="shared" si="59"/>
        <v>0.25</v>
      </c>
      <c r="BK43" s="383">
        <f t="shared" si="35"/>
        <v>4.3504847477036801</v>
      </c>
      <c r="BL43" s="383">
        <f t="shared" si="1"/>
        <v>27.247772893512526</v>
      </c>
    </row>
    <row r="44" spans="1:68">
      <c r="A44" s="211">
        <v>2020</v>
      </c>
      <c r="B44" s="520" t="b">
        <f>IF($A44&gt;=Sensitivitätsanalyse!$B$25,TRUE,FALSE)</f>
        <v>1</v>
      </c>
      <c r="C44" s="520" t="b">
        <f>IF($A44&lt;(Sensitivitätsanalyse!$B$25+Sensitivitätsanalyse!$B$30),TRUE,FALSE)</f>
        <v>0</v>
      </c>
      <c r="D44" s="211">
        <f t="shared" si="21"/>
        <v>0</v>
      </c>
      <c r="E44" s="421">
        <f t="shared" si="29"/>
        <v>1.3980011731359161</v>
      </c>
      <c r="F44" s="421">
        <f t="shared" si="30"/>
        <v>0.26562022289582404</v>
      </c>
      <c r="G44" s="421">
        <f t="shared" si="22"/>
        <v>0.65959999999999996</v>
      </c>
      <c r="H44" s="305">
        <f t="shared" si="31"/>
        <v>0.73840117313591602</v>
      </c>
      <c r="I44" s="421">
        <f t="shared" si="23"/>
        <v>0.92522022289582395</v>
      </c>
      <c r="J44" s="421">
        <f t="shared" si="36"/>
        <v>1.6636213960317401</v>
      </c>
      <c r="K44" s="223">
        <f>K43*(1-(1-T43/T42)*Sensitivitätsanalyse!$B$37)</f>
        <v>0.14302244148998597</v>
      </c>
      <c r="L44" s="425">
        <f t="shared" si="24"/>
        <v>3.5000000000000003E-2</v>
      </c>
      <c r="M44" s="426">
        <v>1.7899999999999999E-2</v>
      </c>
      <c r="N44" s="426">
        <v>2.0500000000000001E-2</v>
      </c>
      <c r="O44" s="223">
        <f t="shared" si="32"/>
        <v>0.21642244148998596</v>
      </c>
      <c r="P44" s="222">
        <f t="shared" si="33"/>
        <v>0.25754270537308327</v>
      </c>
      <c r="Q44" s="221">
        <f t="shared" si="25"/>
        <v>120.03395950216785</v>
      </c>
      <c r="R44" s="294">
        <f>IF($D44&gt;0,(Sensitivitätsanalyse!$B$29*Sensitivitätsanalyse!$B$35*J44/100),0)</f>
        <v>0</v>
      </c>
      <c r="S44" s="294">
        <f>IF($D44&gt;0,(Sensitivitätsanalyse!$B$29*Sensitivitätsanalyse!$C$35*BL44/10000),0)</f>
        <v>0</v>
      </c>
      <c r="T44" s="446">
        <f t="shared" si="7"/>
        <v>120.03395950216785</v>
      </c>
      <c r="U44" s="446">
        <f t="shared" si="8"/>
        <v>66.383726835406577</v>
      </c>
      <c r="V44" s="446">
        <f t="shared" si="9"/>
        <v>102.30405428611368</v>
      </c>
      <c r="W44" s="446">
        <f t="shared" si="10"/>
        <v>120.03395950216785</v>
      </c>
      <c r="X44" s="446">
        <f t="shared" si="11"/>
        <v>134.30998707873093</v>
      </c>
      <c r="Y44" s="526">
        <f t="shared" si="12"/>
        <v>173.68419216892912</v>
      </c>
      <c r="Z44" s="563">
        <v>0</v>
      </c>
      <c r="AA44" s="549">
        <v>1000</v>
      </c>
      <c r="AB44" s="522">
        <f>AB43*(1+Sensitivitätsanalyse!$B$42)</f>
        <v>5.28</v>
      </c>
      <c r="AC44" s="224">
        <f>AC43*(1+Sensitivitätsanalyse!$C$42)</f>
        <v>16.456499999999995</v>
      </c>
      <c r="AD44" s="224">
        <f>AD43*(1+'NR Kraftstoffpreisprognosen'!$CB$6)</f>
        <v>30.440170192705924</v>
      </c>
      <c r="AE44" s="225">
        <f>'NR Kraftstoffpreisprognosen'!$CD$5</f>
        <v>0.2</v>
      </c>
      <c r="AF44" s="540">
        <f>AF43*(1+'NR Kraftstoffpreisprognosen'!$AF$61)</f>
        <v>100</v>
      </c>
      <c r="AG44" s="391">
        <v>245</v>
      </c>
      <c r="AH44" s="391">
        <v>165</v>
      </c>
      <c r="AI44" s="391">
        <v>307</v>
      </c>
      <c r="AJ44" s="6">
        <f t="shared" si="48"/>
        <v>-0.11722509894521438</v>
      </c>
      <c r="AK44" s="6">
        <f t="shared" si="48"/>
        <v>-9.7119548552565771E-2</v>
      </c>
      <c r="AL44" s="6">
        <f t="shared" si="48"/>
        <v>-0.16359730708958298</v>
      </c>
      <c r="AM44">
        <v>0</v>
      </c>
      <c r="AO44">
        <v>0</v>
      </c>
      <c r="AQ44" s="4">
        <f t="shared" si="45"/>
        <v>23077.713454103388</v>
      </c>
      <c r="AR44" s="4">
        <f t="shared" si="40"/>
        <v>34642.445653265364</v>
      </c>
      <c r="AS44" s="6">
        <f t="shared" si="15"/>
        <v>3.8181818181818178E-2</v>
      </c>
      <c r="AT44" s="392">
        <v>367</v>
      </c>
      <c r="AU44" s="392">
        <f t="shared" si="5"/>
        <v>0</v>
      </c>
      <c r="AV44" s="392">
        <v>247</v>
      </c>
      <c r="AW44" s="392">
        <f t="shared" si="6"/>
        <v>0</v>
      </c>
      <c r="AX44" s="6">
        <f>(AT$44/AT$39)^(1/($A$44-$A$39))-1</f>
        <v>-1.6269066669555299E-3</v>
      </c>
      <c r="AY44" s="6">
        <f>(AV$44/AV$39)^(1/($A$44-$A$39))-1</f>
        <v>-2.4116036471454327E-3</v>
      </c>
      <c r="AZ44" s="387">
        <f>(1-Sensitivitätsanalyse!B41)*AZ36</f>
        <v>5.28</v>
      </c>
      <c r="BA44" s="397">
        <f t="shared" si="27"/>
        <v>-2.7507527533926934E-2</v>
      </c>
      <c r="BB44" s="387">
        <f>(1-Sensitivitätsanalyse!C41)*BB36</f>
        <v>14.31</v>
      </c>
      <c r="BC44" s="397">
        <f t="shared" si="28"/>
        <v>-1.3083718633998487E-2</v>
      </c>
      <c r="BD44" s="532">
        <f t="shared" si="54"/>
        <v>1.79</v>
      </c>
      <c r="BE44" s="532">
        <f t="shared" si="55"/>
        <v>2.0499999999999998</v>
      </c>
      <c r="BF44" s="383">
        <f t="shared" si="46"/>
        <v>13.200354910469365</v>
      </c>
      <c r="BG44" s="532">
        <f t="shared" si="56"/>
        <v>5.28</v>
      </c>
      <c r="BH44" s="532">
        <f t="shared" si="57"/>
        <v>0.13</v>
      </c>
      <c r="BI44" s="532">
        <f t="shared" si="58"/>
        <v>0.33</v>
      </c>
      <c r="BJ44" s="532">
        <f t="shared" si="59"/>
        <v>0.25</v>
      </c>
      <c r="BK44" s="383">
        <f t="shared" si="35"/>
        <v>4.3757674329891794</v>
      </c>
      <c r="BL44" s="383">
        <f t="shared" si="1"/>
        <v>27.406122343458541</v>
      </c>
    </row>
    <row r="45" spans="1:68">
      <c r="A45" s="226">
        <v>2021</v>
      </c>
      <c r="B45" s="520" t="b">
        <f>IF($A45&gt;=Sensitivitätsanalyse!$B$25,TRUE,FALSE)</f>
        <v>1</v>
      </c>
      <c r="C45" s="520" t="b">
        <f>IF($A45&lt;(Sensitivitätsanalyse!$B$25+Sensitivitätsanalyse!$B$30),TRUE,FALSE)</f>
        <v>0</v>
      </c>
      <c r="D45" s="211">
        <f t="shared" si="21"/>
        <v>0</v>
      </c>
      <c r="E45" s="423">
        <f t="shared" si="29"/>
        <v>1.4011672488356965</v>
      </c>
      <c r="F45" s="423">
        <f t="shared" si="30"/>
        <v>0.26622177727878232</v>
      </c>
      <c r="G45" s="423">
        <f t="shared" si="22"/>
        <v>0.65959999999999996</v>
      </c>
      <c r="H45" s="305">
        <f t="shared" si="31"/>
        <v>0.74156724883569658</v>
      </c>
      <c r="I45" s="423">
        <f t="shared" si="23"/>
        <v>0.92582177727878223</v>
      </c>
      <c r="J45" s="423">
        <f t="shared" si="36"/>
        <v>1.6673890261144788</v>
      </c>
      <c r="K45" s="223">
        <f>K44*(1-(1-T44/T43)*Sensitivitätsanalyse!$B$37)</f>
        <v>0.14336301048317263</v>
      </c>
      <c r="L45" s="425">
        <f t="shared" si="24"/>
        <v>3.5000000000000003E-2</v>
      </c>
      <c r="M45" s="426">
        <v>1.7899999999999999E-2</v>
      </c>
      <c r="N45" s="426">
        <v>2.0500000000000001E-2</v>
      </c>
      <c r="O45" s="223">
        <f t="shared" si="32"/>
        <v>0.21676301048317262</v>
      </c>
      <c r="P45" s="222">
        <f t="shared" si="33"/>
        <v>0.25794798247497541</v>
      </c>
      <c r="Q45" s="221">
        <f t="shared" si="25"/>
        <v>120.54863447311119</v>
      </c>
      <c r="R45" s="294">
        <f>IF($D45&gt;0,(Sensitivitätsanalyse!$B$29*Sensitivitätsanalyse!$B$35*J45/100),0)</f>
        <v>0</v>
      </c>
      <c r="S45" s="294">
        <f>IF($D45&gt;0,(Sensitivitätsanalyse!$B$29*Sensitivitätsanalyse!$C$35*BL45/10000),0)</f>
        <v>0</v>
      </c>
      <c r="T45" s="446">
        <f t="shared" si="7"/>
        <v>120.54863447311119</v>
      </c>
      <c r="U45" s="446">
        <f t="shared" si="8"/>
        <v>64.677674616909172</v>
      </c>
      <c r="V45" s="446">
        <f t="shared" si="9"/>
        <v>102.08484087256375</v>
      </c>
      <c r="W45" s="446">
        <f t="shared" si="10"/>
        <v>120.54863447311119</v>
      </c>
      <c r="X45" s="446">
        <f t="shared" si="11"/>
        <v>135.41558516446111</v>
      </c>
      <c r="Y45" s="526">
        <f t="shared" si="12"/>
        <v>176.41959432931321</v>
      </c>
      <c r="Z45" s="563">
        <v>0</v>
      </c>
      <c r="AA45" s="549"/>
      <c r="AB45" s="522">
        <f>AB44*(1+Sensitivitätsanalyse!$B$42)</f>
        <v>5.1347602546208657</v>
      </c>
      <c r="AC45" s="224">
        <f>AC44*(1+Sensitivitätsanalyse!$C$42)</f>
        <v>16.241187784299598</v>
      </c>
      <c r="AD45" s="224">
        <f>AD44*(1+'NR Kraftstoffpreisprognosen'!$CB$6)</f>
        <v>31.048973596560042</v>
      </c>
      <c r="AE45" s="228">
        <f>AE44*(1+'NR Kraftstoffpreisprognosen'!$AE$61)</f>
        <v>0.21318718221014127</v>
      </c>
      <c r="AF45" s="540">
        <f>AF44*(1+'NR Kraftstoffpreisprognosen'!$AF$61)</f>
        <v>100</v>
      </c>
      <c r="AG45" s="4">
        <f t="shared" ref="AG45:AG53" si="64">(1+AJ45)*AG44</f>
        <v>235.21674531819929</v>
      </c>
      <c r="AH45" s="4">
        <f t="shared" ref="AH45:AH53" si="65">(1+AK45)*AH44</f>
        <v>160.48208240634403</v>
      </c>
      <c r="AI45" s="4">
        <f t="shared" ref="AI45:AI53" si="66">(1+AL45)*AI44</f>
        <v>294.26874946993746</v>
      </c>
      <c r="AJ45" s="6">
        <f t="shared" ref="AJ45:AJ59" si="67">(AG$54/AG$44)^(1/($A$54-$A$44))-1</f>
        <v>-3.9931651762451836E-2</v>
      </c>
      <c r="AK45" s="6">
        <f t="shared" ref="AK45:AK59" si="68">(AH$54/AH$44)^(1/($A$54-$A$44))-1</f>
        <v>-2.7381318749430061E-2</v>
      </c>
      <c r="AL45" s="6">
        <f t="shared" ref="AL45:AL59" si="69">(AI$54/AI$44)^(1/($A$54-$A$44))-1</f>
        <v>-4.1469871433428507E-2</v>
      </c>
      <c r="AQ45" s="4">
        <f t="shared" si="45"/>
        <v>23308.490588644421</v>
      </c>
      <c r="AR45" s="4">
        <f t="shared" si="40"/>
        <v>34642.445653265364</v>
      </c>
      <c r="AS45" s="6">
        <f t="shared" si="15"/>
        <v>4.3636363636363633E-2</v>
      </c>
      <c r="AT45" s="4">
        <f t="shared" ref="AT45:AT47" si="70">(1+AX45)*AT44</f>
        <v>366.19648927801489</v>
      </c>
      <c r="AU45" s="392">
        <f t="shared" ref="AU45" si="71">IF($D45&gt;0,AT45,0)</f>
        <v>0</v>
      </c>
      <c r="AV45" s="4">
        <f t="shared" ref="AV45:AV47" si="72">(1+AY45)*AV44</f>
        <v>246.19476688261526</v>
      </c>
      <c r="AW45" s="392">
        <f t="shared" si="6"/>
        <v>0</v>
      </c>
      <c r="AX45" s="6">
        <f t="shared" ref="AX45:AX48" si="73">(AT$49/AT$44)^(1/($A$49-$A$44))-1</f>
        <v>-2.1894025122209948E-3</v>
      </c>
      <c r="AY45" s="6">
        <f t="shared" ref="AY45:AY48" si="74">(AV$49/AV$44)^(1/($A$49-$A$44))-1</f>
        <v>-3.2600531068208705E-3</v>
      </c>
      <c r="AZ45" s="387">
        <f t="shared" ref="AZ45:AZ59" si="75">AZ44*(1+BA45)</f>
        <v>5.1347602546208657</v>
      </c>
      <c r="BA45" s="397">
        <f t="shared" si="27"/>
        <v>-2.7507527533926934E-2</v>
      </c>
      <c r="BB45" s="387">
        <f t="shared" ref="BB45:BB59" si="76">BB44*(1+BC45)</f>
        <v>14.122771986347482</v>
      </c>
      <c r="BC45" s="397">
        <f t="shared" si="28"/>
        <v>-1.3083718633998487E-2</v>
      </c>
      <c r="BD45" s="532">
        <f t="shared" si="54"/>
        <v>1.79</v>
      </c>
      <c r="BE45" s="532">
        <f t="shared" si="55"/>
        <v>2.0499999999999998</v>
      </c>
      <c r="BF45" s="383">
        <f t="shared" si="46"/>
        <v>13.331643545722972</v>
      </c>
      <c r="BG45" s="532">
        <f t="shared" si="56"/>
        <v>5.28</v>
      </c>
      <c r="BH45" s="532">
        <f t="shared" si="57"/>
        <v>0.13</v>
      </c>
      <c r="BI45" s="532">
        <f t="shared" si="58"/>
        <v>0.33</v>
      </c>
      <c r="BJ45" s="532">
        <f t="shared" si="59"/>
        <v>0.25</v>
      </c>
      <c r="BK45" s="383">
        <f t="shared" si="35"/>
        <v>4.4007122736873647</v>
      </c>
      <c r="BL45" s="383">
        <f t="shared" si="1"/>
        <v>27.562355819410335</v>
      </c>
    </row>
    <row r="46" spans="1:68">
      <c r="A46" s="226">
        <v>2022</v>
      </c>
      <c r="B46" s="520" t="b">
        <f>IF($A46&gt;=Sensitivitätsanalyse!$B$25,TRUE,FALSE)</f>
        <v>1</v>
      </c>
      <c r="C46" s="520" t="b">
        <f>IF($A46&lt;(Sensitivitätsanalyse!$B$25+Sensitivitätsanalyse!$B$30),TRUE,FALSE)</f>
        <v>0</v>
      </c>
      <c r="D46" s="211">
        <f t="shared" si="21"/>
        <v>0</v>
      </c>
      <c r="E46" s="423">
        <f t="shared" si="29"/>
        <v>1.4040576494923411</v>
      </c>
      <c r="F46" s="423">
        <f t="shared" si="30"/>
        <v>0.26677095340354484</v>
      </c>
      <c r="G46" s="423">
        <f t="shared" si="22"/>
        <v>0.65959999999999996</v>
      </c>
      <c r="H46" s="305">
        <f t="shared" si="31"/>
        <v>0.74445764949234106</v>
      </c>
      <c r="I46" s="423">
        <f t="shared" si="23"/>
        <v>0.92637095340354481</v>
      </c>
      <c r="J46" s="423">
        <f t="shared" si="36"/>
        <v>1.6708286028958859</v>
      </c>
      <c r="K46" s="223">
        <f>K45*(1-(1-T45/T44)*Sensitivitätsanalyse!$B$37)</f>
        <v>0.14367036247572873</v>
      </c>
      <c r="L46" s="425">
        <f t="shared" si="24"/>
        <v>3.5000000000000003E-2</v>
      </c>
      <c r="M46" s="426">
        <v>1.7899999999999999E-2</v>
      </c>
      <c r="N46" s="426">
        <v>2.0500000000000001E-2</v>
      </c>
      <c r="O46" s="223">
        <f t="shared" si="32"/>
        <v>0.21707036247572872</v>
      </c>
      <c r="P46" s="222">
        <f t="shared" si="33"/>
        <v>0.25831373134611718</v>
      </c>
      <c r="Q46" s="221">
        <f t="shared" si="25"/>
        <v>121.0184959088552</v>
      </c>
      <c r="R46" s="294">
        <f>IF($D46&gt;0,(Sensitivitätsanalyse!$B$29*Sensitivitätsanalyse!$B$35*J46/100),0)</f>
        <v>0</v>
      </c>
      <c r="S46" s="294">
        <f>IF($D46&gt;0,(Sensitivitätsanalyse!$B$29*Sensitivitätsanalyse!$C$35*BL46/10000),0)</f>
        <v>0</v>
      </c>
      <c r="T46" s="446">
        <f t="shared" si="7"/>
        <v>121.0184959088552</v>
      </c>
      <c r="U46" s="446">
        <f t="shared" si="8"/>
        <v>63.120170968794788</v>
      </c>
      <c r="V46" s="446">
        <f t="shared" si="9"/>
        <v>101.8847147054876</v>
      </c>
      <c r="W46" s="446">
        <f t="shared" si="10"/>
        <v>121.0184959088552</v>
      </c>
      <c r="X46" s="446">
        <f t="shared" si="11"/>
        <v>136.4249171375408</v>
      </c>
      <c r="Y46" s="526">
        <f t="shared" si="12"/>
        <v>178.91682084891562</v>
      </c>
      <c r="Z46" s="563">
        <v>0</v>
      </c>
      <c r="AA46" s="549"/>
      <c r="AB46" s="522">
        <f>AB45*(1+Sensitivitätsanalyse!$B$42)</f>
        <v>4.993515695536769</v>
      </c>
      <c r="AC46" s="224">
        <f>AC45*(1+Sensitivitätsanalyse!$C$42)</f>
        <v>16.028692653047887</v>
      </c>
      <c r="AD46" s="224">
        <f>AD45*(1+'NR Kraftstoffpreisprognosen'!$CB$6)</f>
        <v>31.669953068491242</v>
      </c>
      <c r="AE46" s="228">
        <f>AE45*(1+'NR Kraftstoffpreisprognosen'!$AE$61)</f>
        <v>0.22724387329349985</v>
      </c>
      <c r="AF46" s="540">
        <f>AF45*(1+'NR Kraftstoffpreisprognosen'!$AF$61)</f>
        <v>100</v>
      </c>
      <c r="AG46" s="4">
        <f t="shared" si="64"/>
        <v>225.82415215545564</v>
      </c>
      <c r="AH46" s="4">
        <f t="shared" si="65"/>
        <v>156.08787135440363</v>
      </c>
      <c r="AI46" s="4">
        <f t="shared" si="66"/>
        <v>282.06546226254335</v>
      </c>
      <c r="AJ46" s="6">
        <f t="shared" si="67"/>
        <v>-3.9931651762451836E-2</v>
      </c>
      <c r="AK46" s="6">
        <f t="shared" si="68"/>
        <v>-2.7381318749430061E-2</v>
      </c>
      <c r="AL46" s="6">
        <f t="shared" si="69"/>
        <v>-4.1469871433428507E-2</v>
      </c>
      <c r="AQ46" s="4">
        <f t="shared" si="45"/>
        <v>23541.575494530865</v>
      </c>
      <c r="AR46" s="4">
        <f t="shared" si="40"/>
        <v>34642.445653265364</v>
      </c>
      <c r="AS46" s="6">
        <f t="shared" si="15"/>
        <v>4.9090909090909095E-2</v>
      </c>
      <c r="AT46" s="4">
        <f t="shared" si="70"/>
        <v>365.3947377644231</v>
      </c>
      <c r="AU46" s="392">
        <f t="shared" ref="AU46" si="77">IF($D46&gt;0,AT46,0)</f>
        <v>0</v>
      </c>
      <c r="AV46" s="4">
        <f t="shared" si="72"/>
        <v>245.39215886795654</v>
      </c>
      <c r="AW46" s="392">
        <f t="shared" si="6"/>
        <v>0</v>
      </c>
      <c r="AX46" s="6">
        <f t="shared" si="73"/>
        <v>-2.1894025122209948E-3</v>
      </c>
      <c r="AY46" s="6">
        <f t="shared" si="74"/>
        <v>-3.2600531068208705E-3</v>
      </c>
      <c r="AZ46" s="387">
        <f t="shared" si="75"/>
        <v>4.993515695536769</v>
      </c>
      <c r="BA46" s="397">
        <f t="shared" si="27"/>
        <v>-2.7507527533926934E-2</v>
      </c>
      <c r="BB46" s="387">
        <f t="shared" si="76"/>
        <v>13.937993611345997</v>
      </c>
      <c r="BC46" s="397">
        <f t="shared" si="28"/>
        <v>-1.3083718633998487E-2</v>
      </c>
      <c r="BD46" s="532">
        <f t="shared" si="54"/>
        <v>1.79</v>
      </c>
      <c r="BE46" s="532">
        <f t="shared" si="55"/>
        <v>2.0499999999999998</v>
      </c>
      <c r="BF46" s="383">
        <f t="shared" si="46"/>
        <v>13.461637934592311</v>
      </c>
      <c r="BG46" s="532">
        <f t="shared" si="56"/>
        <v>5.28</v>
      </c>
      <c r="BH46" s="532">
        <f t="shared" si="57"/>
        <v>0.13</v>
      </c>
      <c r="BI46" s="532">
        <f t="shared" si="58"/>
        <v>0.33</v>
      </c>
      <c r="BJ46" s="532">
        <f t="shared" si="59"/>
        <v>0.25</v>
      </c>
      <c r="BK46" s="383">
        <f t="shared" si="35"/>
        <v>4.4254112075725391</v>
      </c>
      <c r="BL46" s="383">
        <f t="shared" si="1"/>
        <v>27.717049142164846</v>
      </c>
    </row>
    <row r="47" spans="1:68">
      <c r="A47" s="226">
        <v>2023</v>
      </c>
      <c r="B47" s="520" t="b">
        <f>IF($A47&gt;=Sensitivitätsanalyse!$B$25,TRUE,FALSE)</f>
        <v>1</v>
      </c>
      <c r="C47" s="520" t="b">
        <f>IF($A47&lt;(Sensitivitätsanalyse!$B$25+Sensitivitätsanalyse!$B$30),TRUE,FALSE)</f>
        <v>0</v>
      </c>
      <c r="D47" s="211">
        <f t="shared" si="21"/>
        <v>0</v>
      </c>
      <c r="E47" s="423">
        <f t="shared" si="29"/>
        <v>1.4067165603477196</v>
      </c>
      <c r="F47" s="423">
        <f t="shared" si="30"/>
        <v>0.26727614646606673</v>
      </c>
      <c r="G47" s="423">
        <f t="shared" si="22"/>
        <v>0.65959999999999996</v>
      </c>
      <c r="H47" s="305">
        <f t="shared" si="31"/>
        <v>0.74711656034771978</v>
      </c>
      <c r="I47" s="423">
        <f t="shared" si="23"/>
        <v>0.92687614646606664</v>
      </c>
      <c r="J47" s="423">
        <f t="shared" si="36"/>
        <v>1.6739927068137863</v>
      </c>
      <c r="K47" s="223">
        <f>K46*(1-(1-T46/T45)*Sensitivitätsanalyse!$B$37)</f>
        <v>0.14395035387953747</v>
      </c>
      <c r="L47" s="425">
        <f t="shared" si="24"/>
        <v>3.5000000000000003E-2</v>
      </c>
      <c r="M47" s="426">
        <v>1.7899999999999999E-2</v>
      </c>
      <c r="N47" s="426">
        <v>2.0500000000000001E-2</v>
      </c>
      <c r="O47" s="223">
        <f t="shared" si="32"/>
        <v>0.21735035387953747</v>
      </c>
      <c r="P47" s="222">
        <f t="shared" si="33"/>
        <v>0.25864692111664955</v>
      </c>
      <c r="Q47" s="221">
        <f t="shared" si="25"/>
        <v>121.45072653029229</v>
      </c>
      <c r="R47" s="294">
        <f>IF($D47&gt;0,(Sensitivitätsanalyse!$B$29*Sensitivitätsanalyse!$B$35*J47/100),0)</f>
        <v>0</v>
      </c>
      <c r="S47" s="294">
        <f>IF($D47&gt;0,(Sensitivitätsanalyse!$B$29*Sensitivitätsanalyse!$C$35*BL47/10000),0)</f>
        <v>0</v>
      </c>
      <c r="T47" s="446">
        <f t="shared" si="7"/>
        <v>121.45072653029229</v>
      </c>
      <c r="U47" s="446">
        <f t="shared" si="8"/>
        <v>61.687406501438488</v>
      </c>
      <c r="V47" s="446">
        <f t="shared" si="9"/>
        <v>101.70061647783847</v>
      </c>
      <c r="W47" s="446">
        <f t="shared" si="10"/>
        <v>121.45072653029229</v>
      </c>
      <c r="X47" s="446">
        <f t="shared" si="11"/>
        <v>137.35341254655381</v>
      </c>
      <c r="Y47" s="526">
        <f t="shared" si="12"/>
        <v>181.21404655914608</v>
      </c>
      <c r="Z47" s="563">
        <v>0</v>
      </c>
      <c r="AA47" s="549"/>
      <c r="AB47" s="522">
        <f>AB46*(1+Sensitivitätsanalyse!$B$42)</f>
        <v>4.8561564250506954</v>
      </c>
      <c r="AC47" s="224">
        <f>AC46*(1+Sensitivitätsanalyse!$C$42)</f>
        <v>15.818977748304571</v>
      </c>
      <c r="AD47" s="224">
        <f>AD46*(1+'NR Kraftstoffpreisprognosen'!$CB$6)</f>
        <v>32.303352129861068</v>
      </c>
      <c r="AE47" s="228">
        <f>AE46*(1+'NR Kraftstoffpreisprognosen'!$AE$61)</f>
        <v>0.24222740510979801</v>
      </c>
      <c r="AF47" s="540">
        <f>AF46*(1+'NR Kraftstoffpreisprognosen'!$AF$61)</f>
        <v>100</v>
      </c>
      <c r="AG47" s="4">
        <f t="shared" si="64"/>
        <v>216.80662075203304</v>
      </c>
      <c r="AH47" s="4">
        <f t="shared" si="65"/>
        <v>151.81397959592869</v>
      </c>
      <c r="AI47" s="4">
        <f t="shared" si="66"/>
        <v>270.3682438067051</v>
      </c>
      <c r="AJ47" s="6">
        <f t="shared" si="67"/>
        <v>-3.9931651762451836E-2</v>
      </c>
      <c r="AK47" s="6">
        <f t="shared" si="68"/>
        <v>-2.7381318749430061E-2</v>
      </c>
      <c r="AL47" s="6">
        <f t="shared" si="69"/>
        <v>-4.1469871433428507E-2</v>
      </c>
      <c r="AQ47" s="4">
        <f t="shared" si="45"/>
        <v>23776.991249476174</v>
      </c>
      <c r="AR47" s="4">
        <f t="shared" si="40"/>
        <v>34642.445653265364</v>
      </c>
      <c r="AS47" s="6">
        <f t="shared" si="15"/>
        <v>5.4545454545454543E-2</v>
      </c>
      <c r="AT47" s="4">
        <f t="shared" si="70"/>
        <v>364.59474160760936</v>
      </c>
      <c r="AU47" s="392">
        <f t="shared" ref="AU47" si="78">IF($D47&gt;0,AT47,0)</f>
        <v>0</v>
      </c>
      <c r="AV47" s="4">
        <f t="shared" si="72"/>
        <v>244.59216739804958</v>
      </c>
      <c r="AW47" s="392">
        <f t="shared" si="6"/>
        <v>0</v>
      </c>
      <c r="AX47" s="6">
        <f t="shared" si="73"/>
        <v>-2.1894025122209948E-3</v>
      </c>
      <c r="AY47" s="6">
        <f t="shared" si="74"/>
        <v>-3.2600531068208705E-3</v>
      </c>
      <c r="AZ47" s="387">
        <f t="shared" si="75"/>
        <v>4.8561564250506954</v>
      </c>
      <c r="BA47" s="397">
        <f t="shared" si="27"/>
        <v>-2.7507527533926934E-2</v>
      </c>
      <c r="BB47" s="387">
        <f t="shared" si="76"/>
        <v>13.755632824612677</v>
      </c>
      <c r="BC47" s="397">
        <f t="shared" si="28"/>
        <v>-1.3083718633998487E-2</v>
      </c>
      <c r="BD47" s="532">
        <f t="shared" si="54"/>
        <v>1.79</v>
      </c>
      <c r="BE47" s="532">
        <f t="shared" si="55"/>
        <v>2.0499999999999998</v>
      </c>
      <c r="BF47" s="383">
        <f t="shared" si="46"/>
        <v>13.590705062639474</v>
      </c>
      <c r="BG47" s="532">
        <f t="shared" si="56"/>
        <v>5.28</v>
      </c>
      <c r="BH47" s="532">
        <f t="shared" si="57"/>
        <v>0.13</v>
      </c>
      <c r="BI47" s="532">
        <f t="shared" si="58"/>
        <v>0.33</v>
      </c>
      <c r="BJ47" s="532">
        <f t="shared" si="59"/>
        <v>0.25</v>
      </c>
      <c r="BK47" s="383">
        <f t="shared" si="35"/>
        <v>4.4499339619015004</v>
      </c>
      <c r="BL47" s="383">
        <f t="shared" si="1"/>
        <v>27.870639024540974</v>
      </c>
    </row>
    <row r="48" spans="1:68">
      <c r="A48" s="226">
        <v>2024</v>
      </c>
      <c r="B48" s="520" t="b">
        <f>IF($A48&gt;=Sensitivitätsanalyse!$B$25,TRUE,FALSE)</f>
        <v>1</v>
      </c>
      <c r="C48" s="520" t="b">
        <f>IF($A48&lt;(Sensitivitätsanalyse!$B$25+Sensitivitätsanalyse!$B$30),TRUE,FALSE)</f>
        <v>0</v>
      </c>
      <c r="D48" s="211">
        <f t="shared" si="21"/>
        <v>0</v>
      </c>
      <c r="E48" s="423">
        <f t="shared" si="29"/>
        <v>1.4091783272888547</v>
      </c>
      <c r="F48" s="423">
        <f t="shared" si="30"/>
        <v>0.26774388218488238</v>
      </c>
      <c r="G48" s="423">
        <f t="shared" si="22"/>
        <v>0.65959999999999996</v>
      </c>
      <c r="H48" s="305">
        <f t="shared" si="31"/>
        <v>0.74957832728885476</v>
      </c>
      <c r="I48" s="423">
        <f t="shared" si="23"/>
        <v>0.92734388218488228</v>
      </c>
      <c r="J48" s="423">
        <f t="shared" si="36"/>
        <v>1.676922209473737</v>
      </c>
      <c r="K48" s="223">
        <f>K47*(1-(1-T47/T46)*Sensitivitätsanalyse!$B$37)</f>
        <v>0.1442074209933128</v>
      </c>
      <c r="L48" s="425">
        <f t="shared" si="24"/>
        <v>3.5000000000000003E-2</v>
      </c>
      <c r="M48" s="426">
        <v>1.7899999999999999E-2</v>
      </c>
      <c r="N48" s="426">
        <v>2.0500000000000001E-2</v>
      </c>
      <c r="O48" s="223">
        <f t="shared" si="32"/>
        <v>0.21760742099331279</v>
      </c>
      <c r="P48" s="222">
        <f t="shared" si="33"/>
        <v>0.25895283098204219</v>
      </c>
      <c r="Q48" s="221">
        <f t="shared" si="25"/>
        <v>121.85090957992239</v>
      </c>
      <c r="R48" s="294">
        <f>IF($D48&gt;0,(Sensitivitätsanalyse!$B$29*Sensitivitätsanalyse!$B$35*J48/100),0)</f>
        <v>0</v>
      </c>
      <c r="S48" s="294">
        <f>IF($D48&gt;0,(Sensitivitätsanalyse!$B$29*Sensitivitätsanalyse!$C$35*BL48/10000),0)</f>
        <v>0</v>
      </c>
      <c r="T48" s="446">
        <f t="shared" si="7"/>
        <v>121.85090957992239</v>
      </c>
      <c r="U48" s="446">
        <f t="shared" si="8"/>
        <v>60.360873799886875</v>
      </c>
      <c r="V48" s="446">
        <f t="shared" si="9"/>
        <v>101.5301681418849</v>
      </c>
      <c r="W48" s="446">
        <f t="shared" si="10"/>
        <v>121.85090957992239</v>
      </c>
      <c r="X48" s="446">
        <f t="shared" si="11"/>
        <v>138.21306502353698</v>
      </c>
      <c r="Y48" s="526">
        <f t="shared" si="12"/>
        <v>183.34094535995791</v>
      </c>
      <c r="Z48" s="563">
        <v>0</v>
      </c>
      <c r="AA48" s="549"/>
      <c r="AB48" s="522">
        <f>AB47*(1+Sensitivitätsanalyse!$B$42)</f>
        <v>4.7225755684795576</v>
      </c>
      <c r="AC48" s="224">
        <f>AC47*(1+Sensitivitätsanalyse!$C$42)</f>
        <v>15.61200669436827</v>
      </c>
      <c r="AD48" s="224">
        <f>AD47*(1+'NR Kraftstoffpreisprognosen'!$CB$6)</f>
        <v>32.949419172458292</v>
      </c>
      <c r="AE48" s="228">
        <f>AE47*(1+'NR Kraftstoffpreisprognosen'!$AE$61)</f>
        <v>0.25819888974716104</v>
      </c>
      <c r="AF48" s="540">
        <f>AF47*(1+'NR Kraftstoffpreisprognosen'!$AF$61)</f>
        <v>100</v>
      </c>
      <c r="AG48" s="4">
        <f t="shared" si="64"/>
        <v>208.1491742723689</v>
      </c>
      <c r="AH48" s="4">
        <f t="shared" si="65"/>
        <v>147.65711262999309</v>
      </c>
      <c r="AI48" s="4">
        <f t="shared" si="66"/>
        <v>259.1561074963592</v>
      </c>
      <c r="AJ48" s="6">
        <f t="shared" si="67"/>
        <v>-3.9931651762451836E-2</v>
      </c>
      <c r="AK48" s="6">
        <f t="shared" si="68"/>
        <v>-2.7381318749430061E-2</v>
      </c>
      <c r="AL48" s="6">
        <f t="shared" si="69"/>
        <v>-4.1469871433428507E-2</v>
      </c>
      <c r="AQ48" s="4">
        <f t="shared" si="45"/>
        <v>24014.761161970935</v>
      </c>
      <c r="AR48" s="4">
        <f t="shared" si="40"/>
        <v>34642.445653265364</v>
      </c>
      <c r="AS48" s="6">
        <f t="shared" si="15"/>
        <v>0.06</v>
      </c>
      <c r="AT48" s="4">
        <f t="shared" ref="AT48" si="79">(1+AX48)*AT47</f>
        <v>363.79649696439111</v>
      </c>
      <c r="AU48" s="392">
        <f t="shared" si="5"/>
        <v>0</v>
      </c>
      <c r="AV48" s="4">
        <f t="shared" ref="AV48" si="80">(1+AY48)*AV47</f>
        <v>243.79478394281952</v>
      </c>
      <c r="AW48" s="392">
        <f t="shared" si="6"/>
        <v>0</v>
      </c>
      <c r="AX48" s="6">
        <f t="shared" si="73"/>
        <v>-2.1894025122209948E-3</v>
      </c>
      <c r="AY48" s="6">
        <f t="shared" si="74"/>
        <v>-3.2600531068208705E-3</v>
      </c>
      <c r="AZ48" s="387">
        <f t="shared" si="75"/>
        <v>4.7225755684795576</v>
      </c>
      <c r="BA48" s="397">
        <f t="shared" si="27"/>
        <v>-2.7507527533926934E-2</v>
      </c>
      <c r="BB48" s="387">
        <f t="shared" si="76"/>
        <v>13.575657995102851</v>
      </c>
      <c r="BC48" s="397">
        <f t="shared" si="28"/>
        <v>-1.3083718633998487E-2</v>
      </c>
      <c r="BD48" s="532">
        <f t="shared" si="54"/>
        <v>1.79</v>
      </c>
      <c r="BE48" s="532">
        <f t="shared" si="55"/>
        <v>2.0499999999999998</v>
      </c>
      <c r="BF48" s="383">
        <f t="shared" si="46"/>
        <v>13.71913017108783</v>
      </c>
      <c r="BG48" s="532">
        <f t="shared" si="56"/>
        <v>5.28</v>
      </c>
      <c r="BH48" s="532">
        <f t="shared" si="57"/>
        <v>0.13</v>
      </c>
      <c r="BI48" s="532">
        <f t="shared" si="58"/>
        <v>0.33</v>
      </c>
      <c r="BJ48" s="532">
        <f t="shared" si="59"/>
        <v>0.25</v>
      </c>
      <c r="BK48" s="383">
        <f t="shared" si="35"/>
        <v>4.4743347325066871</v>
      </c>
      <c r="BL48" s="383">
        <f t="shared" si="1"/>
        <v>28.023464903594515</v>
      </c>
    </row>
    <row r="49" spans="1:70">
      <c r="A49" s="226">
        <v>2025</v>
      </c>
      <c r="B49" s="520" t="b">
        <f>IF($A49&gt;=Sensitivitätsanalyse!$B$25,TRUE,FALSE)</f>
        <v>1</v>
      </c>
      <c r="C49" s="520" t="b">
        <f>IF($A49&lt;(Sensitivitätsanalyse!$B$25+Sensitivitätsanalyse!$B$30),TRUE,FALSE)</f>
        <v>0</v>
      </c>
      <c r="D49" s="211">
        <f t="shared" si="21"/>
        <v>0</v>
      </c>
      <c r="E49" s="423">
        <f t="shared" si="29"/>
        <v>1.4114701774807377</v>
      </c>
      <c r="F49" s="423">
        <f t="shared" si="30"/>
        <v>0.26817933372134017</v>
      </c>
      <c r="G49" s="423">
        <f t="shared" si="22"/>
        <v>0.65959999999999996</v>
      </c>
      <c r="H49" s="305">
        <f t="shared" si="31"/>
        <v>0.75187017748073759</v>
      </c>
      <c r="I49" s="423">
        <f t="shared" si="23"/>
        <v>0.92777933372134014</v>
      </c>
      <c r="J49" s="423">
        <f t="shared" si="36"/>
        <v>1.6796495112020779</v>
      </c>
      <c r="K49" s="223">
        <f>K48*(1-(1-T48/T47)*Sensitivitätsanalyse!$B$37)</f>
        <v>0.14444500444448299</v>
      </c>
      <c r="L49" s="425">
        <f t="shared" si="24"/>
        <v>3.5000000000000003E-2</v>
      </c>
      <c r="M49" s="426">
        <v>1.7899999999999999E-2</v>
      </c>
      <c r="N49" s="426">
        <v>2.0500000000000001E-2</v>
      </c>
      <c r="O49" s="223">
        <f t="shared" si="32"/>
        <v>0.21784500444448299</v>
      </c>
      <c r="P49" s="222">
        <f t="shared" si="33"/>
        <v>0.25923555528893472</v>
      </c>
      <c r="Q49" s="221">
        <f t="shared" si="25"/>
        <v>122.22347108595193</v>
      </c>
      <c r="R49" s="294">
        <f>IF($D49&gt;0,(Sensitivitätsanalyse!$B$29*Sensitivitätsanalyse!$B$35*J49/100),0)</f>
        <v>0</v>
      </c>
      <c r="S49" s="294">
        <f>IF($D49&gt;0,(Sensitivitätsanalyse!$B$29*Sensitivitätsanalyse!$C$35*BL49/10000),0)</f>
        <v>0</v>
      </c>
      <c r="T49" s="446">
        <f t="shared" si="7"/>
        <v>122.22347108595193</v>
      </c>
      <c r="U49" s="446">
        <f t="shared" si="8"/>
        <v>59.125901400270436</v>
      </c>
      <c r="V49" s="446">
        <f t="shared" si="9"/>
        <v>101.37148453746491</v>
      </c>
      <c r="W49" s="446">
        <f t="shared" si="10"/>
        <v>122.22347108595193</v>
      </c>
      <c r="X49" s="446">
        <f t="shared" si="11"/>
        <v>139.01338233278562</v>
      </c>
      <c r="Y49" s="526">
        <f t="shared" si="12"/>
        <v>185.32104077163342</v>
      </c>
      <c r="Z49" s="563">
        <v>0</v>
      </c>
      <c r="AA49" s="549"/>
      <c r="AB49" s="522">
        <f>AB48*(1+Sensitivitätsanalyse!$B$42)</f>
        <v>4.5926691909985555</v>
      </c>
      <c r="AC49" s="224">
        <f>AC48*(1+Sensitivitätsanalyse!$C$42)</f>
        <v>15.407743591467055</v>
      </c>
      <c r="AD49" s="224">
        <f>AD48*(1+'NR Kraftstoffpreisprognosen'!$CB$6)</f>
        <v>33.608407555907455</v>
      </c>
      <c r="AE49" s="228">
        <f>AE48*(1+'NR Kraftstoffpreisprognosen'!$AE$61)</f>
        <v>0.27522346877492099</v>
      </c>
      <c r="AF49" s="540">
        <f>AF48*(1+'NR Kraftstoffpreisprognosen'!$AF$61)</f>
        <v>100</v>
      </c>
      <c r="AG49" s="4">
        <f t="shared" si="64"/>
        <v>199.83743393068275</v>
      </c>
      <c r="AH49" s="4">
        <f t="shared" si="65"/>
        <v>143.61406616345076</v>
      </c>
      <c r="AI49" s="4">
        <f t="shared" si="66"/>
        <v>248.40893703729739</v>
      </c>
      <c r="AJ49" s="6">
        <f t="shared" si="67"/>
        <v>-3.9931651762451836E-2</v>
      </c>
      <c r="AK49" s="6">
        <f t="shared" si="68"/>
        <v>-2.7381318749430061E-2</v>
      </c>
      <c r="AL49" s="6">
        <f t="shared" si="69"/>
        <v>-4.1469871433428507E-2</v>
      </c>
      <c r="AQ49" s="4">
        <f t="shared" si="45"/>
        <v>24254.908773590643</v>
      </c>
      <c r="AR49" s="4">
        <f t="shared" si="40"/>
        <v>34642.445653265364</v>
      </c>
      <c r="AS49" s="6">
        <f t="shared" si="15"/>
        <v>6.5454545454545446E-2</v>
      </c>
      <c r="AT49" s="392">
        <v>363</v>
      </c>
      <c r="AU49" s="392">
        <f t="shared" si="5"/>
        <v>0</v>
      </c>
      <c r="AV49" s="392">
        <v>243</v>
      </c>
      <c r="AW49" s="392">
        <f t="shared" si="6"/>
        <v>0</v>
      </c>
      <c r="AX49" s="6">
        <f>(AT$49/AT$44)^(1/($A$49-$A$44))-1</f>
        <v>-2.1894025122209948E-3</v>
      </c>
      <c r="AY49" s="6">
        <f>(AV$49/AV$44)^(1/($A$49-$A$44))-1</f>
        <v>-3.2600531068208705E-3</v>
      </c>
      <c r="AZ49" s="387">
        <f t="shared" si="75"/>
        <v>4.5926691909985555</v>
      </c>
      <c r="BA49" s="397">
        <f t="shared" si="27"/>
        <v>-2.7507527533926934E-2</v>
      </c>
      <c r="BB49" s="387">
        <f t="shared" si="76"/>
        <v>13.398037905623534</v>
      </c>
      <c r="BC49" s="397">
        <f t="shared" si="28"/>
        <v>-1.3083718633998487E-2</v>
      </c>
      <c r="BD49" s="532">
        <f t="shared" si="54"/>
        <v>1.79</v>
      </c>
      <c r="BE49" s="532">
        <f t="shared" si="55"/>
        <v>2.0499999999999998</v>
      </c>
      <c r="BF49" s="383">
        <f t="shared" si="46"/>
        <v>13.84713965161953</v>
      </c>
      <c r="BG49" s="532">
        <f t="shared" si="56"/>
        <v>5.28</v>
      </c>
      <c r="BH49" s="532">
        <f t="shared" si="57"/>
        <v>0.13</v>
      </c>
      <c r="BI49" s="532">
        <f t="shared" si="58"/>
        <v>0.33</v>
      </c>
      <c r="BJ49" s="532">
        <f t="shared" si="59"/>
        <v>0.25</v>
      </c>
      <c r="BK49" s="383">
        <f t="shared" si="35"/>
        <v>4.4986565338077105</v>
      </c>
      <c r="BL49" s="383">
        <f t="shared" si="1"/>
        <v>28.175796185427242</v>
      </c>
    </row>
    <row r="50" spans="1:70">
      <c r="A50" s="226">
        <v>2026</v>
      </c>
      <c r="B50" s="520" t="b">
        <f>IF($A50&gt;=Sensitivitätsanalyse!$B$25,TRUE,FALSE)</f>
        <v>1</v>
      </c>
      <c r="C50" s="520" t="b">
        <f>IF($A50&lt;(Sensitivitätsanalyse!$B$25+Sensitivitätsanalyse!$B$30),TRUE,FALSE)</f>
        <v>0</v>
      </c>
      <c r="D50" s="211">
        <f t="shared" si="21"/>
        <v>0</v>
      </c>
      <c r="E50" s="423">
        <f t="shared" si="29"/>
        <v>1.4136140601582539</v>
      </c>
      <c r="F50" s="423">
        <f t="shared" si="30"/>
        <v>0.26858667143006826</v>
      </c>
      <c r="G50" s="423">
        <f t="shared" si="22"/>
        <v>0.65959999999999996</v>
      </c>
      <c r="H50" s="305">
        <f t="shared" si="31"/>
        <v>0.75401406015825378</v>
      </c>
      <c r="I50" s="423">
        <f t="shared" si="23"/>
        <v>0.92818667143006817</v>
      </c>
      <c r="J50" s="423">
        <f t="shared" si="36"/>
        <v>1.6822007315883221</v>
      </c>
      <c r="K50" s="223">
        <f>K49*(1-(1-T49/T48)*Sensitivitätsanalyse!$B$37)</f>
        <v>0.14466582613789425</v>
      </c>
      <c r="L50" s="425">
        <f t="shared" si="24"/>
        <v>3.5000000000000003E-2</v>
      </c>
      <c r="M50" s="426">
        <v>1.7899999999999999E-2</v>
      </c>
      <c r="N50" s="426">
        <v>2.0500000000000001E-2</v>
      </c>
      <c r="O50" s="223">
        <f t="shared" si="32"/>
        <v>0.21806582613789424</v>
      </c>
      <c r="P50" s="222">
        <f t="shared" si="33"/>
        <v>0.25949833310409415</v>
      </c>
      <c r="Q50" s="221">
        <f t="shared" si="25"/>
        <v>122.57197910009481</v>
      </c>
      <c r="R50" s="294">
        <f>IF($D50&gt;0,(Sensitivitätsanalyse!$B$29*Sensitivitätsanalyse!$B$35*J50/100),0)</f>
        <v>0</v>
      </c>
      <c r="S50" s="294">
        <f>IF($D50&gt;0,(Sensitivitätsanalyse!$B$29*Sensitivitätsanalyse!$C$35*BL50/10000),0)</f>
        <v>0</v>
      </c>
      <c r="T50" s="446">
        <f t="shared" si="7"/>
        <v>122.57197910009481</v>
      </c>
      <c r="U50" s="446">
        <f t="shared" si="8"/>
        <v>57.970661871907915</v>
      </c>
      <c r="V50" s="446">
        <f t="shared" si="9"/>
        <v>101.2230459388485</v>
      </c>
      <c r="W50" s="446">
        <f t="shared" si="10"/>
        <v>122.57197910009481</v>
      </c>
      <c r="X50" s="446">
        <f t="shared" si="11"/>
        <v>139.76202917798145</v>
      </c>
      <c r="Y50" s="526">
        <f t="shared" si="12"/>
        <v>187.17329632828171</v>
      </c>
      <c r="Z50" s="563">
        <v>0</v>
      </c>
      <c r="AA50" s="549"/>
      <c r="AB50" s="522">
        <f>AB49*(1+Sensitivitätsanalyse!$B$42)</f>
        <v>4.4663362167729446</v>
      </c>
      <c r="AC50" s="224">
        <f>AC49*(1+Sensitivitätsanalyse!$C$42)</f>
        <v>15.206153009531507</v>
      </c>
      <c r="AD50" s="224">
        <f>AD49*(1+'NR Kraftstoffpreisprognosen'!$CB$6)</f>
        <v>34.280575707025605</v>
      </c>
      <c r="AE50" s="228">
        <f>AE49*(1+'NR Kraftstoffpreisprognosen'!$AE$61)</f>
        <v>0.293370578931131</v>
      </c>
      <c r="AF50" s="540">
        <f>AF49*(1+'NR Kraftstoffpreisprognosen'!$AF$61)</f>
        <v>100</v>
      </c>
      <c r="AG50" s="4">
        <f t="shared" si="64"/>
        <v>191.85759510986074</v>
      </c>
      <c r="AH50" s="4">
        <f t="shared" si="65"/>
        <v>139.68172364092757</v>
      </c>
      <c r="AI50" s="4">
        <f t="shared" si="66"/>
        <v>238.10745035544602</v>
      </c>
      <c r="AJ50" s="6">
        <f t="shared" si="67"/>
        <v>-3.9931651762451836E-2</v>
      </c>
      <c r="AK50" s="6">
        <f t="shared" si="68"/>
        <v>-2.7381318749430061E-2</v>
      </c>
      <c r="AL50" s="6">
        <f t="shared" si="69"/>
        <v>-4.1469871433428507E-2</v>
      </c>
      <c r="AQ50" s="4">
        <f t="shared" si="45"/>
        <v>24497.457861326551</v>
      </c>
      <c r="AR50" s="4">
        <f t="shared" si="40"/>
        <v>34642.445653265364</v>
      </c>
      <c r="AS50" s="6">
        <f t="shared" si="15"/>
        <v>7.0909090909090908E-2</v>
      </c>
      <c r="AT50" s="4">
        <f t="shared" ref="AT50:AT52" si="81">(1+AX50)*AT49</f>
        <v>362.39800663627312</v>
      </c>
      <c r="AU50" s="392">
        <f t="shared" ref="AU50" si="82">IF($D50&gt;0,AT50,0)</f>
        <v>0</v>
      </c>
      <c r="AV50" s="4">
        <f t="shared" ref="AV50:AV52" si="83">(1+AY50)*AV49</f>
        <v>242.39701489769286</v>
      </c>
      <c r="AW50" s="392">
        <f t="shared" si="6"/>
        <v>0</v>
      </c>
      <c r="AX50" s="6">
        <f>(AT$54/AT$49)^(1/($A$54-$A$49))-1</f>
        <v>-1.658383922112594E-3</v>
      </c>
      <c r="AY50" s="6">
        <f>(AV$54/AV$49)^(1/($A$54-$A$49))-1</f>
        <v>-2.4814201741034658E-3</v>
      </c>
      <c r="AZ50" s="387">
        <f t="shared" si="75"/>
        <v>4.4663362167729446</v>
      </c>
      <c r="BA50" s="397">
        <f t="shared" si="27"/>
        <v>-2.7507527533926934E-2</v>
      </c>
      <c r="BB50" s="387">
        <f t="shared" si="76"/>
        <v>13.222741747418709</v>
      </c>
      <c r="BC50" s="397">
        <f t="shared" si="28"/>
        <v>-1.3083718633998487E-2</v>
      </c>
      <c r="BD50" s="532">
        <f t="shared" si="54"/>
        <v>1.79</v>
      </c>
      <c r="BE50" s="532">
        <f t="shared" si="55"/>
        <v>2.0499999999999998</v>
      </c>
      <c r="BF50" s="383">
        <f t="shared" si="46"/>
        <v>13.974916473099563</v>
      </c>
      <c r="BG50" s="532">
        <f t="shared" si="56"/>
        <v>5.28</v>
      </c>
      <c r="BH50" s="532">
        <f t="shared" si="57"/>
        <v>0.13</v>
      </c>
      <c r="BI50" s="532">
        <f t="shared" si="58"/>
        <v>0.33</v>
      </c>
      <c r="BJ50" s="532">
        <f t="shared" si="59"/>
        <v>0.25</v>
      </c>
      <c r="BK50" s="383">
        <f t="shared" si="35"/>
        <v>4.5229341298889167</v>
      </c>
      <c r="BL50" s="383">
        <f t="shared" si="1"/>
        <v>28.32785060298848</v>
      </c>
    </row>
    <row r="51" spans="1:70">
      <c r="A51" s="226">
        <v>2027</v>
      </c>
      <c r="B51" s="520" t="b">
        <f>IF($A51&gt;=Sensitivitätsanalyse!$B$25,TRUE,FALSE)</f>
        <v>1</v>
      </c>
      <c r="C51" s="520" t="b">
        <f>IF($A51&lt;(Sensitivitätsanalyse!$B$25+Sensitivitätsanalyse!$B$30),TRUE,FALSE)</f>
        <v>0</v>
      </c>
      <c r="D51" s="211">
        <f t="shared" si="21"/>
        <v>0</v>
      </c>
      <c r="E51" s="423">
        <f t="shared" si="29"/>
        <v>1.4156279283760609</v>
      </c>
      <c r="F51" s="423">
        <f t="shared" si="30"/>
        <v>0.26896930639145156</v>
      </c>
      <c r="G51" s="423">
        <f t="shared" si="22"/>
        <v>0.65959999999999996</v>
      </c>
      <c r="H51" s="305">
        <f t="shared" si="31"/>
        <v>0.75602792837606092</v>
      </c>
      <c r="I51" s="423">
        <f t="shared" si="23"/>
        <v>0.92856930639145152</v>
      </c>
      <c r="J51" s="423">
        <f t="shared" si="36"/>
        <v>1.6845972347675124</v>
      </c>
      <c r="K51" s="223">
        <f>K50*(1-(1-T50/T49)*Sensitivitätsanalyse!$B$37)</f>
        <v>0.14487207621136092</v>
      </c>
      <c r="L51" s="425">
        <f t="shared" si="24"/>
        <v>3.5000000000000003E-2</v>
      </c>
      <c r="M51" s="426">
        <v>1.7899999999999999E-2</v>
      </c>
      <c r="N51" s="426">
        <v>2.0500000000000001E-2</v>
      </c>
      <c r="O51" s="223">
        <f t="shared" si="32"/>
        <v>0.21827207621136091</v>
      </c>
      <c r="P51" s="222">
        <f t="shared" si="33"/>
        <v>0.25974377069151949</v>
      </c>
      <c r="Q51" s="221">
        <f t="shared" si="25"/>
        <v>122.89935205790357</v>
      </c>
      <c r="R51" s="294">
        <f>IF($D51&gt;0,(Sensitivitätsanalyse!$B$29*Sensitivitätsanalyse!$B$35*J51/100),0)</f>
        <v>0</v>
      </c>
      <c r="S51" s="294">
        <f>IF($D51&gt;0,(Sensitivitätsanalyse!$B$29*Sensitivitätsanalyse!$C$35*BL51/10000),0)</f>
        <v>0</v>
      </c>
      <c r="T51" s="446">
        <f t="shared" si="7"/>
        <v>122.89935205790357</v>
      </c>
      <c r="U51" s="446">
        <f t="shared" si="8"/>
        <v>56.885481141393726</v>
      </c>
      <c r="V51" s="446">
        <f t="shared" si="9"/>
        <v>101.0836093086707</v>
      </c>
      <c r="W51" s="446">
        <f t="shared" si="10"/>
        <v>122.89935205790357</v>
      </c>
      <c r="X51" s="446">
        <f t="shared" si="11"/>
        <v>140.46527479105211</v>
      </c>
      <c r="Y51" s="526">
        <f t="shared" si="12"/>
        <v>188.9132229744134</v>
      </c>
      <c r="Z51" s="563">
        <v>0</v>
      </c>
      <c r="AA51" s="549"/>
      <c r="AB51" s="522">
        <f>AB50*(1+Sensitivitätsanalyse!$B$42)</f>
        <v>4.343478350314288</v>
      </c>
      <c r="AC51" s="224">
        <f>AC50*(1+Sensitivitätsanalyse!$C$42)</f>
        <v>15.007199982049267</v>
      </c>
      <c r="AD51" s="224">
        <f>AD50*(1+'NR Kraftstoffpreisprognosen'!$CB$6)</f>
        <v>34.966187221166116</v>
      </c>
      <c r="AE51" s="228">
        <f>AE50*(1+'NR Kraftstoffpreisprognosen'!$AE$61)</f>
        <v>0.31271423532842824</v>
      </c>
      <c r="AF51" s="540">
        <f>AF50*(1+'NR Kraftstoffpreisprognosen'!$AF$61)</f>
        <v>100</v>
      </c>
      <c r="AG51" s="4">
        <f t="shared" si="64"/>
        <v>184.1964044339523</v>
      </c>
      <c r="AH51" s="4">
        <f t="shared" si="65"/>
        <v>135.85705384244554</v>
      </c>
      <c r="AI51" s="4">
        <f t="shared" si="66"/>
        <v>228.23316500186422</v>
      </c>
      <c r="AJ51" s="6">
        <f t="shared" si="67"/>
        <v>-3.9931651762451836E-2</v>
      </c>
      <c r="AK51" s="6">
        <f t="shared" si="68"/>
        <v>-2.7381318749430061E-2</v>
      </c>
      <c r="AL51" s="6">
        <f t="shared" si="69"/>
        <v>-4.1469871433428507E-2</v>
      </c>
      <c r="AQ51" s="4">
        <f t="shared" si="45"/>
        <v>24742.432439939817</v>
      </c>
      <c r="AR51" s="4">
        <f t="shared" si="40"/>
        <v>34642.445653265364</v>
      </c>
      <c r="AS51" s="6">
        <f t="shared" si="15"/>
        <v>7.6363636363636356E-2</v>
      </c>
      <c r="AT51" s="4">
        <f t="shared" si="81"/>
        <v>361.79701160866188</v>
      </c>
      <c r="AU51" s="392">
        <f t="shared" ref="AU51" si="84">IF($D51&gt;0,AT51,0)</f>
        <v>0</v>
      </c>
      <c r="AV51" s="4">
        <f t="shared" si="83"/>
        <v>241.79552605478327</v>
      </c>
      <c r="AW51" s="392">
        <f t="shared" si="6"/>
        <v>0</v>
      </c>
      <c r="AX51" s="6">
        <f t="shared" ref="AX51:AX59" si="85">(AT$54/AT$49)^(1/($A$54-$A$49))-1</f>
        <v>-1.658383922112594E-3</v>
      </c>
      <c r="AY51" s="6">
        <f t="shared" ref="AY51:AY59" si="86">(AV$54/AV$49)^(1/($A$54-$A$49))-1</f>
        <v>-2.4814201741034658E-3</v>
      </c>
      <c r="AZ51" s="387">
        <f t="shared" si="75"/>
        <v>4.343478350314288</v>
      </c>
      <c r="BA51" s="397">
        <f t="shared" si="27"/>
        <v>-2.7507527533926934E-2</v>
      </c>
      <c r="BB51" s="387">
        <f t="shared" si="76"/>
        <v>13.049739114825458</v>
      </c>
      <c r="BC51" s="397">
        <f t="shared" si="28"/>
        <v>-1.3083718633998487E-2</v>
      </c>
      <c r="BD51" s="532">
        <f t="shared" si="54"/>
        <v>1.79</v>
      </c>
      <c r="BE51" s="532">
        <f t="shared" si="55"/>
        <v>2.0499999999999998</v>
      </c>
      <c r="BF51" s="383">
        <f t="shared" si="46"/>
        <v>14.102610881208957</v>
      </c>
      <c r="BG51" s="532">
        <f t="shared" si="56"/>
        <v>5.28</v>
      </c>
      <c r="BH51" s="532">
        <f t="shared" si="57"/>
        <v>0.13</v>
      </c>
      <c r="BI51" s="532">
        <f t="shared" si="58"/>
        <v>0.33</v>
      </c>
      <c r="BJ51" s="532">
        <f t="shared" si="59"/>
        <v>0.25</v>
      </c>
      <c r="BK51" s="383">
        <f t="shared" si="35"/>
        <v>4.5471960674297014</v>
      </c>
      <c r="BL51" s="383">
        <f t="shared" si="1"/>
        <v>28.479806948638657</v>
      </c>
    </row>
    <row r="52" spans="1:70">
      <c r="A52" s="226">
        <v>2028</v>
      </c>
      <c r="B52" s="520" t="b">
        <f>IF($A52&gt;=Sensitivitätsanalyse!$B$25,TRUE,FALSE)</f>
        <v>1</v>
      </c>
      <c r="C52" s="520" t="b">
        <f>IF($A52&lt;(Sensitivitätsanalyse!$B$25+Sensitivitätsanalyse!$B$30),TRUE,FALSE)</f>
        <v>0</v>
      </c>
      <c r="D52" s="211">
        <f t="shared" si="21"/>
        <v>0</v>
      </c>
      <c r="E52" s="423">
        <f t="shared" si="29"/>
        <v>1.4175266538371627</v>
      </c>
      <c r="F52" s="423">
        <f t="shared" si="30"/>
        <v>0.26933006422906092</v>
      </c>
      <c r="G52" s="423">
        <f t="shared" si="22"/>
        <v>0.65959999999999996</v>
      </c>
      <c r="H52" s="305">
        <f t="shared" si="31"/>
        <v>0.75792665383716262</v>
      </c>
      <c r="I52" s="423">
        <f t="shared" si="23"/>
        <v>0.92893006422906088</v>
      </c>
      <c r="J52" s="423">
        <f t="shared" si="36"/>
        <v>1.6868567180662235</v>
      </c>
      <c r="K52" s="223">
        <f>K51*(1-(1-T51/T50)*Sensitivitätsanalyse!$B$37)</f>
        <v>0.14506554294185436</v>
      </c>
      <c r="L52" s="425">
        <f t="shared" si="24"/>
        <v>3.5000000000000003E-2</v>
      </c>
      <c r="M52" s="426">
        <v>1.7899999999999999E-2</v>
      </c>
      <c r="N52" s="426">
        <v>2.0500000000000001E-2</v>
      </c>
      <c r="O52" s="223">
        <f t="shared" si="32"/>
        <v>0.21846554294185436</v>
      </c>
      <c r="P52" s="222">
        <f t="shared" si="33"/>
        <v>0.25997399610080668</v>
      </c>
      <c r="Q52" s="221">
        <f t="shared" si="25"/>
        <v>123.20800749263928</v>
      </c>
      <c r="R52" s="294">
        <f>IF($D52&gt;0,(Sensitivitätsanalyse!$B$29*Sensitivitätsanalyse!$B$35*J52/100),0)</f>
        <v>0</v>
      </c>
      <c r="S52" s="294">
        <f>IF($D52&gt;0,(Sensitivitätsanalyse!$B$29*Sensitivitätsanalyse!$C$35*BL52/10000),0)</f>
        <v>0</v>
      </c>
      <c r="T52" s="446">
        <f t="shared" si="7"/>
        <v>123.20800749263928</v>
      </c>
      <c r="U52" s="446">
        <f t="shared" si="8"/>
        <v>55.862345533658655</v>
      </c>
      <c r="V52" s="446">
        <f t="shared" si="9"/>
        <v>100.95214495683882</v>
      </c>
      <c r="W52" s="446">
        <f t="shared" si="10"/>
        <v>123.20800749263928</v>
      </c>
      <c r="X52" s="446">
        <f t="shared" si="11"/>
        <v>141.1283123915955</v>
      </c>
      <c r="Y52" s="526">
        <f t="shared" si="12"/>
        <v>190.5536694516199</v>
      </c>
      <c r="Z52" s="563">
        <v>0</v>
      </c>
      <c r="AA52" s="549"/>
      <c r="AB52" s="522">
        <f>AB51*(1+Sensitivitätsanalyse!$B$42)</f>
        <v>4.224000000000002</v>
      </c>
      <c r="AC52" s="224">
        <f>AC51*(1+Sensitivitätsanalyse!$C$42)</f>
        <v>14.810849999999988</v>
      </c>
      <c r="AD52" s="224">
        <f>AD51*(1+'NR Kraftstoffpreisprognosen'!$CB$6)</f>
        <v>35.665510965589441</v>
      </c>
      <c r="AE52" s="228">
        <f>AE51*(1+'NR Kraftstoffpreisprognosen'!$AE$61)</f>
        <v>0.33333333333333309</v>
      </c>
      <c r="AF52" s="540">
        <f>AF51*(1+'NR Kraftstoffpreisprognosen'!$AF$61)</f>
        <v>100</v>
      </c>
      <c r="AG52" s="4">
        <f t="shared" si="64"/>
        <v>176.84113775619997</v>
      </c>
      <c r="AH52" s="4">
        <f t="shared" si="65"/>
        <v>132.13710854682705</v>
      </c>
      <c r="AI52" s="4">
        <f t="shared" si="66"/>
        <v>218.76836499239243</v>
      </c>
      <c r="AJ52" s="6">
        <f t="shared" si="67"/>
        <v>-3.9931651762451836E-2</v>
      </c>
      <c r="AK52" s="6">
        <f t="shared" si="68"/>
        <v>-2.7381318749430061E-2</v>
      </c>
      <c r="AL52" s="6">
        <f t="shared" si="69"/>
        <v>-4.1469871433428507E-2</v>
      </c>
      <c r="AQ52" s="4">
        <f t="shared" si="45"/>
        <v>24989.856764339216</v>
      </c>
      <c r="AR52" s="4">
        <f t="shared" si="40"/>
        <v>34642.445653265364</v>
      </c>
      <c r="AS52" s="6">
        <f t="shared" si="15"/>
        <v>8.1818181818181804E-2</v>
      </c>
      <c r="AT52" s="4">
        <f t="shared" si="81"/>
        <v>361.19701326154171</v>
      </c>
      <c r="AU52" s="392">
        <f t="shared" ref="AU52" si="87">IF($D52&gt;0,AT52,0)</f>
        <v>0</v>
      </c>
      <c r="AV52" s="4">
        <f t="shared" si="83"/>
        <v>241.19552975842296</v>
      </c>
      <c r="AW52" s="392">
        <f t="shared" si="6"/>
        <v>0</v>
      </c>
      <c r="AX52" s="6">
        <f t="shared" si="85"/>
        <v>-1.658383922112594E-3</v>
      </c>
      <c r="AY52" s="6">
        <f t="shared" si="86"/>
        <v>-2.4814201741034658E-3</v>
      </c>
      <c r="AZ52" s="387">
        <f t="shared" si="75"/>
        <v>4.224000000000002</v>
      </c>
      <c r="BA52" s="397">
        <f t="shared" si="27"/>
        <v>-2.7507527533926934E-2</v>
      </c>
      <c r="BB52" s="387">
        <f t="shared" si="76"/>
        <v>12.878999999999998</v>
      </c>
      <c r="BC52" s="397">
        <f t="shared" si="28"/>
        <v>-1.3083718633998487E-2</v>
      </c>
      <c r="BD52" s="532">
        <f t="shared" si="54"/>
        <v>1.79</v>
      </c>
      <c r="BE52" s="532">
        <f t="shared" si="55"/>
        <v>2.0499999999999998</v>
      </c>
      <c r="BF52" s="383">
        <f t="shared" si="46"/>
        <v>14.23034800664816</v>
      </c>
      <c r="BG52" s="532">
        <f t="shared" si="56"/>
        <v>5.28</v>
      </c>
      <c r="BH52" s="532">
        <f t="shared" si="57"/>
        <v>0.13</v>
      </c>
      <c r="BI52" s="532">
        <f t="shared" si="58"/>
        <v>0.33</v>
      </c>
      <c r="BJ52" s="532">
        <f t="shared" si="59"/>
        <v>0.25</v>
      </c>
      <c r="BK52" s="383">
        <f t="shared" si="35"/>
        <v>4.5714661212631507</v>
      </c>
      <c r="BL52" s="383">
        <f t="shared" si="1"/>
        <v>28.631814127911309</v>
      </c>
    </row>
    <row r="53" spans="1:70">
      <c r="A53" s="226">
        <v>2029</v>
      </c>
      <c r="B53" s="520" t="b">
        <f>IF($A53&gt;=Sensitivitätsanalyse!$B$25,TRUE,FALSE)</f>
        <v>1</v>
      </c>
      <c r="C53" s="520" t="b">
        <f>IF($A53&lt;(Sensitivitätsanalyse!$B$25+Sensitivitätsanalyse!$B$30),TRUE,FALSE)</f>
        <v>0</v>
      </c>
      <c r="D53" s="211">
        <f t="shared" si="21"/>
        <v>0</v>
      </c>
      <c r="E53" s="423">
        <f t="shared" si="29"/>
        <v>1.4193226940478718</v>
      </c>
      <c r="F53" s="423">
        <f t="shared" si="30"/>
        <v>0.26967131186909565</v>
      </c>
      <c r="G53" s="423">
        <f t="shared" si="22"/>
        <v>0.65959999999999996</v>
      </c>
      <c r="H53" s="305">
        <f t="shared" si="31"/>
        <v>0.75972269404787174</v>
      </c>
      <c r="I53" s="423">
        <f t="shared" si="23"/>
        <v>0.92927131186909562</v>
      </c>
      <c r="J53" s="423">
        <f t="shared" si="36"/>
        <v>1.6889940059169675</v>
      </c>
      <c r="K53" s="223">
        <f>K52*(1-(1-T52/T51)*Sensitivitätsanalyse!$B$37)</f>
        <v>0.1452477052863751</v>
      </c>
      <c r="L53" s="425">
        <f t="shared" si="24"/>
        <v>3.5000000000000003E-2</v>
      </c>
      <c r="M53" s="426">
        <v>1.7899999999999999E-2</v>
      </c>
      <c r="N53" s="426">
        <v>2.0500000000000001E-2</v>
      </c>
      <c r="O53" s="223">
        <f t="shared" si="32"/>
        <v>0.21864770528637509</v>
      </c>
      <c r="P53" s="222">
        <f t="shared" si="33"/>
        <v>0.26019076929078633</v>
      </c>
      <c r="Q53" s="221">
        <f t="shared" si="25"/>
        <v>123.49997048749877</v>
      </c>
      <c r="R53" s="294">
        <f>IF($D53&gt;0,(Sensitivitätsanalyse!$B$29*Sensitivitätsanalyse!$B$35*J53/100),0)</f>
        <v>0</v>
      </c>
      <c r="S53" s="294">
        <f>IF($D53&gt;0,(Sensitivitätsanalyse!$B$29*Sensitivitätsanalyse!$C$35*BL53/10000),0)</f>
        <v>0</v>
      </c>
      <c r="T53" s="446">
        <f t="shared" si="7"/>
        <v>123.49997048749877</v>
      </c>
      <c r="U53" s="446">
        <f t="shared" si="8"/>
        <v>54.894542272920717</v>
      </c>
      <c r="V53" s="446">
        <f t="shared" si="9"/>
        <v>100.82779034791719</v>
      </c>
      <c r="W53" s="446">
        <f t="shared" si="10"/>
        <v>123.49997048749877</v>
      </c>
      <c r="X53" s="446">
        <f t="shared" si="11"/>
        <v>141.7554921583307</v>
      </c>
      <c r="Y53" s="526">
        <f t="shared" si="12"/>
        <v>192.10539870207683</v>
      </c>
      <c r="Z53" s="563">
        <v>0</v>
      </c>
      <c r="AA53" s="549"/>
      <c r="AB53" s="522">
        <f>AB52*(1+Sensitivitätsanalyse!$B$42)</f>
        <v>4.1078082036966945</v>
      </c>
      <c r="AC53" s="224">
        <f>AC52*(1+Sensitivitätsanalyse!$C$42)</f>
        <v>14.617069005869631</v>
      </c>
      <c r="AD53" s="224">
        <f>AD52*(1+'NR Kraftstoffpreisprognosen'!$CB$6)</f>
        <v>36.378821184901227</v>
      </c>
      <c r="AE53" s="228">
        <f>AE52*(1+'NR Kraftstoffpreisprognosen'!$AE$61)</f>
        <v>0.35531197035023515</v>
      </c>
      <c r="AF53" s="540">
        <f>AF52*(1+'NR Kraftstoffpreisprognosen'!$AF$61)</f>
        <v>100</v>
      </c>
      <c r="AG53" s="4">
        <f t="shared" si="64"/>
        <v>169.77957902604362</v>
      </c>
      <c r="AH53" s="4">
        <f t="shared" si="65"/>
        <v>128.51902025907833</v>
      </c>
      <c r="AI53" s="4">
        <f t="shared" si="66"/>
        <v>209.69606902245656</v>
      </c>
      <c r="AJ53" s="6">
        <f t="shared" si="67"/>
        <v>-3.9931651762451836E-2</v>
      </c>
      <c r="AK53" s="6">
        <f t="shared" si="68"/>
        <v>-2.7381318749430061E-2</v>
      </c>
      <c r="AL53" s="6">
        <f t="shared" si="69"/>
        <v>-4.1469871433428507E-2</v>
      </c>
      <c r="AQ53" s="4">
        <f t="shared" si="45"/>
        <v>25239.755331982607</v>
      </c>
      <c r="AR53" s="4">
        <f t="shared" si="40"/>
        <v>34642.445653265364</v>
      </c>
      <c r="AS53" s="6">
        <f t="shared" si="15"/>
        <v>8.7272727272727266E-2</v>
      </c>
      <c r="AT53" s="4">
        <f t="shared" ref="AT53:AT58" si="88">(1+AX53)*AT52</f>
        <v>360.59800994203368</v>
      </c>
      <c r="AU53" s="392">
        <f t="shared" si="5"/>
        <v>0</v>
      </c>
      <c r="AV53" s="4">
        <f t="shared" ref="AV53:AV58" si="89">(1+AY53)*AV52</f>
        <v>240.59702230497683</v>
      </c>
      <c r="AW53" s="392">
        <f t="shared" si="6"/>
        <v>0</v>
      </c>
      <c r="AX53" s="6">
        <f t="shared" si="85"/>
        <v>-1.658383922112594E-3</v>
      </c>
      <c r="AY53" s="6">
        <f t="shared" si="86"/>
        <v>-2.4814201741034658E-3</v>
      </c>
      <c r="AZ53" s="387">
        <f t="shared" si="75"/>
        <v>4.1078082036966945</v>
      </c>
      <c r="BA53" s="397">
        <f t="shared" si="27"/>
        <v>-2.7507527533926934E-2</v>
      </c>
      <c r="BB53" s="387">
        <f t="shared" si="76"/>
        <v>12.710494787712731</v>
      </c>
      <c r="BC53" s="397">
        <f t="shared" si="28"/>
        <v>-1.3083718633998487E-2</v>
      </c>
      <c r="BD53" s="532">
        <f t="shared" si="54"/>
        <v>1.79</v>
      </c>
      <c r="BE53" s="532">
        <f t="shared" si="55"/>
        <v>2.0499999999999998</v>
      </c>
      <c r="BF53" s="383">
        <f t="shared" si="46"/>
        <v>14.358233393736704</v>
      </c>
      <c r="BG53" s="532">
        <f t="shared" si="56"/>
        <v>5.28</v>
      </c>
      <c r="BH53" s="532">
        <f t="shared" si="57"/>
        <v>0.13</v>
      </c>
      <c r="BI53" s="532">
        <f t="shared" si="58"/>
        <v>0.33</v>
      </c>
      <c r="BJ53" s="532">
        <f t="shared" si="59"/>
        <v>0.25</v>
      </c>
      <c r="BK53" s="383">
        <f t="shared" si="35"/>
        <v>4.5957643448099734</v>
      </c>
      <c r="BL53" s="383">
        <f t="shared" si="1"/>
        <v>28.783997738546674</v>
      </c>
    </row>
    <row r="54" spans="1:70">
      <c r="A54" s="226">
        <v>2030</v>
      </c>
      <c r="B54" s="520" t="b">
        <f>IF($A54&gt;=Sensitivitätsanalyse!$B$25,TRUE,FALSE)</f>
        <v>1</v>
      </c>
      <c r="C54" s="520" t="b">
        <f>IF($A54&lt;(Sensitivitätsanalyse!$B$25+Sensitivitätsanalyse!$B$30),TRUE,FALSE)</f>
        <v>0</v>
      </c>
      <c r="D54" s="211">
        <f t="shared" si="21"/>
        <v>0</v>
      </c>
      <c r="E54" s="423">
        <f t="shared" si="29"/>
        <v>1.4210265881466504</v>
      </c>
      <c r="F54" s="423">
        <f t="shared" si="30"/>
        <v>0.26999505174786359</v>
      </c>
      <c r="G54" s="423">
        <f t="shared" si="22"/>
        <v>0.65959999999999996</v>
      </c>
      <c r="H54" s="305">
        <f t="shared" si="31"/>
        <v>0.76142658814665032</v>
      </c>
      <c r="I54" s="423">
        <f t="shared" si="23"/>
        <v>0.9295950517478635</v>
      </c>
      <c r="J54" s="423">
        <f t="shared" si="36"/>
        <v>1.6910216398945139</v>
      </c>
      <c r="K54" s="223">
        <f>K53*(1-(1-T53/T52)*Sensitivitätsanalyse!$B$37)</f>
        <v>0.14541980024957954</v>
      </c>
      <c r="L54" s="425">
        <f t="shared" si="24"/>
        <v>3.5000000000000003E-2</v>
      </c>
      <c r="M54" s="426">
        <v>1.7899999999999999E-2</v>
      </c>
      <c r="N54" s="426">
        <v>2.0500000000000001E-2</v>
      </c>
      <c r="O54" s="223">
        <f t="shared" si="32"/>
        <v>0.21881980024957953</v>
      </c>
      <c r="P54" s="222">
        <f t="shared" si="33"/>
        <v>0.26039556229699962</v>
      </c>
      <c r="Q54" s="221">
        <f t="shared" si="25"/>
        <v>123.77695427719155</v>
      </c>
      <c r="R54" s="294">
        <f>IF($D54&gt;0,(Sensitivitätsanalyse!$B$29*Sensitivitätsanalyse!$B$35*J54/100),0)</f>
        <v>0</v>
      </c>
      <c r="S54" s="294">
        <f>IF($D54&gt;0,(Sensitivitätsanalyse!$B$29*Sensitivitätsanalyse!$C$35*BL54/10000),0)</f>
        <v>0</v>
      </c>
      <c r="T54" s="446">
        <f t="shared" si="7"/>
        <v>123.77695427719155</v>
      </c>
      <c r="U54" s="446">
        <f t="shared" si="8"/>
        <v>53.976392303383562</v>
      </c>
      <c r="V54" s="446">
        <f t="shared" si="9"/>
        <v>100.70981577082581</v>
      </c>
      <c r="W54" s="446">
        <f t="shared" si="10"/>
        <v>123.77695427719155</v>
      </c>
      <c r="X54" s="446">
        <f t="shared" si="11"/>
        <v>142.3504943732263</v>
      </c>
      <c r="Y54" s="526">
        <f t="shared" si="12"/>
        <v>193.57751625099951</v>
      </c>
      <c r="Z54" s="563">
        <v>0</v>
      </c>
      <c r="AA54" s="549"/>
      <c r="AB54" s="522">
        <f>AB53*(1+Sensitivitätsanalyse!$B$42)</f>
        <v>3.9948125564294168</v>
      </c>
      <c r="AC54" s="224">
        <f>AC53*(1+Sensitivitätsanalyse!$C$42)</f>
        <v>14.425823387743092</v>
      </c>
      <c r="AD54" s="224">
        <f>AD53*(1+'NR Kraftstoffpreisprognosen'!$CB$6)</f>
        <v>37.106397608599252</v>
      </c>
      <c r="AE54" s="228">
        <f>AE53*(1+'NR Kraftstoffpreisprognosen'!$AE$61)</f>
        <v>0.37873978882249942</v>
      </c>
      <c r="AF54" s="540">
        <f>AF53*(1+'NR Kraftstoffpreisprognosen'!$AF$61)</f>
        <v>100</v>
      </c>
      <c r="AG54" s="392">
        <v>163</v>
      </c>
      <c r="AH54" s="392">
        <v>125</v>
      </c>
      <c r="AI54" s="392">
        <v>201</v>
      </c>
      <c r="AJ54" s="6">
        <f t="shared" si="67"/>
        <v>-3.9931651762451836E-2</v>
      </c>
      <c r="AK54" s="6">
        <f t="shared" si="68"/>
        <v>-2.7381318749430061E-2</v>
      </c>
      <c r="AL54" s="6">
        <f t="shared" si="69"/>
        <v>-4.1469871433428507E-2</v>
      </c>
      <c r="AQ54" s="4">
        <f t="shared" si="45"/>
        <v>25492.152885302432</v>
      </c>
      <c r="AR54" s="4">
        <f t="shared" si="40"/>
        <v>34642.445653265364</v>
      </c>
      <c r="AS54" s="6">
        <f t="shared" si="15"/>
        <v>9.2727272727272728E-2</v>
      </c>
      <c r="AT54" s="392">
        <v>360</v>
      </c>
      <c r="AU54" s="392">
        <f t="shared" si="5"/>
        <v>0</v>
      </c>
      <c r="AV54" s="392">
        <v>240</v>
      </c>
      <c r="AW54" s="392">
        <f t="shared" si="6"/>
        <v>0</v>
      </c>
      <c r="AX54" s="6">
        <f t="shared" si="85"/>
        <v>-1.658383922112594E-3</v>
      </c>
      <c r="AY54" s="6">
        <f t="shared" si="86"/>
        <v>-2.4814201741034658E-3</v>
      </c>
      <c r="AZ54" s="387">
        <f t="shared" si="75"/>
        <v>3.9948125564294168</v>
      </c>
      <c r="BA54" s="397">
        <f t="shared" si="27"/>
        <v>-2.7507527533926934E-2</v>
      </c>
      <c r="BB54" s="387">
        <f t="shared" si="76"/>
        <v>12.544194250211394</v>
      </c>
      <c r="BC54" s="397">
        <f t="shared" si="28"/>
        <v>-1.3083718633998487E-2</v>
      </c>
      <c r="BD54" s="532">
        <f t="shared" si="54"/>
        <v>1.79</v>
      </c>
      <c r="BE54" s="532">
        <f t="shared" si="55"/>
        <v>2.0499999999999998</v>
      </c>
      <c r="BF54" s="383">
        <f t="shared" si="46"/>
        <v>14.486357095158995</v>
      </c>
      <c r="BG54" s="532">
        <f t="shared" si="56"/>
        <v>5.28</v>
      </c>
      <c r="BH54" s="532">
        <f t="shared" si="57"/>
        <v>0.13</v>
      </c>
      <c r="BI54" s="532">
        <f t="shared" si="58"/>
        <v>0.33</v>
      </c>
      <c r="BJ54" s="532">
        <f t="shared" si="59"/>
        <v>0.25</v>
      </c>
      <c r="BK54" s="383">
        <f t="shared" si="35"/>
        <v>4.6201078480802096</v>
      </c>
      <c r="BL54" s="383">
        <f t="shared" si="1"/>
        <v>28.936464943239205</v>
      </c>
    </row>
    <row r="55" spans="1:70">
      <c r="A55" s="226">
        <v>2031</v>
      </c>
      <c r="B55" s="520" t="b">
        <f>IF($A55&gt;=Sensitivitätsanalyse!$B$25,TRUE,FALSE)</f>
        <v>1</v>
      </c>
      <c r="C55" s="520" t="b">
        <f>IF($A55&lt;(Sensitivitätsanalyse!$B$25+Sensitivitätsanalyse!$B$30),TRUE,FALSE)</f>
        <v>0</v>
      </c>
      <c r="D55" s="211">
        <f t="shared" si="21"/>
        <v>0</v>
      </c>
      <c r="E55" s="423">
        <f t="shared" si="29"/>
        <v>1.4226473316336765</v>
      </c>
      <c r="F55" s="423">
        <f t="shared" si="30"/>
        <v>0.27030299301039856</v>
      </c>
      <c r="G55" s="423">
        <f t="shared" si="22"/>
        <v>0.65959999999999996</v>
      </c>
      <c r="H55" s="305">
        <f t="shared" si="31"/>
        <v>0.76304733163367644</v>
      </c>
      <c r="I55" s="423">
        <f t="shared" si="23"/>
        <v>0.92990299301039858</v>
      </c>
      <c r="J55" s="423">
        <f t="shared" si="36"/>
        <v>1.6929503246440751</v>
      </c>
      <c r="K55" s="223">
        <f>K54*(1-(1-T54/T53)*Sensitivitätsanalyse!$B$37)</f>
        <v>0.14558287286899191</v>
      </c>
      <c r="L55" s="425">
        <f t="shared" si="24"/>
        <v>3.5000000000000003E-2</v>
      </c>
      <c r="M55" s="426">
        <v>1.7899999999999999E-2</v>
      </c>
      <c r="N55" s="426">
        <v>2.0500000000000001E-2</v>
      </c>
      <c r="O55" s="223">
        <f t="shared" si="32"/>
        <v>0.2189828728689919</v>
      </c>
      <c r="P55" s="222">
        <f t="shared" si="33"/>
        <v>0.26058961871410036</v>
      </c>
      <c r="Q55" s="221">
        <f t="shared" si="25"/>
        <v>124.04042116370648</v>
      </c>
      <c r="R55" s="294">
        <f>IF($D55&gt;0,(Sensitivitätsanalyse!$B$29*Sensitivitätsanalyse!$B$35*J55/100),0)</f>
        <v>0</v>
      </c>
      <c r="S55" s="294">
        <f>IF($D55&gt;0,(Sensitivitätsanalyse!$B$29*Sensitivitätsanalyse!$C$35*BL55/10000),0)</f>
        <v>0</v>
      </c>
      <c r="T55" s="446">
        <f t="shared" si="7"/>
        <v>124.04042116370648</v>
      </c>
      <c r="U55" s="446">
        <f t="shared" si="8"/>
        <v>53.103048364750727</v>
      </c>
      <c r="V55" s="446">
        <f t="shared" si="9"/>
        <v>100.59759839323613</v>
      </c>
      <c r="W55" s="446">
        <f t="shared" si="10"/>
        <v>124.04042116370648</v>
      </c>
      <c r="X55" s="446">
        <f t="shared" si="11"/>
        <v>142.91646027759171</v>
      </c>
      <c r="Y55" s="526">
        <f t="shared" si="12"/>
        <v>194.97779396266225</v>
      </c>
      <c r="Z55" s="563">
        <v>0</v>
      </c>
      <c r="AA55" s="549"/>
      <c r="AB55" s="522">
        <f>AB54*(1+Sensitivitätsanalyse!$B$42)</f>
        <v>3.8849251400405578</v>
      </c>
      <c r="AC55" s="224">
        <f>AC54*(1+Sensitivitätsanalyse!$C$42)</f>
        <v>14.237079973474106</v>
      </c>
      <c r="AD55" s="224">
        <f>AD54*(1+'NR Kraftstoffpreisprognosen'!$CB$6)</f>
        <v>37.848525560771236</v>
      </c>
      <c r="AE55" s="228">
        <f>AE54*(1+'NR Kraftstoffpreisprognosen'!$AE$61)</f>
        <v>0.40371234184966304</v>
      </c>
      <c r="AF55" s="540">
        <f>AF54*(1+'NR Kraftstoffpreisprognosen'!$AF$61)</f>
        <v>100</v>
      </c>
      <c r="AG55" s="4">
        <f t="shared" ref="AG55:AI59" si="90">(1+AJ55)*AG54</f>
        <v>156.49114076272036</v>
      </c>
      <c r="AH55" s="4">
        <f t="shared" si="90"/>
        <v>121.57733515632124</v>
      </c>
      <c r="AI55" s="4">
        <f t="shared" si="90"/>
        <v>192.66455584188088</v>
      </c>
      <c r="AJ55" s="6">
        <f t="shared" si="67"/>
        <v>-3.9931651762451836E-2</v>
      </c>
      <c r="AK55" s="6">
        <f t="shared" si="68"/>
        <v>-2.7381318749430061E-2</v>
      </c>
      <c r="AL55" s="6">
        <f t="shared" si="69"/>
        <v>-4.1469871433428507E-2</v>
      </c>
      <c r="AQ55" s="4">
        <f t="shared" si="45"/>
        <v>25747.074414155457</v>
      </c>
      <c r="AR55" s="4">
        <f t="shared" si="40"/>
        <v>34642.445653265364</v>
      </c>
      <c r="AS55" s="6">
        <f t="shared" si="15"/>
        <v>9.818181818181819E-2</v>
      </c>
      <c r="AT55" s="4">
        <f t="shared" si="88"/>
        <v>359.40298178803948</v>
      </c>
      <c r="AU55" s="392">
        <f t="shared" si="5"/>
        <v>0</v>
      </c>
      <c r="AV55" s="4">
        <f t="shared" si="89"/>
        <v>239.40445915821516</v>
      </c>
      <c r="AW55" s="392">
        <f t="shared" si="6"/>
        <v>0</v>
      </c>
      <c r="AX55" s="6">
        <f t="shared" si="85"/>
        <v>-1.658383922112594E-3</v>
      </c>
      <c r="AY55" s="6">
        <f t="shared" si="86"/>
        <v>-2.4814201741034658E-3</v>
      </c>
      <c r="AZ55" s="387">
        <f t="shared" si="75"/>
        <v>3.8849251400405578</v>
      </c>
      <c r="BA55" s="397">
        <f t="shared" si="27"/>
        <v>-2.7507527533926934E-2</v>
      </c>
      <c r="BB55" s="387">
        <f t="shared" si="76"/>
        <v>12.380069542151407</v>
      </c>
      <c r="BC55" s="397">
        <f t="shared" si="28"/>
        <v>-1.3083718633998487E-2</v>
      </c>
      <c r="BD55" s="532">
        <f t="shared" si="54"/>
        <v>1.79</v>
      </c>
      <c r="BE55" s="532">
        <f t="shared" si="55"/>
        <v>2.0499999999999998</v>
      </c>
      <c r="BF55" s="383">
        <f t="shared" si="46"/>
        <v>14.614796756386905</v>
      </c>
      <c r="BG55" s="532">
        <f t="shared" si="56"/>
        <v>5.28</v>
      </c>
      <c r="BH55" s="532">
        <f t="shared" si="57"/>
        <v>0.13</v>
      </c>
      <c r="BI55" s="532">
        <f t="shared" si="58"/>
        <v>0.33</v>
      </c>
      <c r="BJ55" s="532">
        <f t="shared" si="59"/>
        <v>0.25</v>
      </c>
      <c r="BK55" s="383">
        <f t="shared" si="35"/>
        <v>4.6445113837135121</v>
      </c>
      <c r="BL55" s="383">
        <f t="shared" si="1"/>
        <v>29.089308140100414</v>
      </c>
    </row>
    <row r="56" spans="1:70">
      <c r="A56" s="226">
        <v>2032</v>
      </c>
      <c r="B56" s="520" t="b">
        <f>IF($A56&gt;=Sensitivitätsanalyse!$B$25,TRUE,FALSE)</f>
        <v>1</v>
      </c>
      <c r="C56" s="520" t="b">
        <f>IF($A56&lt;(Sensitivitätsanalyse!$B$25+Sensitivitätsanalyse!$B$30),TRUE,FALSE)</f>
        <v>0</v>
      </c>
      <c r="D56" s="211">
        <f t="shared" si="21"/>
        <v>0</v>
      </c>
      <c r="E56" s="423">
        <f t="shared" si="29"/>
        <v>1.4241926638464308</v>
      </c>
      <c r="F56" s="423">
        <f t="shared" si="30"/>
        <v>0.27059660613082187</v>
      </c>
      <c r="G56" s="423">
        <f t="shared" si="22"/>
        <v>0.65959999999999996</v>
      </c>
      <c r="H56" s="305">
        <f t="shared" si="31"/>
        <v>0.76459266384643099</v>
      </c>
      <c r="I56" s="423">
        <f t="shared" si="23"/>
        <v>0.93019660613082178</v>
      </c>
      <c r="J56" s="423">
        <f t="shared" si="36"/>
        <v>1.6947892699772527</v>
      </c>
      <c r="K56" s="223">
        <f>K55*(1-(1-T55/T54)*Sensitivitätsanalyse!$B$37)</f>
        <v>0.14573781393402568</v>
      </c>
      <c r="L56" s="425">
        <f t="shared" si="24"/>
        <v>3.5000000000000003E-2</v>
      </c>
      <c r="M56" s="426">
        <v>1.7899999999999999E-2</v>
      </c>
      <c r="N56" s="426">
        <v>2.0500000000000001E-2</v>
      </c>
      <c r="O56" s="223">
        <f t="shared" si="32"/>
        <v>0.21913781393402568</v>
      </c>
      <c r="P56" s="222">
        <f t="shared" si="33"/>
        <v>0.26077399858149053</v>
      </c>
      <c r="Q56" s="221">
        <f t="shared" si="25"/>
        <v>124.29162924813491</v>
      </c>
      <c r="R56" s="294">
        <f>IF($D56&gt;0,(Sensitivitätsanalyse!$B$29*Sensitivitätsanalyse!$B$35*J56/100),0)</f>
        <v>0</v>
      </c>
      <c r="S56" s="294">
        <f>IF($D56&gt;0,(Sensitivitätsanalyse!$B$29*Sensitivitätsanalyse!$C$35*BL56/10000),0)</f>
        <v>0</v>
      </c>
      <c r="T56" s="446">
        <f t="shared" si="7"/>
        <v>124.29162924813491</v>
      </c>
      <c r="U56" s="446">
        <f t="shared" si="8"/>
        <v>52.270340084886143</v>
      </c>
      <c r="V56" s="446">
        <f t="shared" si="9"/>
        <v>100.49060235727586</v>
      </c>
      <c r="W56" s="446">
        <f t="shared" si="10"/>
        <v>124.29162924813491</v>
      </c>
      <c r="X56" s="446">
        <f t="shared" si="11"/>
        <v>143.45609245895645</v>
      </c>
      <c r="Y56" s="526">
        <f t="shared" si="12"/>
        <v>196.31291841138366</v>
      </c>
      <c r="Z56" s="563">
        <v>0</v>
      </c>
      <c r="AA56" s="549"/>
      <c r="AB56" s="522">
        <f>AB55*(1+Sensitivitätsanalyse!$B$42)</f>
        <v>3.7780604547836472</v>
      </c>
      <c r="AC56" s="224">
        <f>AC55*(1+Sensitivitätsanalyse!$C$42)</f>
        <v>14.050806024931436</v>
      </c>
      <c r="AD56" s="224">
        <f>AD55*(1+'NR Kraftstoffpreisprognosen'!$CB$6)</f>
        <v>38.605496071986664</v>
      </c>
      <c r="AE56" s="228">
        <f>AE55*(1+'NR Kraftstoffpreisprognosen'!$AE$61)</f>
        <v>0.43033148291193474</v>
      </c>
      <c r="AF56" s="540">
        <f>AF55*(1+'NR Kraftstoffpreisprognosen'!$AF$61)</f>
        <v>100</v>
      </c>
      <c r="AG56" s="4">
        <f t="shared" si="90"/>
        <v>150.24219102587458</v>
      </c>
      <c r="AH56" s="4">
        <f t="shared" si="90"/>
        <v>118.24838738969972</v>
      </c>
      <c r="AI56" s="4">
        <f t="shared" si="90"/>
        <v>184.67478148133947</v>
      </c>
      <c r="AJ56" s="6">
        <f t="shared" si="67"/>
        <v>-3.9931651762451836E-2</v>
      </c>
      <c r="AK56" s="6">
        <f t="shared" si="68"/>
        <v>-2.7381318749430061E-2</v>
      </c>
      <c r="AL56" s="6">
        <f t="shared" si="69"/>
        <v>-4.1469871433428507E-2</v>
      </c>
      <c r="AQ56" s="4">
        <f t="shared" si="45"/>
        <v>26004.545158297013</v>
      </c>
      <c r="AR56" s="4">
        <f t="shared" si="40"/>
        <v>34642.445653265364</v>
      </c>
      <c r="AS56" s="6">
        <f t="shared" si="15"/>
        <v>0.10363636363636364</v>
      </c>
      <c r="AT56" s="4">
        <f t="shared" si="88"/>
        <v>358.80695366148285</v>
      </c>
      <c r="AU56" s="392">
        <f t="shared" si="5"/>
        <v>0</v>
      </c>
      <c r="AV56" s="4">
        <f t="shared" si="89"/>
        <v>238.81039610348964</v>
      </c>
      <c r="AW56" s="392">
        <f t="shared" si="6"/>
        <v>0</v>
      </c>
      <c r="AX56" s="6">
        <f t="shared" si="85"/>
        <v>-1.658383922112594E-3</v>
      </c>
      <c r="AY56" s="6">
        <f t="shared" si="86"/>
        <v>-2.4814201741034658E-3</v>
      </c>
      <c r="AZ56" s="387">
        <f t="shared" si="75"/>
        <v>3.7780604547836472</v>
      </c>
      <c r="BA56" s="397">
        <f t="shared" si="27"/>
        <v>-2.7507527533926934E-2</v>
      </c>
      <c r="BB56" s="387">
        <f t="shared" si="76"/>
        <v>12.218092195592563</v>
      </c>
      <c r="BC56" s="397">
        <f t="shared" si="28"/>
        <v>-1.3083718633998487E-2</v>
      </c>
      <c r="BD56" s="532">
        <f t="shared" si="54"/>
        <v>1.79</v>
      </c>
      <c r="BE56" s="532">
        <f t="shared" si="55"/>
        <v>2.0499999999999998</v>
      </c>
      <c r="BF56" s="383">
        <f t="shared" si="46"/>
        <v>14.743619974345279</v>
      </c>
      <c r="BG56" s="532">
        <f t="shared" si="56"/>
        <v>5.28</v>
      </c>
      <c r="BH56" s="532">
        <f t="shared" si="57"/>
        <v>0.13</v>
      </c>
      <c r="BI56" s="532">
        <f t="shared" si="58"/>
        <v>0.33</v>
      </c>
      <c r="BJ56" s="532">
        <f t="shared" si="59"/>
        <v>0.25</v>
      </c>
      <c r="BK56" s="383">
        <f t="shared" si="35"/>
        <v>4.6689877951256031</v>
      </c>
      <c r="BL56" s="383">
        <f t="shared" si="1"/>
        <v>29.242607769470879</v>
      </c>
    </row>
    <row r="57" spans="1:70">
      <c r="A57" s="226">
        <v>2033</v>
      </c>
      <c r="B57" s="520" t="b">
        <f>IF($A57&gt;=Sensitivitätsanalyse!$B$25,TRUE,FALSE)</f>
        <v>1</v>
      </c>
      <c r="C57" s="520" t="b">
        <f>IF($A57&lt;(Sensitivitätsanalyse!$B$25+Sensitivitätsanalyse!$B$30),TRUE,FALSE)</f>
        <v>0</v>
      </c>
      <c r="D57" s="211">
        <f t="shared" si="21"/>
        <v>0</v>
      </c>
      <c r="E57" s="423">
        <f t="shared" si="29"/>
        <v>1.4256692914802982</v>
      </c>
      <c r="F57" s="423">
        <f t="shared" si="30"/>
        <v>0.27087716538125667</v>
      </c>
      <c r="G57" s="423">
        <f t="shared" si="22"/>
        <v>0.65959999999999996</v>
      </c>
      <c r="H57" s="305">
        <f t="shared" si="31"/>
        <v>0.76606929148029834</v>
      </c>
      <c r="I57" s="423">
        <f t="shared" si="23"/>
        <v>0.93047716538125669</v>
      </c>
      <c r="J57" s="423">
        <f t="shared" si="36"/>
        <v>1.6965464568615549</v>
      </c>
      <c r="K57" s="223">
        <f>K56*(1-(1-T56/T55)*Sensitivitätsanalyse!$B$37)</f>
        <v>0.14588538888065872</v>
      </c>
      <c r="L57" s="425">
        <f t="shared" si="24"/>
        <v>3.5000000000000003E-2</v>
      </c>
      <c r="M57" s="426">
        <v>1.7899999999999999E-2</v>
      </c>
      <c r="N57" s="426">
        <v>2.0500000000000001E-2</v>
      </c>
      <c r="O57" s="223">
        <f t="shared" si="32"/>
        <v>0.21928538888065871</v>
      </c>
      <c r="P57" s="222">
        <f t="shared" si="33"/>
        <v>0.26094961276798384</v>
      </c>
      <c r="Q57" s="221">
        <f t="shared" si="25"/>
        <v>124.5316687660174</v>
      </c>
      <c r="R57" s="294">
        <f>IF($D57&gt;0,(Sensitivitätsanalyse!$B$29*Sensitivitätsanalyse!$B$35*J57/100),0)</f>
        <v>0</v>
      </c>
      <c r="S57" s="294">
        <f>IF($D57&gt;0,(Sensitivitätsanalyse!$B$29*Sensitivitätsanalyse!$C$35*BL57/10000),0)</f>
        <v>0</v>
      </c>
      <c r="T57" s="446">
        <f t="shared" si="7"/>
        <v>124.5316687660174</v>
      </c>
      <c r="U57" s="446">
        <f t="shared" si="8"/>
        <v>51.474653534868217</v>
      </c>
      <c r="V57" s="446">
        <f t="shared" si="9"/>
        <v>100.38836330336295</v>
      </c>
      <c r="W57" s="446">
        <f t="shared" si="10"/>
        <v>124.5316687660174</v>
      </c>
      <c r="X57" s="446">
        <f t="shared" si="11"/>
        <v>143.97173290477812</v>
      </c>
      <c r="Y57" s="526">
        <f t="shared" si="12"/>
        <v>197.58868399716658</v>
      </c>
      <c r="Z57" s="563">
        <v>0</v>
      </c>
      <c r="AA57" s="549"/>
      <c r="AB57" s="522">
        <f>AB56*(1+Sensitivitätsanalyse!$B$42)</f>
        <v>3.6741353527988454</v>
      </c>
      <c r="AC57" s="224">
        <f>AC56*(1+Sensitivitätsanalyse!$C$42)</f>
        <v>13.866969232320342</v>
      </c>
      <c r="AD57" s="224">
        <f>AD56*(1+'NR Kraftstoffpreisprognosen'!$CB$6)</f>
        <v>39.3776059934264</v>
      </c>
      <c r="AE57" s="228">
        <f>AE56*(1+'NR Kraftstoffpreisprognosen'!$AE$61)</f>
        <v>0.45870578129153461</v>
      </c>
      <c r="AF57" s="540">
        <f>AF56*(1+'NR Kraftstoffpreisprognosen'!$AF$61)</f>
        <v>100</v>
      </c>
      <c r="AG57" s="4">
        <f t="shared" si="90"/>
        <v>144.2427721738016</v>
      </c>
      <c r="AH57" s="4">
        <f t="shared" si="90"/>
        <v>115.01059060297627</v>
      </c>
      <c r="AI57" s="4">
        <f t="shared" si="90"/>
        <v>177.01634203631181</v>
      </c>
      <c r="AJ57" s="6">
        <f t="shared" si="67"/>
        <v>-3.9931651762451836E-2</v>
      </c>
      <c r="AK57" s="6">
        <f t="shared" si="68"/>
        <v>-2.7381318749430061E-2</v>
      </c>
      <c r="AL57" s="6">
        <f t="shared" si="69"/>
        <v>-4.1469871433428507E-2</v>
      </c>
      <c r="AQ57" s="4">
        <f t="shared" si="45"/>
        <v>26264.590609879982</v>
      </c>
      <c r="AR57" s="4">
        <f t="shared" si="40"/>
        <v>34642.445653265364</v>
      </c>
      <c r="AS57" s="6">
        <f t="shared" si="15"/>
        <v>0.10909090909090909</v>
      </c>
      <c r="AT57" s="4">
        <f t="shared" si="88"/>
        <v>358.21191397838845</v>
      </c>
      <c r="AU57" s="392">
        <f t="shared" si="5"/>
        <v>0</v>
      </c>
      <c r="AV57" s="4">
        <f t="shared" si="89"/>
        <v>238.21780716881281</v>
      </c>
      <c r="AW57" s="392">
        <f t="shared" si="6"/>
        <v>0</v>
      </c>
      <c r="AX57" s="6">
        <f t="shared" si="85"/>
        <v>-1.658383922112594E-3</v>
      </c>
      <c r="AY57" s="6">
        <f t="shared" si="86"/>
        <v>-2.4814201741034658E-3</v>
      </c>
      <c r="AZ57" s="387">
        <f t="shared" si="75"/>
        <v>3.6741353527988454</v>
      </c>
      <c r="BA57" s="397">
        <f t="shared" si="27"/>
        <v>-2.7507527533926934E-2</v>
      </c>
      <c r="BB57" s="387">
        <f t="shared" si="76"/>
        <v>12.058234115061177</v>
      </c>
      <c r="BC57" s="397">
        <f t="shared" si="28"/>
        <v>-1.3083718633998487E-2</v>
      </c>
      <c r="BD57" s="532">
        <f t="shared" si="54"/>
        <v>1.79</v>
      </c>
      <c r="BE57" s="532">
        <f t="shared" si="55"/>
        <v>2.0499999999999998</v>
      </c>
      <c r="BF57" s="383">
        <f t="shared" si="46"/>
        <v>14.872886125667698</v>
      </c>
      <c r="BG57" s="532">
        <f t="shared" si="56"/>
        <v>5.28</v>
      </c>
      <c r="BH57" s="532">
        <f t="shared" si="57"/>
        <v>0.13</v>
      </c>
      <c r="BI57" s="532">
        <f t="shared" si="58"/>
        <v>0.33</v>
      </c>
      <c r="BJ57" s="532">
        <f t="shared" si="59"/>
        <v>0.25</v>
      </c>
      <c r="BK57" s="383">
        <f t="shared" si="35"/>
        <v>4.6935483638768627</v>
      </c>
      <c r="BL57" s="383">
        <f t="shared" si="1"/>
        <v>29.396434489544561</v>
      </c>
    </row>
    <row r="58" spans="1:70">
      <c r="A58" s="226">
        <v>2034</v>
      </c>
      <c r="B58" s="520" t="b">
        <f>IF($A58&gt;=Sensitivitätsanalyse!$B$25,TRUE,FALSE)</f>
        <v>1</v>
      </c>
      <c r="C58" s="520" t="b">
        <f>IF($A58&lt;(Sensitivitätsanalyse!$B$25+Sensitivitätsanalyse!$B$30),TRUE,FALSE)</f>
        <v>0</v>
      </c>
      <c r="D58" s="211">
        <f t="shared" si="21"/>
        <v>0</v>
      </c>
      <c r="E58" s="423">
        <f t="shared" si="29"/>
        <v>1.4270830645030754</v>
      </c>
      <c r="F58" s="423">
        <f t="shared" si="30"/>
        <v>0.27114578225558433</v>
      </c>
      <c r="G58" s="423">
        <f t="shared" si="22"/>
        <v>0.65959999999999996</v>
      </c>
      <c r="H58" s="305">
        <f t="shared" si="31"/>
        <v>0.76748306450307535</v>
      </c>
      <c r="I58" s="423">
        <f t="shared" si="23"/>
        <v>0.93074578225558424</v>
      </c>
      <c r="J58" s="423">
        <f t="shared" si="36"/>
        <v>1.6982288467586597</v>
      </c>
      <c r="K58" s="223">
        <f>K57*(1-(1-T57/T56)*Sensitivitätsanalyse!$B$37)</f>
        <v>0.1460262602274455</v>
      </c>
      <c r="L58" s="425">
        <f t="shared" si="24"/>
        <v>3.5000000000000003E-2</v>
      </c>
      <c r="M58" s="426">
        <v>1.7899999999999999E-2</v>
      </c>
      <c r="N58" s="426">
        <v>2.0500000000000001E-2</v>
      </c>
      <c r="O58" s="223">
        <f t="shared" si="32"/>
        <v>0.21942626022744549</v>
      </c>
      <c r="P58" s="222">
        <f t="shared" si="33"/>
        <v>0.26111724967066013</v>
      </c>
      <c r="Q58" s="221">
        <f t="shared" si="25"/>
        <v>124.7614906838789</v>
      </c>
      <c r="R58" s="294">
        <f>IF($D58&gt;0,(Sensitivitätsanalyse!$B$29*Sensitivitätsanalyse!$B$35*J58/100),0)</f>
        <v>0</v>
      </c>
      <c r="S58" s="294">
        <f>IF($D58&gt;0,(Sensitivitätsanalyse!$B$29*Sensitivitätsanalyse!$C$35*BL58/10000),0)</f>
        <v>0</v>
      </c>
      <c r="T58" s="446">
        <f t="shared" si="7"/>
        <v>124.7614906838789</v>
      </c>
      <c r="U58" s="446">
        <f t="shared" si="8"/>
        <v>50.712836436771767</v>
      </c>
      <c r="V58" s="446">
        <f t="shared" si="9"/>
        <v>100.29047619019973</v>
      </c>
      <c r="W58" s="446">
        <f t="shared" si="10"/>
        <v>124.7614906838789</v>
      </c>
      <c r="X58" s="446">
        <f t="shared" si="11"/>
        <v>144.46542443203617</v>
      </c>
      <c r="Y58" s="526">
        <f t="shared" si="12"/>
        <v>198.81014493098604</v>
      </c>
      <c r="Z58" s="563">
        <v>0</v>
      </c>
      <c r="AA58" s="549"/>
      <c r="AB58" s="522">
        <f>AB57*(1+Sensitivitätsanalyse!$B$42)</f>
        <v>3.5730689734183567</v>
      </c>
      <c r="AC58" s="224">
        <f>AC57*(1+Sensitivitätsanalyse!$C$42)</f>
        <v>13.685537708578348</v>
      </c>
      <c r="AD58" s="224">
        <f>AD57*(1+'NR Kraftstoffpreisprognosen'!$CB$6)</f>
        <v>40.165158113294929</v>
      </c>
      <c r="AE58" s="228">
        <f>AE57*(1+'NR Kraftstoffpreisprognosen'!$AE$61)</f>
        <v>0.48895096488521794</v>
      </c>
      <c r="AF58" s="540">
        <f>AF57*(1+'NR Kraftstoffpreisprognosen'!$AF$61)</f>
        <v>100</v>
      </c>
      <c r="AG58" s="4">
        <f t="shared" si="90"/>
        <v>138.48292002610668</v>
      </c>
      <c r="AH58" s="4">
        <f t="shared" si="90"/>
        <v>111.86144896211597</v>
      </c>
      <c r="AI58" s="4">
        <f t="shared" si="90"/>
        <v>169.67549709045016</v>
      </c>
      <c r="AJ58" s="6">
        <f t="shared" si="67"/>
        <v>-3.9931651762451836E-2</v>
      </c>
      <c r="AK58" s="6">
        <f t="shared" si="68"/>
        <v>-2.7381318749430061E-2</v>
      </c>
      <c r="AL58" s="6">
        <f t="shared" si="69"/>
        <v>-4.1469871433428507E-2</v>
      </c>
      <c r="AQ58" s="4">
        <f t="shared" si="45"/>
        <v>26527.236515978784</v>
      </c>
      <c r="AR58" s="4">
        <f t="shared" si="40"/>
        <v>34642.445653265364</v>
      </c>
      <c r="AS58" s="6">
        <f t="shared" si="15"/>
        <v>0.11454545454545455</v>
      </c>
      <c r="AT58" s="4">
        <f t="shared" si="88"/>
        <v>357.61786109953749</v>
      </c>
      <c r="AU58" s="392">
        <f t="shared" si="5"/>
        <v>0</v>
      </c>
      <c r="AV58" s="4">
        <f t="shared" si="89"/>
        <v>237.62668869627342</v>
      </c>
      <c r="AW58" s="392">
        <f t="shared" si="6"/>
        <v>0</v>
      </c>
      <c r="AX58" s="6">
        <f t="shared" si="85"/>
        <v>-1.658383922112594E-3</v>
      </c>
      <c r="AY58" s="6">
        <f t="shared" si="86"/>
        <v>-2.4814201741034658E-3</v>
      </c>
      <c r="AZ58" s="387">
        <f t="shared" si="75"/>
        <v>3.5730689734183567</v>
      </c>
      <c r="BA58" s="397">
        <f t="shared" si="27"/>
        <v>-2.7507527533926934E-2</v>
      </c>
      <c r="BB58" s="387">
        <f t="shared" si="76"/>
        <v>11.900467572676835</v>
      </c>
      <c r="BC58" s="397">
        <f t="shared" si="28"/>
        <v>-1.3083718633998487E-2</v>
      </c>
      <c r="BD58" s="532">
        <f t="shared" si="54"/>
        <v>1.79</v>
      </c>
      <c r="BE58" s="532">
        <f t="shared" si="55"/>
        <v>2.0499999999999998</v>
      </c>
      <c r="BF58" s="383">
        <f t="shared" si="46"/>
        <v>15.002647801248601</v>
      </c>
      <c r="BG58" s="532">
        <f t="shared" si="56"/>
        <v>5.28</v>
      </c>
      <c r="BH58" s="532">
        <f t="shared" si="57"/>
        <v>0.13</v>
      </c>
      <c r="BI58" s="532">
        <f t="shared" si="58"/>
        <v>0.33</v>
      </c>
      <c r="BJ58" s="532">
        <f t="shared" si="59"/>
        <v>0.25</v>
      </c>
      <c r="BK58" s="383">
        <f t="shared" si="35"/>
        <v>4.7182030822372347</v>
      </c>
      <c r="BL58" s="383">
        <f t="shared" si="1"/>
        <v>29.550850883485836</v>
      </c>
    </row>
    <row r="59" spans="1:70">
      <c r="A59" s="232">
        <v>2035</v>
      </c>
      <c r="B59" s="520" t="b">
        <f>IF($A59&gt;=Sensitivitätsanalyse!$B$25,TRUE,FALSE)</f>
        <v>1</v>
      </c>
      <c r="C59" s="520" t="b">
        <f>IF($A59&lt;(Sensitivitätsanalyse!$B$25+Sensitivitätsanalyse!$B$30),TRUE,FALSE)</f>
        <v>0</v>
      </c>
      <c r="D59" s="211">
        <f t="shared" si="21"/>
        <v>0</v>
      </c>
      <c r="E59" s="423">
        <f t="shared" si="29"/>
        <v>1.4285502789443725</v>
      </c>
      <c r="F59" s="423">
        <f t="shared" si="30"/>
        <v>0.27142455299943075</v>
      </c>
      <c r="G59" s="423">
        <f t="shared" si="22"/>
        <v>0.65959999999999996</v>
      </c>
      <c r="H59" s="305">
        <f t="shared" si="31"/>
        <v>0.76895027894437251</v>
      </c>
      <c r="I59" s="423">
        <f t="shared" si="23"/>
        <v>0.93102455299943077</v>
      </c>
      <c r="J59" s="590">
        <f t="shared" si="36"/>
        <v>1.6999748319438033</v>
      </c>
      <c r="K59" s="223">
        <f>K58*(1-(1-T58/T57)*Sensitivitätsanalyse!$B$37)</f>
        <v>0.14616100521045328</v>
      </c>
      <c r="L59" s="425">
        <f t="shared" si="24"/>
        <v>3.5000000000000003E-2</v>
      </c>
      <c r="M59" s="426">
        <v>1.7899999999999999E-2</v>
      </c>
      <c r="N59" s="426">
        <v>2.0500000000000001E-2</v>
      </c>
      <c r="O59" s="223">
        <f t="shared" si="32"/>
        <v>0.21956100521045327</v>
      </c>
      <c r="P59" s="222">
        <f t="shared" si="33"/>
        <v>0.26127759620043939</v>
      </c>
      <c r="Q59" s="221">
        <f t="shared" si="25"/>
        <v>125</v>
      </c>
      <c r="R59" s="294">
        <f>IF($D59&gt;0,(Sensitivitätsanalyse!$B$29*Sensitivitätsanalyse!$B$35*J59/100),0)</f>
        <v>0</v>
      </c>
      <c r="S59" s="294">
        <f>IF($D59&gt;0,(Sensitivitätsanalyse!$B$29*Sensitivitätsanalyse!$C$35*BL59/10000),0)</f>
        <v>0</v>
      </c>
      <c r="T59" s="450">
        <f>Sensitivitätsanalyse!B31</f>
        <v>125</v>
      </c>
      <c r="U59" s="419">
        <v>50</v>
      </c>
      <c r="V59" s="452">
        <v>100</v>
      </c>
      <c r="W59" s="419">
        <v>125</v>
      </c>
      <c r="X59" s="419">
        <v>145</v>
      </c>
      <c r="Y59" s="527">
        <v>200</v>
      </c>
      <c r="Z59" s="3">
        <v>0</v>
      </c>
      <c r="AA59" s="550"/>
      <c r="AB59" s="522">
        <f>AB58*(1+Sensitivitätsanalyse!$B$42)</f>
        <v>3.4747826802514314</v>
      </c>
      <c r="AC59" s="224">
        <f>AC58*(1+Sensitivitätsanalyse!$C$42)</f>
        <v>13.506479983844333</v>
      </c>
      <c r="AD59" s="224">
        <f>AD58*(1+'NR Kraftstoffpreisprognosen'!$CB$6)</f>
        <v>40.968461275560827</v>
      </c>
      <c r="AE59" s="228">
        <f>AE58*(1+'NR Kraftstoffpreisprognosen'!$AE$61)</f>
        <v>0.52119039221404673</v>
      </c>
      <c r="AF59" s="540">
        <f>AF58*(1+'NR Kraftstoffpreisprognosen'!$AF$61)</f>
        <v>100</v>
      </c>
      <c r="AG59" s="4">
        <f t="shared" si="90"/>
        <v>132.95306828857673</v>
      </c>
      <c r="AH59" s="4">
        <f t="shared" si="90"/>
        <v>108.79853497231117</v>
      </c>
      <c r="AI59" s="4">
        <f t="shared" si="90"/>
        <v>162.63907604070613</v>
      </c>
      <c r="AJ59" s="6">
        <f t="shared" si="67"/>
        <v>-3.9931651762451836E-2</v>
      </c>
      <c r="AK59" s="6">
        <f t="shared" si="68"/>
        <v>-2.7381318749430061E-2</v>
      </c>
      <c r="AL59" s="6">
        <f t="shared" si="69"/>
        <v>-4.1469871433428507E-2</v>
      </c>
      <c r="AQ59" s="4">
        <f t="shared" si="45"/>
        <v>26792.508881138572</v>
      </c>
      <c r="AR59" s="4">
        <f t="shared" si="40"/>
        <v>34642.445653265364</v>
      </c>
      <c r="AS59" s="309">
        <f>Sensitivitätsanalyse!B59</f>
        <v>0.12</v>
      </c>
      <c r="AT59" s="4">
        <f>(1+AX59)*AT58</f>
        <v>357.02479338842971</v>
      </c>
      <c r="AU59" s="392">
        <f t="shared" si="5"/>
        <v>0</v>
      </c>
      <c r="AV59" s="4">
        <f>(1+AY59)*AV58</f>
        <v>237.03703703703709</v>
      </c>
      <c r="AW59" s="392">
        <f t="shared" si="6"/>
        <v>0</v>
      </c>
      <c r="AX59" s="6">
        <f t="shared" si="85"/>
        <v>-1.658383922112594E-3</v>
      </c>
      <c r="AY59" s="6">
        <f t="shared" si="86"/>
        <v>-2.4814201741034658E-3</v>
      </c>
      <c r="AZ59" s="387">
        <f t="shared" si="75"/>
        <v>3.4747826802514314</v>
      </c>
      <c r="BA59" s="397">
        <f t="shared" si="27"/>
        <v>-2.7507527533926934E-2</v>
      </c>
      <c r="BB59" s="387">
        <f t="shared" si="76"/>
        <v>11.744765203342908</v>
      </c>
      <c r="BC59" s="397">
        <f t="shared" si="28"/>
        <v>-1.3083718633998487E-2</v>
      </c>
      <c r="BD59" s="532">
        <f t="shared" si="54"/>
        <v>1.79</v>
      </c>
      <c r="BE59" s="532">
        <f t="shared" si="55"/>
        <v>2.0499999999999998</v>
      </c>
      <c r="BF59" s="383">
        <f t="shared" si="46"/>
        <v>15.134038441682934</v>
      </c>
      <c r="BG59" s="532">
        <f t="shared" si="56"/>
        <v>5.28</v>
      </c>
      <c r="BH59" s="532">
        <f t="shared" si="57"/>
        <v>0.13</v>
      </c>
      <c r="BI59" s="532">
        <f t="shared" si="58"/>
        <v>0.33</v>
      </c>
      <c r="BJ59" s="532">
        <f t="shared" si="59"/>
        <v>0.25</v>
      </c>
      <c r="BK59" s="383">
        <f t="shared" si="35"/>
        <v>4.7431673039197575</v>
      </c>
      <c r="BL59" s="383">
        <f t="shared" si="1"/>
        <v>29.707205745602693</v>
      </c>
    </row>
    <row r="60" spans="1:70">
      <c r="A60" s="449">
        <v>2036</v>
      </c>
      <c r="B60" s="142"/>
      <c r="C60" s="142"/>
      <c r="D60" s="142"/>
      <c r="E60" s="142" t="s">
        <v>367</v>
      </c>
      <c r="F60" s="142"/>
      <c r="G60" s="142"/>
      <c r="H60" s="142"/>
      <c r="I60" s="142"/>
      <c r="J60" s="142"/>
      <c r="K60" s="142"/>
      <c r="L60" s="142"/>
      <c r="M60" s="142"/>
      <c r="N60" s="142"/>
      <c r="O60" s="142"/>
      <c r="P60" s="142"/>
      <c r="Q60" s="142"/>
      <c r="R60" s="142"/>
      <c r="S60" s="142"/>
      <c r="T60" s="142"/>
      <c r="U60"/>
      <c r="AB60" s="522"/>
      <c r="AC60" s="224"/>
      <c r="AD60" s="224"/>
      <c r="AE60" s="228"/>
      <c r="AF60" s="536"/>
      <c r="AG60" s="4"/>
      <c r="AH60" s="4"/>
      <c r="AI60" s="4"/>
      <c r="AJ60" s="6"/>
      <c r="AK60" s="6"/>
      <c r="AL60" s="6"/>
      <c r="AS60" s="309"/>
      <c r="AT60" s="4"/>
      <c r="AU60" s="392"/>
      <c r="AV60" s="4"/>
      <c r="AW60" s="392"/>
      <c r="AX60" s="6"/>
      <c r="AY60" s="6"/>
      <c r="AZ60" s="387"/>
      <c r="BA60" s="397"/>
      <c r="BB60" s="387"/>
      <c r="BC60" s="397"/>
    </row>
    <row r="61" spans="1:70">
      <c r="A61" s="2" t="s">
        <v>380</v>
      </c>
      <c r="B61" s="234"/>
      <c r="C61" s="234"/>
      <c r="D61" s="234"/>
      <c r="E61" s="142"/>
      <c r="F61" s="142"/>
      <c r="G61" s="142"/>
      <c r="H61" s="142"/>
      <c r="I61" s="142"/>
      <c r="J61" s="234">
        <f>(J59/J37)^(1/($A59-$A37))-1</f>
        <v>2.75879015739533E-3</v>
      </c>
      <c r="K61" s="234">
        <f>(K59/K37)^(1/($A59-$A37))-1</f>
        <v>2.5951184535191185E-3</v>
      </c>
      <c r="L61" s="234"/>
      <c r="M61" s="234"/>
      <c r="N61" s="234"/>
      <c r="O61" s="234">
        <f>(O59/O37)^(1/($A59-$A37))-1</f>
        <v>1.7102387643468386E-3</v>
      </c>
      <c r="P61" s="234">
        <f>(P59/P37)^(1/($A59-$A37))-1</f>
        <v>1.7102387643468386E-3</v>
      </c>
      <c r="Q61" s="234">
        <f>(Q59/Q37)^(1/($A59-$A37))-1</f>
        <v>4.3834220180871686E-3</v>
      </c>
      <c r="R61" s="234"/>
      <c r="S61" s="234"/>
      <c r="T61" s="234">
        <f>(T35/T4)^(1/($A35-$A4))-1</f>
        <v>3.5189111408624907E-2</v>
      </c>
      <c r="V61" s="427"/>
      <c r="Z61" s="234"/>
      <c r="AB61" s="234">
        <f>(AB59/AB37)^(1/($A59-$A37))-1</f>
        <v>-2.7507527533926934E-2</v>
      </c>
      <c r="AC61" s="234">
        <f>(AC59/AC37)^(1/($A59-$A37))-1</f>
        <v>-1.3083718633998487E-2</v>
      </c>
      <c r="AD61" s="234">
        <f>(AD59/AD37)^(1/($A59-$A37))-1</f>
        <v>2.0000000000000018E-2</v>
      </c>
      <c r="AE61" s="234">
        <f>(AE44/AE37)^(1/($A44-$A36))-1</f>
        <v>6.5935911050706286E-2</v>
      </c>
      <c r="AF61" s="309">
        <f>CB7</f>
        <v>0</v>
      </c>
      <c r="AG61" s="234">
        <f>(AG59/AG37)^(1/($A59-$A37))-1</f>
        <v>-5.8002454618621635E-2</v>
      </c>
      <c r="AH61" s="234">
        <f>(AH59/AH37)^(1/($A59-$A37))-1</f>
        <v>-5.3528118859486384E-2</v>
      </c>
      <c r="AI61" s="234">
        <f>(AI59/AI37)^(1/($A59-$A37))-1</f>
        <v>-6.2091099299400265E-2</v>
      </c>
      <c r="AJ61" s="234"/>
      <c r="AK61" s="234"/>
      <c r="AL61" s="234"/>
      <c r="AM61" s="234">
        <f>(AM59/AM37)^(1/($A59-$A37))-1</f>
        <v>-1</v>
      </c>
      <c r="AN61" s="234"/>
      <c r="AO61" s="234">
        <f>(AO59/AO37)^(1/($A59-$A37))-1</f>
        <v>-1</v>
      </c>
      <c r="AP61" s="234"/>
      <c r="AQ61" s="234">
        <f>Sensitivitätsanalyse!$B$40</f>
        <v>0.01</v>
      </c>
      <c r="AR61" s="234">
        <f>Sensitivitätsanalyse!$C$40</f>
        <v>0</v>
      </c>
      <c r="AS61" s="234"/>
      <c r="AT61" s="234">
        <f>(AT59/AT37)^(1/($A59-$A37))-1</f>
        <v>-1.7678873794532146E-3</v>
      </c>
      <c r="AU61" s="234">
        <f>(AU59/AU37)^(1/($A59-$A37))-1</f>
        <v>-1</v>
      </c>
      <c r="AV61" s="234">
        <f>(AV59/AV37)^(1/($A59-$A37))-1</f>
        <v>-2.7051460341609435E-3</v>
      </c>
      <c r="AW61" s="234">
        <f>(AW59/AW37)^(1/($A59-$A37))-1</f>
        <v>-1</v>
      </c>
      <c r="AX61" s="234"/>
      <c r="AY61" s="234"/>
      <c r="AZ61" s="234">
        <f>(AZ59/AZ37)^(1/($A59-$A37))-1</f>
        <v>-2.8739731600324725E-2</v>
      </c>
      <c r="BA61" s="234"/>
      <c r="BB61" s="234"/>
      <c r="BC61" s="234"/>
      <c r="BD61" s="538">
        <v>0</v>
      </c>
      <c r="BE61" s="538">
        <v>0</v>
      </c>
      <c r="BF61" s="234">
        <f>($BQ$61)</f>
        <v>1.5603937954639435E-2</v>
      </c>
      <c r="BG61" s="538">
        <v>0</v>
      </c>
      <c r="BH61" s="538">
        <v>0</v>
      </c>
      <c r="BI61" s="538">
        <v>0</v>
      </c>
      <c r="BJ61" s="538">
        <v>0</v>
      </c>
      <c r="BK61" s="234"/>
      <c r="BL61" s="234">
        <f>(BL59/BL37)^(1/($A59-$A37))-1</f>
        <v>5.7824963869299584E-3</v>
      </c>
      <c r="BM61" s="234"/>
      <c r="BN61" s="234">
        <f>(BN37/BN27)^(1/($A37-$A27))-1</f>
        <v>3.2824788657305204E-2</v>
      </c>
      <c r="BO61" s="234">
        <f>(BO37/BO32)^(1/($A37-$A32))-1</f>
        <v>1.68098904147993E-2</v>
      </c>
      <c r="BP61" s="234">
        <f>(BP37/BP36)^(1/($A37-$A36))-1</f>
        <v>-2.8228652081861982E-3</v>
      </c>
      <c r="BQ61" s="537">
        <f>AVERAGE(BM61:BP61)</f>
        <v>1.5603937954639435E-2</v>
      </c>
      <c r="BR61" s="2"/>
    </row>
    <row r="62" spans="1:70">
      <c r="A62" s="2" t="s">
        <v>379</v>
      </c>
      <c r="B62" s="424"/>
      <c r="C62" s="424"/>
      <c r="D62" s="424"/>
      <c r="E62" s="519">
        <f ca="1">AVERAGE(OFFSET($A$30,MATCH(Sensitivitätsanalyse!$B$25,$A$31:$A$61,0),E3,Sensitivitätsanalyse!$B$30))</f>
        <v>1.3763865999400142</v>
      </c>
      <c r="F62" s="519">
        <f ca="1">AVERAGE(OFFSET($A$30,MATCH(Sensitivitätsanalyse!$B$25,$A$31:$A$61,0),F3,Sensitivitätsanalyse!$B$30))</f>
        <v>0.26151345398860265</v>
      </c>
      <c r="G62" s="519">
        <f ca="1">AVERAGE(OFFSET($A$30,MATCH(Sensitivitätsanalyse!$B$25,$A$31:$A$61,0),G3,Sensitivitätsanalyse!$B$30))</f>
        <v>0.65960000000000008</v>
      </c>
      <c r="H62" s="519">
        <f ca="1">AVERAGE(OFFSET($A$30,MATCH(Sensitivitätsanalyse!$B$25,$A$31:$A$61,0),H3,Sensitivitätsanalyse!$B$30))</f>
        <v>0.71678659994001415</v>
      </c>
      <c r="I62" s="519">
        <f ca="1">AVERAGE(OFFSET($A$30,MATCH(Sensitivitätsanalyse!$B$25,$A$31:$A$61,0),I3,Sensitivitätsanalyse!$B$30))</f>
        <v>0.92111345398860267</v>
      </c>
      <c r="J62" s="519">
        <f ca="1">AVERAGE(OFFSET($A$30,MATCH(Sensitivitätsanalyse!$B$25,$A$31:$A$61,0),J3,Sensitivitätsanalyse!$B$30))</f>
        <v>1.6352287014002274</v>
      </c>
      <c r="K62" s="519">
        <f ca="1">AVERAGE(OFFSET($A$30,MATCH(Sensitivitätsanalyse!$B$25,$A$31:$A$61,0),K3,Sensitivitätsanalyse!$B$30))</f>
        <v>0.14047769255848286</v>
      </c>
      <c r="L62" s="519">
        <f ca="1">AVERAGE(OFFSET($A$30,MATCH(Sensitivitätsanalyse!$B$25,$A$31:$A$61,0),L3,Sensitivitätsanalyse!$B$30))</f>
        <v>3.5000000000000003E-2</v>
      </c>
      <c r="M62" s="519">
        <f ca="1">AVERAGE(OFFSET($A$30,MATCH(Sensitivitätsanalyse!$B$25,$A$31:$A$61,0),M3,Sensitivitätsanalyse!$B$30))</f>
        <v>1.7899999999999999E-2</v>
      </c>
      <c r="N62" s="519">
        <f ca="1">AVERAGE(OFFSET($A$30,MATCH(Sensitivitätsanalyse!$B$25,$A$31:$A$61,0),N3,Sensitivitätsanalyse!$B$30))</f>
        <v>2.0500000000000001E-2</v>
      </c>
      <c r="O62" s="519">
        <f ca="1">AVERAGE(OFFSET($A$30,MATCH(Sensitivitätsanalyse!$B$25,$A$31:$A$61,0),O3,Sensitivitätsanalyse!$B$30))</f>
        <v>0.21387769255848285</v>
      </c>
      <c r="P62" s="519">
        <f ca="1">AVERAGE(OFFSET($A$30,MATCH(Sensitivitätsanalyse!$B$25,$A$31:$A$61,0),P3,Sensitivitätsanalyse!$B$30))</f>
        <v>0.25451445414459456</v>
      </c>
      <c r="Q62" s="424">
        <f ca="1">AVERAGE(OFFSET($A$30,MATCH(Sensitivitätsanalyse!$B$25,$A$31:$A$61,0),Q3,Sensitivitätsanalyse!$B$30))</f>
        <v>116.52031014996679</v>
      </c>
      <c r="R62" s="424"/>
      <c r="S62" s="424"/>
      <c r="T62" s="424">
        <f ca="1">AVERAGE(OFFSET($A$30,MATCH(Sensitivitätsanalyse!$B$25,$A$31:$A$61,0),T3,Sensitivitätsanalyse!$B$30))</f>
        <v>116.52031014996679</v>
      </c>
      <c r="U62"/>
      <c r="AB62" s="523">
        <f ca="1">AVERAGE(OFFSET($A$30,MATCH(Sensitivitätsanalyse!$B$25,$A$31:$A$61,0),AB3,Sensitivitätsanalyse!$B$30))</f>
        <v>5.9929194482207038</v>
      </c>
      <c r="AC62" s="246">
        <f ca="1">AVERAGE(OFFSET($A$30,MATCH(Sensitivitätsanalyse!$B$25,$A$31:$A$61,0),AC3,Sensitivitätsanalyse!$B$30))</f>
        <v>17.465696570559057</v>
      </c>
      <c r="AD62" s="246">
        <f ca="1">AVERAGE(OFFSET($A$30,MATCH(Sensitivitätsanalyse!$B$25,$A$31:$A$61,0),AD3,Sensitivitätsanalyse!$B$30))</f>
        <v>27.860867587466668</v>
      </c>
      <c r="AE62" s="246">
        <f ca="1">AVERAGE(OFFSET($A$30,MATCH(Sensitivitätsanalyse!$B$25,$A$31:$A$61,0),AE3,Sensitivitätsanalyse!$B$30))</f>
        <v>0.14160808191355209</v>
      </c>
      <c r="AF62" s="246"/>
      <c r="AG62" s="246"/>
      <c r="AH62" s="246">
        <f ca="1">AVERAGE(OFFSET($A$30,MATCH(Sensitivitätsanalyse!$B$25,$A$31:$A$61,0),AH3,Sensitivitätsanalyse!$B$30))</f>
        <v>271.94145170831877</v>
      </c>
      <c r="AI62" s="246">
        <f ca="1">AVERAGE(OFFSET($A$30,MATCH(Sensitivitätsanalyse!$B$25,$A$31:$A$61,0),AI3,Sensitivitätsanalyse!$B$30))</f>
        <v>619.01353081147181</v>
      </c>
      <c r="AJ62" s="428">
        <f ca="1">AVERAGE(OFFSET($A$30,MATCH(Sensitivitätsanalyse!$B$25,$A$31:$A$61,0),AJ3,Sensitivitätsanalyse!$B$30))</f>
        <v>-7.8186658136260911E-2</v>
      </c>
      <c r="AK62" s="428">
        <f ca="1">AVERAGE(OFFSET($A$30,MATCH(Sensitivitätsanalyse!$B$25,$A$31:$A$61,0),AK3,Sensitivitätsanalyse!$B$30))</f>
        <v>-0.11453981355885984</v>
      </c>
      <c r="AL62" s="428">
        <f ca="1">AVERAGE(OFFSET($A$30,MATCH(Sensitivitätsanalyse!$B$25,$A$31:$A$61,0),AL3,Sensitivitätsanalyse!$B$30))</f>
        <v>-5.1335262512050506E-2</v>
      </c>
      <c r="AM62" s="246"/>
      <c r="AN62" s="246"/>
      <c r="AO62" s="246"/>
      <c r="AP62" s="246"/>
      <c r="AQ62" s="521"/>
      <c r="AR62" s="521"/>
      <c r="AS62" s="429">
        <f ca="1">AVERAGE(OFFSET($A$30,MATCH(Sensitivitätsanalyse!$B$25,$A$31:$A$61,0),AS3,Sensitivitätsanalyse!$B$30))</f>
        <v>1.3636363636363634E-2</v>
      </c>
      <c r="AT62" s="521">
        <f ca="1">AVERAGE(OFFSET($A$30,MATCH(Sensitivitätsanalyse!$B$25,$A$31:$A$61,0),AT3,Sensitivitätsanalyse!$B$30))</f>
        <v>369.6978900020415</v>
      </c>
      <c r="AU62" s="521">
        <f ca="1">AVERAGE(OFFSET($A$30,MATCH(Sensitivitätsanalyse!$B$25,$A$31:$A$61,0),AU3,Sensitivitätsanalyse!$B$30))</f>
        <v>369.6978900020415</v>
      </c>
      <c r="AV62" s="521">
        <f ca="1">AVERAGE(OFFSET($A$30,MATCH(Sensitivitätsanalyse!$B$25,$A$31:$A$61,0),AV3,Sensitivitätsanalyse!$B$30))</f>
        <v>249.79595338755863</v>
      </c>
      <c r="AW62" s="521">
        <f ca="1">AVERAGE(OFFSET($A$30,MATCH(Sensitivitätsanalyse!$B$25,$A$31:$A$61,0),AW3,Sensitivitätsanalyse!$B$30))</f>
        <v>249.79595338755863</v>
      </c>
      <c r="AX62" s="429">
        <f ca="1">AVERAGE(OFFSET($A$30,MATCH(Sensitivitätsanalyse!$B$25,$A$31:$A$61,0),AX3,Sensitivitätsanalyse!$B$30))</f>
        <v>-1.6203429618545928E-3</v>
      </c>
      <c r="AY62" s="429">
        <f ca="1">AVERAGE(OFFSET($A$30,MATCH(Sensitivitätsanalyse!$B$25,$A$31:$A$61,0),AY3,Sensitivitätsanalyse!$B$30))</f>
        <v>-2.7906197712858627E-3</v>
      </c>
      <c r="AZ62" s="528">
        <f ca="1">AVERAGE(OFFSET($A$30,MATCH(Sensitivitätsanalyse!$B$25,$A$31:$A$61,0),AZ3,Sensitivitätsanalyse!$B$30))</f>
        <v>6.1624327363930078</v>
      </c>
      <c r="BA62" s="429">
        <f ca="1">AVERAGE(OFFSET($A$30,MATCH(Sensitivitätsanalyse!$B$25,$A$31:$A$61,0),BA3,Sensitivitätsanalyse!$B$30))</f>
        <v>-2.7507527533926934E-2</v>
      </c>
      <c r="BB62" s="528">
        <f ca="1">AVERAGE(OFFSET($A$30,MATCH(Sensitivitätsanalyse!$B$25,$A$31:$A$61,0),BB3,Sensitivitätsanalyse!$B$30))</f>
        <v>15.388906356117138</v>
      </c>
      <c r="BC62" s="429">
        <f ca="1">AVERAGE(OFFSET($A$30,MATCH(Sensitivitätsanalyse!$B$25,$A$31:$A$61,0),BC3,Sensitivitätsanalyse!$B$30))</f>
        <v>-1.3083718633998487E-2</v>
      </c>
      <c r="BD62" s="225">
        <f ca="1">AVERAGE(OFFSET($A$30,MATCH(Sensitivitätsanalyse!$B$25,$A$31:$A$61,0),BD3,Sensitivitätsanalyse!$B$30))</f>
        <v>1.7899999999999998</v>
      </c>
      <c r="BE62" s="225">
        <f ca="1">AVERAGE(OFFSET($A$30,MATCH(Sensitivitätsanalyse!$B$25,$A$31:$A$61,0),BE3,Sensitivitätsanalyse!$B$30))</f>
        <v>2.0500000000000003</v>
      </c>
      <c r="BF62" s="225">
        <f ca="1">AVERAGE(OFFSET($A$30,MATCH(Sensitivitätsanalyse!$B$25,$A$31:$A$61,0),BF3,Sensitivitätsanalyse!$B$30))</f>
        <v>12.56183954184622</v>
      </c>
      <c r="BG62" s="225">
        <f ca="1">AVERAGE(OFFSET($A$30,MATCH(Sensitivitätsanalyse!$B$25,$A$31:$A$61,0),BG3,Sensitivitätsanalyse!$B$30))</f>
        <v>5.28</v>
      </c>
      <c r="BH62" s="225">
        <f ca="1">AVERAGE(OFFSET($A$30,MATCH(Sensitivitätsanalyse!$B$25,$A$31:$A$61,0),BH3,Sensitivitätsanalyse!$B$30))</f>
        <v>0.13</v>
      </c>
      <c r="BI62" s="225">
        <f ca="1">AVERAGE(OFFSET($A$30,MATCH(Sensitivitätsanalyse!$B$25,$A$31:$A$61,0),BI3,Sensitivitätsanalyse!$B$30))</f>
        <v>0.33</v>
      </c>
      <c r="BJ62" s="225">
        <f ca="1">AVERAGE(OFFSET($A$30,MATCH(Sensitivitätsanalyse!$B$25,$A$31:$A$61,0),BJ3,Sensitivitätsanalyse!$B$30))</f>
        <v>0.25</v>
      </c>
      <c r="BK62" s="225">
        <f ca="1">AVERAGE(OFFSET($A$30,MATCH(Sensitivitätsanalyse!$B$25,$A$31:$A$61,0),BK3,Sensitivitätsanalyse!$B$30))</f>
        <v>4.2544495129507816</v>
      </c>
      <c r="BL62" s="225">
        <f ca="1">AVERAGE(OFFSET($A$30,MATCH(Sensitivitätsanalyse!$B$25,$A$31:$A$61,0),BL3,Sensitivitätsanalyse!$B$30))</f>
        <v>26.646289054797005</v>
      </c>
      <c r="BR62" s="2"/>
    </row>
    <row r="63" spans="1:70">
      <c r="A63" s="88" t="s">
        <v>382</v>
      </c>
      <c r="B63" s="424"/>
      <c r="C63" s="424"/>
      <c r="D63" s="424"/>
      <c r="E63" s="519">
        <f>INDEX($A$1:$BC$59,MATCH(Sensitivitätsanalyse!$B$25,$A:$A,0),MATCH(E3,$3:$3,0))</f>
        <v>1.3580068194708721</v>
      </c>
      <c r="F63" s="519">
        <f>INDEX($A$1:$BC$59,MATCH(Sensitivitätsanalyse!$B$25,$A:$A,0),MATCH(F3,$3:$3,0))</f>
        <v>0.25802129569946569</v>
      </c>
      <c r="G63" s="519">
        <f>INDEX($A$1:$BC$59,MATCH(Sensitivitätsanalyse!$B$25,$A:$A,0),MATCH(G3,$3:$3,0))</f>
        <v>0.65959999999999996</v>
      </c>
      <c r="H63" s="519">
        <f>INDEX($A$1:$BC$59,MATCH(Sensitivitätsanalyse!$B$25,$A:$A,0),MATCH(H3,$3:$3,0))</f>
        <v>0.69840681947087224</v>
      </c>
      <c r="I63" s="519">
        <f>INDEX($A$1:$BC$59,MATCH(Sensitivitätsanalyse!$B$25,$A:$A,0),MATCH(I3,$3:$3,0))</f>
        <v>0.9176212956994656</v>
      </c>
      <c r="J63" s="581">
        <f>INDEX($A$1:$BP$59,MATCH(Sensitivitätsanalyse!$B$25,$A:$A,0),MATCH(J$3,$3:$3,0))</f>
        <v>1.6</v>
      </c>
      <c r="K63" s="581">
        <f>INDEX($A$1:$BP$59,MATCH(Sensitivitätsanalyse!$B$25,$A:$A,0),MATCH(K$3,$3:$3,0))</f>
        <v>0.13806024345246615</v>
      </c>
      <c r="L63" s="581">
        <f>INDEX($A$1:$BP$59,MATCH(Sensitivitätsanalyse!$B$25,$A:$A,0),MATCH(L$3,$3:$3,0))</f>
        <v>3.5000000000000003E-2</v>
      </c>
      <c r="M63" s="581">
        <f>INDEX($A$1:$BP$59,MATCH(Sensitivitätsanalyse!$B$25,$A:$A,0),MATCH(M$3,$3:$3,0))</f>
        <v>1.7899999999999999E-2</v>
      </c>
      <c r="N63" s="581">
        <f>INDEX($A$1:$BP$59,MATCH(Sensitivitätsanalyse!$B$25,$A:$A,0),MATCH(N$3,$3:$3,0))</f>
        <v>2.0500000000000001E-2</v>
      </c>
      <c r="O63" s="581">
        <f>INDEX($A$1:$BP$59,MATCH(Sensitivitätsanalyse!$B$25,$A:$A,0),MATCH(O$3,$3:$3,0))</f>
        <v>0.21146024345246614</v>
      </c>
      <c r="P63" s="225">
        <f>INDEX($A$1:$BP$59,MATCH(Sensitivitätsanalyse!$B$25,$A:$A,0),MATCH(P$3,$3:$3,0))</f>
        <v>0.2516376897084347</v>
      </c>
      <c r="Q63" s="225">
        <f>INDEX($A$1:$BP$59,MATCH(Sensitivitätsanalyse!$B$25,$A:$A,0),MATCH(Q$3,$3:$3,0))</f>
        <v>113.53250635880779</v>
      </c>
      <c r="R63" s="225">
        <f>INDEX($A$1:$BP$59,MATCH(Sensitivitätsanalyse!$B$25,$A:$A,0),MATCH(R$3,$3:$3,0))</f>
        <v>1584</v>
      </c>
      <c r="S63" s="225">
        <f>INDEX($A$1:$BP$59,MATCH(Sensitivitätsanalyse!$B$25,$A:$A,0),MATCH(S$3,$3:$3,0))</f>
        <v>717.72556274999999</v>
      </c>
      <c r="T63" s="225">
        <f>INDEX($A$1:$BP$59,MATCH(Sensitivitätsanalyse!$B$25,$A:$A,0),MATCH(T$3,$3:$3,0))</f>
        <v>113.53250635880779</v>
      </c>
      <c r="U63" s="225">
        <f>INDEX($A$1:$BP$59,MATCH(Sensitivitätsanalyse!$B$25,$A:$A,0),MATCH(U$3,$3:$3,0))</f>
        <v>87.934840032840839</v>
      </c>
      <c r="V63" s="225">
        <f>INDEX($A$1:$BP$59,MATCH(Sensitivitätsanalyse!$B$25,$A:$A,0),MATCH(V$3,$3:$3,0))</f>
        <v>105.07319173606334</v>
      </c>
      <c r="W63" s="225">
        <f>INDEX($A$1:$BP$59,MATCH(Sensitivitätsanalyse!$B$25,$A:$A,0),MATCH(W$3,$3:$3,0))</f>
        <v>113.53250635880779</v>
      </c>
      <c r="X63" s="225">
        <f>INDEX($A$1:$BP$59,MATCH(Sensitivitätsanalyse!$B$25,$A:$A,0),MATCH(X$3,$3:$3,0))</f>
        <v>120.34390254855006</v>
      </c>
      <c r="Y63" s="225">
        <f>INDEX($A$1:$BP$59,MATCH(Sensitivitätsanalyse!$B$25,$A:$A,0),MATCH(Y$3,$3:$3,0))</f>
        <v>139.13017268477475</v>
      </c>
      <c r="Z63" s="216">
        <f>INDEX($A$1:$BP$59,MATCH(Sensitivitätsanalyse!$B$25,$A:$A,0),MATCH(Z$3,$3:$3,0))</f>
        <v>0.25</v>
      </c>
      <c r="AA63" s="225"/>
      <c r="AB63" s="225">
        <f>INDEX($A$1:$BP$59,MATCH(Sensitivitätsanalyse!$B$25,$A:$A,0),MATCH(AB$3,$3:$3,0))</f>
        <v>6.4184503182760819</v>
      </c>
      <c r="AC63" s="225">
        <f>INDEX($A$1:$BP$59,MATCH(Sensitivitätsanalyse!$B$25,$A:$A,0),MATCH(AC$3,$3:$3,0))</f>
        <v>18.045764204777338</v>
      </c>
      <c r="AD63" s="225">
        <f>INDEX($A$1:$BP$59,MATCH(Sensitivitätsanalyse!$B$25,$A:$A,0),MATCH(AD$3,$3:$3,0))</f>
        <v>26.5</v>
      </c>
      <c r="AE63" s="225">
        <f>INDEX($A$1:$BP$59,MATCH(Sensitivitätsanalyse!$B$25,$A:$A,0),MATCH(AE$3,$3:$3,0))</f>
        <v>0.12</v>
      </c>
      <c r="AF63" s="225">
        <f>INDEX($A$1:$BP$59,MATCH(Sensitivitätsanalyse!$B$25,$A:$A,0),MATCH(AF$3,$3:$3,0))</f>
        <v>100</v>
      </c>
      <c r="AG63" s="225">
        <f>INDEX($A$1:$BP$59,MATCH(Sensitivitätsanalyse!$B$25,$A:$A,0),MATCH(AG$3,$3:$3,0))</f>
        <v>494.99794917982501</v>
      </c>
      <c r="AH63" s="225">
        <f>INDEX($A$1:$BP$59,MATCH(Sensitivitätsanalyse!$B$25,$A:$A,0),MATCH(AH$3,$3:$3,0))</f>
        <v>364.96674635393447</v>
      </c>
      <c r="AI63" s="225">
        <f>INDEX($A$1:$BP$59,MATCH(Sensitivitätsanalyse!$B$25,$A:$A,0),MATCH(AI$3,$3:$3,0))</f>
        <v>666.33164287343004</v>
      </c>
      <c r="AJ63" s="225">
        <f>INDEX($A$1:$BP$59,MATCH(Sensitivitätsanalyse!$B$25,$A:$A,0),MATCH(AJ$3,$3:$3,0))</f>
        <v>-3.9148217327307444E-2</v>
      </c>
      <c r="AK63" s="225">
        <f>INDEX($A$1:$BP$59,MATCH(Sensitivitätsanalyse!$B$25,$A:$A,0),MATCH(AK$3,$3:$3,0))</f>
        <v>-0.1319600785651539</v>
      </c>
      <c r="AL63" s="225">
        <f>INDEX($A$1:$BP$59,MATCH(Sensitivitätsanalyse!$B$25,$A:$A,0),MATCH(AL$3,$3:$3,0))</f>
        <v>6.0926782065481966E-2</v>
      </c>
      <c r="AM63" s="225">
        <f>INDEX($A$1:$BP$59,MATCH(Sensitivitätsanalyse!$B$25,$A:$A,0),MATCH(AM$3,$3:$3,0))</f>
        <v>2000</v>
      </c>
      <c r="AN63" s="225">
        <f>INDEX($A$1:$BP$59,MATCH(Sensitivitätsanalyse!$B$25,$A:$A,0),MATCH(AN$3,$3:$3,0))</f>
        <v>-0.5</v>
      </c>
      <c r="AO63" s="225">
        <f>INDEX($A$1:$BP$59,MATCH(Sensitivitätsanalyse!$B$25,$A:$A,0),MATCH(AO$3,$3:$3,0))</f>
        <v>2000</v>
      </c>
      <c r="AP63" s="225">
        <f>INDEX($A$1:$BP$59,MATCH(Sensitivitätsanalyse!$B$25,$A:$A,0),MATCH(AP$3,$3:$3,0))</f>
        <v>-0.5</v>
      </c>
      <c r="AQ63" s="582">
        <f>INDEX($A$1:$BP$59,MATCH(Sensitivitätsanalyse!$B$25,$A:$A,0),MATCH(AQ$3,$3:$3,0))</f>
        <v>21525</v>
      </c>
      <c r="AR63" s="582">
        <f>INDEX($A$1:$BP$59,MATCH(Sensitivitätsanalyse!$B$25,$A:$A,0),MATCH(AR$3,$3:$3,0))</f>
        <v>34642.445653265364</v>
      </c>
      <c r="AS63" s="225">
        <f>INDEX($A$1:$BP$59,MATCH(Sensitivitätsanalyse!$B$25,$A:$A,0),MATCH(AS$3,$3:$3,0))</f>
        <v>0</v>
      </c>
      <c r="AT63" s="225">
        <f>INDEX($A$1:$BP$59,MATCH(Sensitivitätsanalyse!$B$25,$A:$A,0),MATCH(AT$3,$3:$3,0))</f>
        <v>371.19709363729595</v>
      </c>
      <c r="AU63" s="225">
        <f>INDEX($A$1:$BP$59,MATCH(Sensitivitätsanalyse!$B$25,$A:$A,0),MATCH(AU$3,$3:$3,0))</f>
        <v>371.19709363729595</v>
      </c>
      <c r="AV63" s="225">
        <f>INDEX($A$1:$BP$59,MATCH(Sensitivitätsanalyse!$B$25,$A:$A,0),MATCH(AV$3,$3:$3,0))</f>
        <v>251.59238486218229</v>
      </c>
      <c r="AW63" s="225">
        <f>INDEX($A$1:$BP$59,MATCH(Sensitivitätsanalyse!$B$25,$A:$A,0),MATCH(AW$3,$3:$3,0))</f>
        <v>251.59238486218229</v>
      </c>
      <c r="AX63" s="225">
        <f>INDEX($A$1:$BP$59,MATCH(Sensitivitätsanalyse!$B$25,$A:$A,0),MATCH(AX$3,$3:$3,0))</f>
        <v>-1.6137792567536557E-3</v>
      </c>
      <c r="AY63" s="225">
        <f>INDEX($A$1:$BP$59,MATCH(Sensitivitätsanalyse!$B$25,$A:$A,0),MATCH(AY$3,$3:$3,0))</f>
        <v>-3.1696358954262926E-3</v>
      </c>
      <c r="AZ63" s="225">
        <f>INDEX($A$1:$BP$59,MATCH(Sensitivitätsanalyse!$B$25,$A:$A,0),MATCH(AZ$3,$3:$3,0))</f>
        <v>6.6</v>
      </c>
      <c r="BA63" s="225">
        <f>INDEX($A$1:$BP$59,MATCH(Sensitivitätsanalyse!$B$25,$A:$A,0),MATCH(BA$3,$3:$3,0))</f>
        <v>-2.7507527533926934E-2</v>
      </c>
      <c r="BB63" s="225">
        <f>INDEX($A$1:$BP$59,MATCH(Sensitivitätsanalyse!$B$25,$A:$A,0),MATCH(BB$3,$3:$3,0))</f>
        <v>15.9</v>
      </c>
      <c r="BC63" s="225">
        <f>INDEX($A$1:$BP$59,MATCH(Sensitivitätsanalyse!$B$25,$A:$A,0),MATCH(BC$3,$3:$3,0))</f>
        <v>-1.3083718633998487E-2</v>
      </c>
      <c r="BD63" s="225">
        <f>INDEX($A$1:$BP$59,MATCH(Sensitivitätsanalyse!$B$25,$A:$A,0),MATCH(BD$3,$3:$3,0))</f>
        <v>1.79</v>
      </c>
      <c r="BE63" s="225">
        <f>INDEX($A$1:$BP$59,MATCH(Sensitivitätsanalyse!$B$25,$A:$A,0),MATCH(BE$3,$3:$3,0))</f>
        <v>2.0499999999999998</v>
      </c>
      <c r="BF63" s="225">
        <f>INDEX($A$1:$BP$59,MATCH(Sensitivitätsanalyse!$B$25,$A:$A,0),MATCH(BF$3,$3:$3,0))</f>
        <v>12.16</v>
      </c>
      <c r="BG63" s="225">
        <f>INDEX($A$1:$BP$59,MATCH(Sensitivitätsanalyse!$B$25,$A:$A,0),MATCH(BG$3,$3:$3,0))</f>
        <v>5.28</v>
      </c>
      <c r="BH63" s="225">
        <f>INDEX($A$1:$BP$59,MATCH(Sensitivitätsanalyse!$B$25,$A:$A,0),MATCH(BH$3,$3:$3,0))</f>
        <v>0.13</v>
      </c>
      <c r="BI63" s="225">
        <f>INDEX($A$1:$BP$59,MATCH(Sensitivitätsanalyse!$B$25,$A:$A,0),MATCH(BI$3,$3:$3,0))</f>
        <v>0.33</v>
      </c>
      <c r="BJ63" s="225">
        <f>INDEX($A$1:$BP$59,MATCH(Sensitivitätsanalyse!$B$25,$A:$A,0),MATCH(BJ$3,$3:$3,0))</f>
        <v>0.25</v>
      </c>
      <c r="BK63" s="225">
        <f>INDEX($A$1:$BP$59,MATCH(Sensitivitätsanalyse!$B$25,$A:$A,0),MATCH(BK$3,$3:$3,0))</f>
        <v>4.1780999999999997</v>
      </c>
      <c r="BL63" s="225">
        <f>INDEX($A$1:$BP$59,MATCH(Sensitivitätsanalyse!$B$25,$A:$A,0),MATCH(BL$3,$3:$3,0))</f>
        <v>26.168099999999999</v>
      </c>
      <c r="BR63" s="88"/>
    </row>
    <row r="64" spans="1:70">
      <c r="A64" s="236" t="s">
        <v>383</v>
      </c>
      <c r="B64" s="142"/>
      <c r="C64" s="142"/>
      <c r="D64" s="142"/>
      <c r="E64" s="142"/>
      <c r="F64" s="142"/>
      <c r="G64" s="142"/>
      <c r="H64" s="142"/>
      <c r="I64" s="142"/>
      <c r="J64" s="142"/>
      <c r="K64" s="142"/>
      <c r="L64" s="142"/>
      <c r="M64" s="142"/>
      <c r="N64" s="142"/>
      <c r="O64" s="142"/>
      <c r="P64" s="142"/>
      <c r="Q64" s="142"/>
      <c r="R64" s="142"/>
      <c r="S64" s="142"/>
      <c r="T64" s="142">
        <v>107.6</v>
      </c>
      <c r="U64"/>
      <c r="AZ64" s="6">
        <f>AZ63/'NR Kraftstoffpreisprognosen'!AZ36</f>
        <v>1</v>
      </c>
      <c r="BB64" s="6">
        <f>BB63/'NR Kraftstoffpreisprognosen'!BB36</f>
        <v>1</v>
      </c>
    </row>
    <row r="65" spans="1:43">
      <c r="A65" s="142"/>
      <c r="B65" s="142"/>
      <c r="C65" s="142"/>
      <c r="D65" s="142"/>
      <c r="E65" s="142"/>
      <c r="F65" s="142"/>
      <c r="G65" s="142"/>
      <c r="H65" s="142"/>
      <c r="I65" s="142"/>
      <c r="L65" s="142"/>
      <c r="M65" s="142"/>
      <c r="N65" s="142"/>
      <c r="O65" s="142"/>
      <c r="Q65" s="142"/>
      <c r="R65" s="142"/>
      <c r="S65" s="142"/>
      <c r="AQ65" s="171"/>
    </row>
    <row r="66" spans="1:43">
      <c r="A66" s="142"/>
      <c r="B66" s="142"/>
      <c r="C66" s="142"/>
      <c r="D66" s="142"/>
      <c r="E66" s="142"/>
      <c r="F66" s="142"/>
      <c r="G66" s="142"/>
      <c r="H66" s="142"/>
      <c r="I66" s="142"/>
      <c r="L66" s="142"/>
      <c r="M66" s="142"/>
      <c r="N66" s="142"/>
      <c r="O66" s="142"/>
      <c r="Q66" s="451"/>
      <c r="R66" s="145" t="s">
        <v>378</v>
      </c>
      <c r="S66" s="145" t="s">
        <v>377</v>
      </c>
      <c r="T66" s="145" t="s">
        <v>153</v>
      </c>
      <c r="U66" s="237" t="s">
        <v>298</v>
      </c>
      <c r="V66" s="199" t="s">
        <v>99</v>
      </c>
    </row>
    <row r="67" spans="1:43">
      <c r="A67" s="142"/>
      <c r="B67" s="142"/>
      <c r="C67" s="142"/>
      <c r="D67" s="142"/>
      <c r="E67" s="142"/>
      <c r="F67" s="142"/>
      <c r="G67" s="142"/>
      <c r="H67" s="142"/>
      <c r="I67" s="142"/>
      <c r="K67" s="142"/>
      <c r="L67" s="142"/>
      <c r="M67" s="142"/>
      <c r="N67" s="142"/>
      <c r="O67" s="142"/>
      <c r="P67" s="142"/>
      <c r="Q67" s="200" t="s">
        <v>2</v>
      </c>
      <c r="R67" s="144" t="s">
        <v>15</v>
      </c>
      <c r="S67" s="144" t="s">
        <v>9</v>
      </c>
      <c r="T67" s="144"/>
      <c r="U67" s="144" t="s">
        <v>96</v>
      </c>
      <c r="V67" s="201"/>
    </row>
    <row r="68" spans="1:43">
      <c r="A68" s="142"/>
      <c r="Q68" s="200" t="s">
        <v>77</v>
      </c>
      <c r="R68" s="239">
        <v>0.14119999999999999</v>
      </c>
      <c r="S68" s="239">
        <v>1.665</v>
      </c>
      <c r="T68" s="239">
        <v>1.3919999999999999</v>
      </c>
      <c r="U68" s="240">
        <v>1.98</v>
      </c>
      <c r="V68" s="241"/>
    </row>
    <row r="69" spans="1:43">
      <c r="A69" s="142"/>
      <c r="B69"/>
      <c r="C69" s="238">
        <f>AVERAGE(Q36:Q43)</f>
        <v>116.24123354905498</v>
      </c>
      <c r="D69" s="142"/>
      <c r="E69" s="142"/>
      <c r="F69" s="142"/>
      <c r="G69" s="142"/>
      <c r="H69" s="142"/>
      <c r="I69" s="152" t="s">
        <v>368</v>
      </c>
      <c r="J69"/>
      <c r="K69"/>
      <c r="Q69" s="200" t="s">
        <v>76</v>
      </c>
      <c r="R69" s="239">
        <v>0.25409999999999999</v>
      </c>
      <c r="S69" s="239">
        <v>1.6</v>
      </c>
      <c r="T69" s="239">
        <v>1.37</v>
      </c>
      <c r="U69" s="240">
        <v>1.9</v>
      </c>
      <c r="V69" s="241"/>
    </row>
    <row r="70" spans="1:43">
      <c r="A70" s="142"/>
      <c r="B70"/>
      <c r="C70" s="142"/>
      <c r="D70" s="142"/>
      <c r="E70" t="s">
        <v>925</v>
      </c>
      <c r="F70" t="s">
        <v>926</v>
      </c>
      <c r="G70" t="s">
        <v>796</v>
      </c>
      <c r="H70" s="142"/>
      <c r="I70" s="142"/>
      <c r="J70"/>
      <c r="K70"/>
      <c r="Q70" s="200" t="s">
        <v>79</v>
      </c>
      <c r="R70" s="239">
        <v>0.21299999999999999</v>
      </c>
      <c r="S70" s="239">
        <f>U70/Umrechnungswerte!$C$10</f>
        <v>1.6772151898734178</v>
      </c>
      <c r="T70" s="239"/>
      <c r="U70" s="240">
        <v>2.12</v>
      </c>
      <c r="V70" s="242">
        <v>0.5</v>
      </c>
    </row>
    <row r="71" spans="1:43">
      <c r="A71" s="142"/>
      <c r="B71"/>
      <c r="C71" s="142"/>
      <c r="D71" s="142"/>
      <c r="E71" s="383">
        <v>50</v>
      </c>
      <c r="F71" s="383">
        <v>-17.899999999999999</v>
      </c>
      <c r="G71" s="383">
        <f>F71*LN(25)+$T$35</f>
        <v>49.98212273485921</v>
      </c>
      <c r="H71" s="142"/>
      <c r="I71" s="142"/>
      <c r="J71"/>
      <c r="K71"/>
      <c r="Q71" s="200" t="s">
        <v>63</v>
      </c>
      <c r="R71" s="239">
        <v>0.1419</v>
      </c>
      <c r="S71" s="239">
        <v>1.7410000000000001</v>
      </c>
      <c r="T71" s="239">
        <v>1.4510000000000001</v>
      </c>
      <c r="U71" s="240">
        <v>1.92</v>
      </c>
      <c r="V71" s="242">
        <v>0.05</v>
      </c>
    </row>
    <row r="72" spans="1:43">
      <c r="B72"/>
      <c r="C72" s="142"/>
      <c r="D72" s="142"/>
      <c r="E72" s="383">
        <v>100</v>
      </c>
      <c r="F72" s="383">
        <v>-2.2999999999999998</v>
      </c>
      <c r="G72" s="383">
        <f>F72*LN(25)+$T$35</f>
        <v>100.19658560280314</v>
      </c>
      <c r="H72" s="142"/>
      <c r="I72" s="142"/>
      <c r="J72"/>
      <c r="K72"/>
      <c r="Q72" s="200" t="s">
        <v>61</v>
      </c>
      <c r="R72" s="239"/>
      <c r="S72" s="239">
        <f>U72/Umrechnungswerte!$C$10</f>
        <v>0.87816455696202533</v>
      </c>
      <c r="T72" s="239"/>
      <c r="U72" s="240">
        <v>1.1100000000000001</v>
      </c>
      <c r="V72" s="241"/>
    </row>
    <row r="73" spans="1:43">
      <c r="B73"/>
      <c r="C73" s="142"/>
      <c r="D73" s="142"/>
      <c r="E73" s="383">
        <v>125</v>
      </c>
      <c r="F73" s="383">
        <v>5.4</v>
      </c>
      <c r="G73" s="383">
        <f>F73*LN(25)+$T$35</f>
        <v>124.98192945428828</v>
      </c>
      <c r="H73" s="142"/>
      <c r="I73" s="142"/>
      <c r="J73"/>
      <c r="K73"/>
      <c r="Q73" s="200" t="s">
        <v>78</v>
      </c>
      <c r="R73" s="239"/>
      <c r="S73" s="239">
        <f>U73/Umrechnungswerte!$C$10</f>
        <v>0.60126582278481011</v>
      </c>
      <c r="T73" s="239"/>
      <c r="U73" s="240">
        <v>0.76</v>
      </c>
      <c r="V73" s="242">
        <v>0.05</v>
      </c>
    </row>
    <row r="74" spans="1:43">
      <c r="B74" s="142"/>
      <c r="C74" s="142"/>
      <c r="D74" s="142"/>
      <c r="E74" s="383">
        <v>145</v>
      </c>
      <c r="F74" s="383">
        <v>11.6</v>
      </c>
      <c r="G74" s="383">
        <f>F74*LN(25)+$T$35</f>
        <v>144.93895956847112</v>
      </c>
      <c r="H74" s="142"/>
      <c r="I74" s="142"/>
      <c r="J74"/>
      <c r="K74"/>
      <c r="Q74" s="200" t="s">
        <v>60</v>
      </c>
      <c r="R74" s="239"/>
      <c r="S74" s="239">
        <f>U74/Umrechnungswerte!$C$10</f>
        <v>1.2658227848101267</v>
      </c>
      <c r="T74" s="239"/>
      <c r="U74" s="240">
        <v>1.6</v>
      </c>
      <c r="V74" s="242">
        <v>7.0000000000000007E-2</v>
      </c>
    </row>
    <row r="75" spans="1:43">
      <c r="B75" s="142"/>
      <c r="C75" s="142"/>
      <c r="D75" s="142"/>
      <c r="E75" s="383">
        <v>200</v>
      </c>
      <c r="F75" s="383">
        <v>28.7</v>
      </c>
      <c r="G75" s="383">
        <f>F75*LN(25)+$T$35</f>
        <v>199.98173617371737</v>
      </c>
      <c r="H75" s="142"/>
      <c r="I75" s="142"/>
      <c r="J75"/>
      <c r="K75"/>
      <c r="Q75" s="203" t="s">
        <v>293</v>
      </c>
      <c r="R75" s="243"/>
      <c r="S75" s="243"/>
      <c r="T75" s="243"/>
      <c r="U75" s="244"/>
      <c r="V75" s="245"/>
    </row>
    <row r="76" spans="1:43">
      <c r="B76" s="142"/>
      <c r="C76"/>
      <c r="D76"/>
      <c r="E76"/>
      <c r="F76"/>
      <c r="G76"/>
      <c r="H76"/>
      <c r="I76"/>
      <c r="J76"/>
      <c r="K76"/>
      <c r="Q76" s="142"/>
      <c r="R76" s="142"/>
      <c r="S76" s="142"/>
      <c r="T76" s="142"/>
      <c r="U76" s="142"/>
    </row>
    <row r="77" spans="1:43">
      <c r="A77" s="142"/>
      <c r="B77" s="142"/>
      <c r="C77" s="142"/>
      <c r="D77" s="142"/>
      <c r="E77" s="142"/>
      <c r="F77" s="142"/>
      <c r="G77" s="142"/>
      <c r="H77" s="142"/>
      <c r="I77" s="142"/>
      <c r="Q77" s="142"/>
      <c r="R77" s="142"/>
      <c r="S77" s="142"/>
      <c r="T77" s="142"/>
      <c r="U77" s="142"/>
    </row>
    <row r="78" spans="1:43">
      <c r="U78" s="142"/>
    </row>
    <row r="79" spans="1:43">
      <c r="U79" s="142"/>
    </row>
    <row r="80" spans="1:43">
      <c r="U80" s="142"/>
    </row>
    <row r="81" spans="11:21">
      <c r="K81" s="89"/>
      <c r="L81" s="89"/>
      <c r="M81" s="89"/>
      <c r="N81" s="89"/>
      <c r="O81" s="89"/>
      <c r="P81" s="89"/>
      <c r="U81" s="142"/>
    </row>
    <row r="82" spans="11:21">
      <c r="K82" s="89"/>
      <c r="L82" s="89"/>
      <c r="M82" s="89"/>
      <c r="N82" s="89"/>
      <c r="O82" s="89"/>
      <c r="P82" s="89"/>
    </row>
    <row r="83" spans="11:21">
      <c r="K83" s="89"/>
      <c r="L83" s="89"/>
      <c r="M83" s="89"/>
      <c r="N83" s="89"/>
      <c r="O83" s="89"/>
      <c r="P83" s="89"/>
    </row>
    <row r="84" spans="11:21">
      <c r="K84" s="89"/>
      <c r="L84" s="89"/>
      <c r="M84" s="89"/>
      <c r="N84" s="89"/>
      <c r="O84" s="89"/>
      <c r="P84" s="89"/>
    </row>
    <row r="85" spans="11:21">
      <c r="K85" s="89"/>
      <c r="L85" s="89"/>
      <c r="M85" s="89"/>
      <c r="N85" s="89"/>
      <c r="O85" s="89"/>
      <c r="P85" s="89"/>
    </row>
    <row r="86" spans="11:21">
      <c r="K86" s="89"/>
      <c r="L86" s="89"/>
      <c r="M86" s="89"/>
      <c r="N86" s="89"/>
      <c r="O86" s="89"/>
      <c r="P86" s="89"/>
    </row>
    <row r="87" spans="11:21">
      <c r="K87" s="91"/>
      <c r="L87" s="91"/>
      <c r="M87" s="91"/>
      <c r="N87" s="91"/>
      <c r="O87" s="91"/>
      <c r="P87" s="91"/>
    </row>
    <row r="102" spans="11:15">
      <c r="K102" s="75"/>
      <c r="L102" s="75"/>
      <c r="M102" s="75"/>
      <c r="N102" s="75"/>
      <c r="O102" s="75"/>
    </row>
    <row r="103" spans="11:15">
      <c r="K103" s="93"/>
      <c r="L103" s="93"/>
      <c r="M103" s="93"/>
      <c r="N103" s="93"/>
      <c r="O103" s="93"/>
    </row>
  </sheetData>
  <mergeCells count="1">
    <mergeCell ref="E1:I1"/>
  </mergeCells>
  <conditionalFormatting sqref="D35:D59">
    <cfRule type="cellIs" dxfId="7" priority="6" operator="equal">
      <formula>0</formula>
    </cfRule>
  </conditionalFormatting>
  <conditionalFormatting sqref="CF9:CF10">
    <cfRule type="cellIs" dxfId="6" priority="1" operator="greaterThan">
      <formula>1</formula>
    </cfRule>
  </conditionalFormatting>
  <hyperlinks>
    <hyperlink ref="BF1" r:id="rId1" tooltip="Für Umsortierung bitte klicken" display="http://de.statista.com/statistik/daten/studie/168160/umfrage/zusammensetzung-des-strompreises-fuer-haushaltskunden-seit-2006/yui-dt0-href-key0" xr:uid="{00000000-0004-0000-0700-000000000000}"/>
    <hyperlink ref="BG1" r:id="rId2" tooltip="Für Umsortierung bitte klicken" display="http://de.statista.com/statistik/daten/studie/168160/umfrage/zusammensetzung-des-strompreises-fuer-haushaltskunden-seit-2006/yui-dt0-href-key1" xr:uid="{00000000-0004-0000-0700-000001000000}"/>
    <hyperlink ref="BK1" r:id="rId3" tooltip="Für Umsortierung bitte klicken" display="http://de.statista.com/statistik/daten/studie/168160/umfrage/zusammensetzung-des-strompreises-fuer-haushaltskunden-seit-2006/yui-dt0-href-key2" xr:uid="{00000000-0004-0000-0700-000002000000}"/>
    <hyperlink ref="BE1" r:id="rId4" tooltip="Für Umsortierung bitte klicken" display="http://de.statista.com/statistik/daten/studie/168160/umfrage/zusammensetzung-des-strompreises-fuer-haushaltskunden-seit-2006/yui-dt0-href-key3" xr:uid="{00000000-0004-0000-0700-000003000000}"/>
    <hyperlink ref="BD1" r:id="rId5" tooltip="Für Umsortierung bitte klicken" display="http://de.statista.com/statistik/daten/studie/168160/umfrage/zusammensetzung-des-strompreises-fuer-haushaltskunden-seit-2006/yui-dt0-href-key4" xr:uid="{00000000-0004-0000-0700-000004000000}"/>
    <hyperlink ref="BH1" r:id="rId6" tooltip="Für Umsortierung bitte klicken" display="http://de.statista.com/statistik/daten/studie/168160/umfrage/zusammensetzung-des-strompreises-fuer-haushaltskunden-seit-2006/yui-dt0-href-key5" xr:uid="{00000000-0004-0000-0700-000005000000}"/>
    <hyperlink ref="BI1" r:id="rId7" tooltip="Für Umsortierung bitte klicken" display="http://de.statista.com/statistik/daten/studie/168160/umfrage/zusammensetzung-des-strompreises-fuer-haushaltskunden-seit-2006/yui-dt0-href-key6" xr:uid="{00000000-0004-0000-0700-000006000000}"/>
    <hyperlink ref="BJ1" r:id="rId8" tooltip="Für Umsortierung bitte klicken" display="http://de.statista.com/statistik/daten/studie/168160/umfrage/zusammensetzung-des-strompreises-fuer-haushaltskunden-seit-2006/yui-dt0-href-key7" xr:uid="{00000000-0004-0000-0700-000007000000}"/>
  </hyperlinks>
  <pageMargins left="0.7" right="0.7" top="0.78740157499999996" bottom="0.78740157499999996" header="0.3" footer="0.3"/>
  <pageSetup paperSize="9" orientation="portrait" verticalDpi="0" r:id="rId9"/>
  <drawing r:id="rId10"/>
  <legacyDrawing r:id="rId1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43" operator="between" id="{9ABDC88D-F1A3-4B14-90A7-DE10C07FF1E9}">
            <xm:f>Sensitivitätsanalyse!$B$25</xm:f>
            <xm:f>Sensitivitätsanalyse!$B$25+'Eingabe und Ausgabe'!$J$3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A4:A60</xm:sqref>
        </x14:conditionalFormatting>
        <x14:conditionalFormatting xmlns:xm="http://schemas.microsoft.com/office/excel/2006/main">
          <x14:cfRule type="cellIs" priority="7" operator="between" id="{575EDF31-9E65-4A92-9F6A-C9859C685E1B}">
            <xm:f>Sensitivitätsanalyse!$B$25</xm:f>
            <xm:f>Sensitivitätsanalyse!$B$25+'Eingabe und Ausgabe'!$J$3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D35:D59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57"/>
  <sheetViews>
    <sheetView workbookViewId="0">
      <selection activeCell="E45" sqref="E45"/>
    </sheetView>
  </sheetViews>
  <sheetFormatPr baseColWidth="10" defaultRowHeight="15"/>
  <cols>
    <col min="1" max="1" width="11.6640625" style="55" bestFit="1" customWidth="1"/>
    <col min="2" max="2" width="9.1640625" style="55" bestFit="1" customWidth="1"/>
    <col min="3" max="3" width="11.1640625" style="55" bestFit="1" customWidth="1"/>
    <col min="4" max="4" width="10.5" style="55" bestFit="1" customWidth="1"/>
    <col min="5" max="5" width="8.1640625" style="55" bestFit="1" customWidth="1"/>
    <col min="6" max="6" width="12.5" style="55" bestFit="1" customWidth="1"/>
    <col min="7" max="7" width="8.6640625" style="55" bestFit="1" customWidth="1"/>
    <col min="8" max="8" width="15.5" style="55" bestFit="1" customWidth="1"/>
    <col min="9" max="11" width="8.6640625" style="55" bestFit="1" customWidth="1"/>
    <col min="12" max="12" width="21" style="55" bestFit="1" customWidth="1"/>
    <col min="13" max="13" width="15.5" style="55" bestFit="1" customWidth="1"/>
    <col min="14" max="14" width="19.1640625" style="55" bestFit="1" customWidth="1"/>
    <col min="15" max="15" width="9.5" style="55" bestFit="1" customWidth="1"/>
    <col min="16" max="16" width="8.6640625" style="55" bestFit="1" customWidth="1"/>
    <col min="17" max="17" width="22.1640625" bestFit="1" customWidth="1"/>
  </cols>
  <sheetData>
    <row r="1" spans="1:17">
      <c r="A1" s="142"/>
      <c r="B1" s="652" t="s">
        <v>374</v>
      </c>
      <c r="C1" s="652"/>
      <c r="D1" s="652"/>
      <c r="E1" s="652"/>
      <c r="F1" s="652"/>
      <c r="G1" s="652"/>
      <c r="H1" s="652"/>
      <c r="I1" s="652"/>
      <c r="J1" s="652"/>
      <c r="K1" s="652"/>
      <c r="L1" s="652"/>
      <c r="M1" s="652"/>
      <c r="N1" s="652"/>
      <c r="O1" s="652"/>
      <c r="P1" s="652"/>
      <c r="Q1" s="653"/>
    </row>
    <row r="2" spans="1:17">
      <c r="A2" s="2"/>
      <c r="B2" s="209" t="s">
        <v>333</v>
      </c>
      <c r="C2" s="210" t="s">
        <v>334</v>
      </c>
      <c r="D2" s="210" t="s">
        <v>335</v>
      </c>
      <c r="E2" s="210" t="s">
        <v>336</v>
      </c>
      <c r="F2" s="210" t="s">
        <v>337</v>
      </c>
      <c r="G2" s="210" t="s">
        <v>338</v>
      </c>
      <c r="H2" s="210" t="s">
        <v>345</v>
      </c>
      <c r="I2" s="210" t="s">
        <v>339</v>
      </c>
      <c r="J2" s="210" t="s">
        <v>313</v>
      </c>
      <c r="K2" s="210" t="s">
        <v>340</v>
      </c>
      <c r="L2" s="210" t="s">
        <v>341</v>
      </c>
      <c r="M2" s="210" t="s">
        <v>342</v>
      </c>
      <c r="N2" s="210" t="s">
        <v>343</v>
      </c>
      <c r="O2" s="201" t="s">
        <v>373</v>
      </c>
      <c r="P2" s="142" t="s">
        <v>358</v>
      </c>
      <c r="Q2" s="142" t="s">
        <v>359</v>
      </c>
    </row>
    <row r="3" spans="1:17">
      <c r="A3" s="208" t="s">
        <v>376</v>
      </c>
      <c r="B3" s="142">
        <v>1</v>
      </c>
      <c r="C3" s="142">
        <v>2</v>
      </c>
      <c r="D3" s="142">
        <v>3</v>
      </c>
      <c r="E3" s="142">
        <v>4</v>
      </c>
      <c r="F3" s="142">
        <v>5</v>
      </c>
      <c r="G3" s="142">
        <v>6</v>
      </c>
      <c r="H3" s="142">
        <v>7</v>
      </c>
      <c r="I3" s="142">
        <v>8</v>
      </c>
      <c r="J3" s="142">
        <v>9</v>
      </c>
      <c r="K3" s="142">
        <v>10</v>
      </c>
      <c r="L3" s="142">
        <v>11</v>
      </c>
      <c r="M3" s="142">
        <v>12</v>
      </c>
      <c r="N3" s="142">
        <v>13</v>
      </c>
      <c r="O3" s="142">
        <v>14</v>
      </c>
      <c r="P3" s="142">
        <v>15</v>
      </c>
      <c r="Q3" s="142">
        <v>16</v>
      </c>
    </row>
    <row r="4" spans="1:17">
      <c r="A4" s="211"/>
      <c r="B4" s="212">
        <v>23</v>
      </c>
      <c r="C4" s="212">
        <v>1100</v>
      </c>
      <c r="D4" s="212">
        <v>930</v>
      </c>
      <c r="E4" s="212">
        <v>475</v>
      </c>
      <c r="F4" s="212">
        <v>410</v>
      </c>
      <c r="G4" s="212">
        <v>890</v>
      </c>
      <c r="H4" s="212">
        <v>400</v>
      </c>
      <c r="I4" s="212">
        <v>20</v>
      </c>
      <c r="J4" s="212">
        <v>20</v>
      </c>
      <c r="K4" s="212">
        <v>80</v>
      </c>
      <c r="L4" s="212">
        <v>40</v>
      </c>
      <c r="M4" s="212">
        <v>40</v>
      </c>
      <c r="N4" s="212">
        <v>40</v>
      </c>
      <c r="O4" s="201"/>
      <c r="P4" s="142"/>
      <c r="Q4" s="200" t="s">
        <v>312</v>
      </c>
    </row>
    <row r="5" spans="1:17">
      <c r="A5" s="213">
        <v>2007</v>
      </c>
      <c r="B5" s="214">
        <v>0.28000000000000003</v>
      </c>
      <c r="C5" s="214">
        <v>0.11</v>
      </c>
      <c r="D5" s="214">
        <v>0.19</v>
      </c>
      <c r="E5" s="214">
        <v>0.2</v>
      </c>
      <c r="F5" s="214">
        <v>0.03</v>
      </c>
      <c r="G5" s="214">
        <v>0.01</v>
      </c>
      <c r="H5" s="214">
        <v>0.02</v>
      </c>
      <c r="I5" s="214">
        <v>0.09</v>
      </c>
      <c r="J5" s="214">
        <v>3.5000000000000003E-2</v>
      </c>
      <c r="K5" s="214">
        <v>5.0000000000000001E-3</v>
      </c>
      <c r="L5" s="214">
        <v>5.0000000000000001E-3</v>
      </c>
      <c r="M5" s="214">
        <v>5.0000000000000001E-3</v>
      </c>
      <c r="N5" s="214">
        <v>0.02</v>
      </c>
      <c r="O5" s="215">
        <f t="shared" ref="O5:O33" si="0">SUMPRODUCT($B$4:$N$4,B5:N5)</f>
        <v>432.43999999999994</v>
      </c>
      <c r="P5" s="216">
        <f t="shared" ref="P5:P33" si="1">SUM(B5:N5)</f>
        <v>1</v>
      </c>
      <c r="Q5" s="217">
        <f t="shared" ref="Q5:Q33" si="2">O5/P5</f>
        <v>432.43999999999994</v>
      </c>
    </row>
    <row r="6" spans="1:17">
      <c r="A6" s="211">
        <v>2008</v>
      </c>
      <c r="B6" s="219">
        <f>B5*(1+Archiv!A$133)</f>
        <v>0.27387182719431091</v>
      </c>
      <c r="C6" s="219">
        <f>C5*(1+Archiv!B$133)</f>
        <v>0.1091964783774218</v>
      </c>
      <c r="D6" s="219">
        <f>D5*(1+Archiv!C$133)</f>
        <v>0.18217763883079383</v>
      </c>
      <c r="E6" s="219">
        <f>E5*(1+Archiv!D$133)</f>
        <v>0.19921242715447113</v>
      </c>
      <c r="F6" s="219">
        <f>F5*(1+Archiv!E$133)</f>
        <v>0.03</v>
      </c>
      <c r="G6" s="219">
        <f>G5*(1+Archiv!F$133)</f>
        <v>1.0547660764816467E-2</v>
      </c>
      <c r="H6" s="219">
        <f>H5*(1+Archiv!G$133)</f>
        <v>1.9562273371022208E-2</v>
      </c>
      <c r="I6" s="219">
        <f>I5*(1+Archiv!H$133)</f>
        <v>9.0732382800633823E-2</v>
      </c>
      <c r="J6" s="219">
        <f>J5*(1+Archiv!I$133)</f>
        <v>3.9145803767390179E-2</v>
      </c>
      <c r="K6" s="219">
        <f>K5*(1+Archiv!J$133)</f>
        <v>5.5626573804824341E-3</v>
      </c>
      <c r="L6" s="219">
        <f>L5*(1+Archiv!K$133)</f>
        <v>5.2738303824082337E-3</v>
      </c>
      <c r="M6" s="219">
        <f>M5*(1+Archiv!L$133)</f>
        <v>5.4409112173165845E-3</v>
      </c>
      <c r="N6" s="219">
        <f>N5*(1+Archiv!M$133)</f>
        <v>2.0633622330614491E-2</v>
      </c>
      <c r="O6" s="215">
        <f t="shared" si="0"/>
        <v>424.2751235597533</v>
      </c>
      <c r="P6" s="216">
        <f t="shared" si="1"/>
        <v>0.99135751357168223</v>
      </c>
      <c r="Q6" s="220">
        <f t="shared" si="2"/>
        <v>427.97388202684476</v>
      </c>
    </row>
    <row r="7" spans="1:17">
      <c r="A7" s="211">
        <v>2009</v>
      </c>
      <c r="B7" s="219">
        <f>B6*(1+Archiv!A$133)</f>
        <v>0.26787777760982318</v>
      </c>
      <c r="C7" s="219">
        <f>C6*(1+Archiv!B$133)</f>
        <v>0.10839882627300679</v>
      </c>
      <c r="D7" s="219">
        <f>D6*(1+Archiv!C$133)</f>
        <v>0.17467732678927977</v>
      </c>
      <c r="E7" s="219">
        <f>E6*(1+Archiv!D$133)</f>
        <v>0.1984279556638773</v>
      </c>
      <c r="F7" s="219">
        <f>F6*(1+Archiv!E$133)</f>
        <v>0.03</v>
      </c>
      <c r="G7" s="219">
        <f>G6*(1+Archiv!F$133)</f>
        <v>1.112531476096487E-2</v>
      </c>
      <c r="H7" s="219">
        <f>H6*(1+Archiv!G$133)</f>
        <v>1.9134126972130228E-2</v>
      </c>
      <c r="I7" s="219">
        <f>I6*(1+Archiv!H$133)</f>
        <v>9.147072542978614E-2</v>
      </c>
      <c r="J7" s="219">
        <f>J6*(1+Archiv!I$133)</f>
        <v>4.3782684359857681E-2</v>
      </c>
      <c r="K7" s="219">
        <f>K6*(1+Archiv!J$133)</f>
        <v>6.1886314265271391E-3</v>
      </c>
      <c r="L7" s="219">
        <f>L6*(1+Archiv!K$133)</f>
        <v>5.562657380482435E-3</v>
      </c>
      <c r="M7" s="219">
        <f>M6*(1+Archiv!L$133)</f>
        <v>5.9207029749442867E-3</v>
      </c>
      <c r="N7" s="219">
        <f>N6*(1+Archiv!M$133)</f>
        <v>2.1287318524121648E-2</v>
      </c>
      <c r="O7" s="215">
        <f t="shared" si="0"/>
        <v>416.46925743091322</v>
      </c>
      <c r="P7" s="216">
        <f t="shared" si="1"/>
        <v>0.9838540481648016</v>
      </c>
      <c r="Q7" s="220">
        <f t="shared" si="2"/>
        <v>423.30390184170085</v>
      </c>
    </row>
    <row r="8" spans="1:17">
      <c r="A8" s="211">
        <v>2010</v>
      </c>
      <c r="B8" s="219">
        <f>B7*(1+Archiv!A$133)</f>
        <v>0.26201491578126263</v>
      </c>
      <c r="C8" s="219">
        <f>C7*(1+Archiv!B$133)</f>
        <v>0.10760700081143898</v>
      </c>
      <c r="D8" s="219">
        <f>D7*(1+Archiv!C$133)</f>
        <v>0.16748580500918925</v>
      </c>
      <c r="E8" s="219">
        <f>E7*(1+Archiv!D$133)</f>
        <v>0.19764657331550392</v>
      </c>
      <c r="F8" s="219">
        <f>F7*(1+Archiv!E$133)</f>
        <v>0.03</v>
      </c>
      <c r="G8" s="219">
        <f>G7*(1+Archiv!F$133)</f>
        <v>1.1734604600046265E-2</v>
      </c>
      <c r="H8" s="219">
        <f>H7*(1+Archiv!G$133)</f>
        <v>1.8715351127233049E-2</v>
      </c>
      <c r="I8" s="219">
        <f>I7*(1+Archiv!H$133)</f>
        <v>9.2215076386078079E-2</v>
      </c>
      <c r="J8" s="219">
        <f>J7*(1+Archiv!I$133)</f>
        <v>4.8968810581730617E-2</v>
      </c>
      <c r="K8" s="219">
        <f>K7*(1+Archiv!J$133)</f>
        <v>6.8850472559713449E-3</v>
      </c>
      <c r="L8" s="219">
        <f>L7*(1+Archiv!K$133)</f>
        <v>5.8673023000231327E-3</v>
      </c>
      <c r="M8" s="219">
        <f>M7*(1+Archiv!L$133)</f>
        <v>6.4428038461548081E-3</v>
      </c>
      <c r="N8" s="219">
        <f>N7*(1+Archiv!M$133)</f>
        <v>2.1961724542910996E-2</v>
      </c>
      <c r="O8" s="215">
        <f t="shared" si="0"/>
        <v>409.01325823129412</v>
      </c>
      <c r="P8" s="216">
        <f t="shared" si="1"/>
        <v>0.97754501555754314</v>
      </c>
      <c r="Q8" s="220">
        <f t="shared" si="2"/>
        <v>418.40861722159491</v>
      </c>
    </row>
    <row r="9" spans="1:17">
      <c r="A9" s="211">
        <v>2011</v>
      </c>
      <c r="B9" s="219">
        <f>B8*(1+Archiv!A$133)</f>
        <v>0.25628037048992103</v>
      </c>
      <c r="C9" s="219">
        <f>C8*(1+Archiv!B$133)</f>
        <v>0.10682095943059551</v>
      </c>
      <c r="D9" s="219">
        <f>D8*(1+Archiv!C$133)</f>
        <v>0.16059036049604652</v>
      </c>
      <c r="E9" s="219">
        <f>E8*(1+Archiv!D$133)</f>
        <v>0.19686826794472831</v>
      </c>
      <c r="F9" s="219">
        <f>F8*(1+Archiv!E$133)</f>
        <v>0.03</v>
      </c>
      <c r="G9" s="219">
        <f>G8*(1+Archiv!F$133)</f>
        <v>1.2377262853054282E-2</v>
      </c>
      <c r="H9" s="219">
        <f>H8*(1+Archiv!G$133)</f>
        <v>1.8305740749280076E-2</v>
      </c>
      <c r="I9" s="219">
        <f>I8*(1+Archiv!H$133)</f>
        <v>9.2965484562792508E-2</v>
      </c>
      <c r="J9" s="219">
        <f>J8*(1+Archiv!I$133)</f>
        <v>5.4769241421569317E-2</v>
      </c>
      <c r="K9" s="219">
        <f>K8*(1+Archiv!J$133)</f>
        <v>7.6598317866798668E-3</v>
      </c>
      <c r="L9" s="219">
        <f>L8*(1+Archiv!K$133)</f>
        <v>6.1886314265271409E-3</v>
      </c>
      <c r="M9" s="219">
        <f>M8*(1+Archiv!L$133)</f>
        <v>7.0109447435028251E-3</v>
      </c>
      <c r="N9" s="219">
        <f>N8*(1+Archiv!M$133)</f>
        <v>2.265749649737063E-2</v>
      </c>
      <c r="O9" s="215">
        <f t="shared" si="0"/>
        <v>401.89879063824048</v>
      </c>
      <c r="P9" s="216">
        <f t="shared" si="1"/>
        <v>0.97249459240206804</v>
      </c>
      <c r="Q9" s="220">
        <f t="shared" si="2"/>
        <v>413.2658359009975</v>
      </c>
    </row>
    <row r="10" spans="1:17">
      <c r="A10" s="211">
        <v>2012</v>
      </c>
      <c r="B10" s="219">
        <f>B9*(1+Archiv!A$133)</f>
        <v>0.25067133335753439</v>
      </c>
      <c r="C10" s="219">
        <f>C9*(1+Archiv!B$133)</f>
        <v>0.10604065987925886</v>
      </c>
      <c r="D10" s="219">
        <f>D9*(1+Archiv!C$133)</f>
        <v>0.15397880365345129</v>
      </c>
      <c r="E10" s="219">
        <f>E9*(1+Archiv!D$133)</f>
        <v>0.19609302743483045</v>
      </c>
      <c r="F10" s="219">
        <f>F9*(1+Archiv!E$133)</f>
        <v>0.03</v>
      </c>
      <c r="G10" s="219">
        <f>G9*(1+Archiv!F$133)</f>
        <v>1.3055116977098097E-2</v>
      </c>
      <c r="H10" s="219">
        <f>H9*(1+Archiv!G$133)</f>
        <v>1.7905095239823886E-2</v>
      </c>
      <c r="I10" s="219">
        <f>I9*(1+Archiv!H$133)</f>
        <v>9.3721999251085611E-2</v>
      </c>
      <c r="J10" s="219">
        <f>J9*(1+Archiv!I$133)</f>
        <v>6.1256742205073433E-2</v>
      </c>
      <c r="K10" s="219">
        <f>K9*(1+Archiv!J$133)</f>
        <v>8.5218039642857429E-3</v>
      </c>
      <c r="L10" s="219">
        <f>L9*(1+Archiv!K$133)</f>
        <v>6.5275584885490486E-3</v>
      </c>
      <c r="M10" s="219">
        <f>M9*(1+Archiv!L$133)</f>
        <v>7.6291855797822527E-3</v>
      </c>
      <c r="N10" s="219">
        <f>N9*(1+Archiv!M$133)</f>
        <v>2.337531128419831E-2</v>
      </c>
      <c r="O10" s="215">
        <f t="shared" si="0"/>
        <v>395.11833552957626</v>
      </c>
      <c r="P10" s="216">
        <f t="shared" si="1"/>
        <v>0.96877663731497121</v>
      </c>
      <c r="Q10" s="220">
        <f t="shared" si="2"/>
        <v>407.85287372812064</v>
      </c>
    </row>
    <row r="11" spans="1:17">
      <c r="A11" s="211">
        <v>2013</v>
      </c>
      <c r="B11" s="219">
        <f>B10*(1+Archiv!A$133)</f>
        <v>0.24518505747093627</v>
      </c>
      <c r="C11" s="219">
        <f>C10*(1+Archiv!B$133)</f>
        <v>0.10526606021484572</v>
      </c>
      <c r="D11" s="219">
        <f>D10*(1+Archiv!C$133)</f>
        <v>0.14763944673461141</v>
      </c>
      <c r="E11" s="219">
        <f>E10*(1+Archiv!D$133)</f>
        <v>0.19532083971680433</v>
      </c>
      <c r="F11" s="219">
        <f>F10*(1+Archiv!E$133)</f>
        <v>0.03</v>
      </c>
      <c r="G11" s="219">
        <f>G10*(1+Archiv!F$133)</f>
        <v>1.3770094511942695E-2</v>
      </c>
      <c r="H11" s="219">
        <f>H10*(1+Archiv!G$133)</f>
        <v>1.7513218390781165E-2</v>
      </c>
      <c r="I11" s="219">
        <f>I10*(1+Archiv!H$133)</f>
        <v>9.4484670143224633E-2</v>
      </c>
      <c r="J11" s="219">
        <f>J10*(1+Archiv!I$133)</f>
        <v>6.8512697422554628E-2</v>
      </c>
      <c r="K11" s="219">
        <f>K10*(1+Archiv!J$133)</f>
        <v>9.4807751433917103E-3</v>
      </c>
      <c r="L11" s="219">
        <f>L10*(1+Archiv!K$133)</f>
        <v>6.8850472559713475E-3</v>
      </c>
      <c r="M11" s="219">
        <f>M10*(1+Archiv!L$133)</f>
        <v>8.3019442800054376E-3</v>
      </c>
      <c r="N11" s="219">
        <f>N10*(1+Archiv!M$133)</f>
        <v>2.4115867244934957E-2</v>
      </c>
      <c r="O11" s="215">
        <f t="shared" si="0"/>
        <v>388.66520207279734</v>
      </c>
      <c r="P11" s="216">
        <f t="shared" si="1"/>
        <v>0.96647571853000425</v>
      </c>
      <c r="Q11" s="220">
        <f t="shared" si="2"/>
        <v>402.14688752238033</v>
      </c>
    </row>
    <row r="12" spans="1:17">
      <c r="A12" s="211">
        <v>2014</v>
      </c>
      <c r="B12" s="219">
        <f>B11*(1+Archiv!A$133)</f>
        <v>0.2398188560368123</v>
      </c>
      <c r="C12" s="219">
        <f>C11*(1+Archiv!B$133)</f>
        <v>0.10449711880115256</v>
      </c>
      <c r="D12" s="219">
        <f>D11*(1+Archiv!C$133)</f>
        <v>0.14156108318103294</v>
      </c>
      <c r="E12" s="219">
        <f>E11*(1+Archiv!D$133)</f>
        <v>0.19455169276917006</v>
      </c>
      <c r="F12" s="219">
        <f>F11*(1+Archiv!E$133)</f>
        <v>0.03</v>
      </c>
      <c r="G12" s="219">
        <f>G11*(1+Archiv!F$133)</f>
        <v>1.4524228561143252E-2</v>
      </c>
      <c r="H12" s="219">
        <f>H11*(1+Archiv!G$133)</f>
        <v>1.7129918288343739E-2</v>
      </c>
      <c r="I12" s="219">
        <f>I11*(1+Archiv!H$133)</f>
        <v>9.5253547335851951E-2</v>
      </c>
      <c r="J12" s="219">
        <f>J11*(1+Archiv!I$133)</f>
        <v>7.6628131682225764E-2</v>
      </c>
      <c r="K12" s="219">
        <f>K11*(1+Archiv!J$133)</f>
        <v>1.0547660764816461E-2</v>
      </c>
      <c r="L12" s="219">
        <f>L11*(1+Archiv!K$133)</f>
        <v>7.2621142805716259E-3</v>
      </c>
      <c r="M12" s="219">
        <f>M11*(1+Archiv!L$133)</f>
        <v>9.0340283517237677E-3</v>
      </c>
      <c r="N12" s="219">
        <f>N11*(1+Archiv!M$133)</f>
        <v>2.4879884845361223E-2</v>
      </c>
      <c r="O12" s="215">
        <f t="shared" si="0"/>
        <v>382.53354406923904</v>
      </c>
      <c r="P12" s="216">
        <f t="shared" si="1"/>
        <v>0.96568826489820558</v>
      </c>
      <c r="Q12" s="220">
        <f t="shared" si="2"/>
        <v>396.12529008992607</v>
      </c>
    </row>
    <row r="13" spans="1:17">
      <c r="A13" s="211">
        <v>2015</v>
      </c>
      <c r="B13" s="219">
        <f>B12*(1+Archiv!A$133)</f>
        <v>0.23457010106589707</v>
      </c>
      <c r="C13" s="219">
        <f>C12*(1+Archiv!B$133)</f>
        <v>0.10373379430611757</v>
      </c>
      <c r="D13" s="219">
        <f>D12*(1+Archiv!C$133)</f>
        <v>0.13573296781184307</v>
      </c>
      <c r="E13" s="219">
        <f>E12*(1+Archiv!D$133)</f>
        <v>0.19378557461778667</v>
      </c>
      <c r="F13" s="219">
        <f>F12*(1+Archiv!E$133)</f>
        <v>0.03</v>
      </c>
      <c r="G13" s="219">
        <f>G12*(1+Archiv!F$133)</f>
        <v>1.5319663573359741E-2</v>
      </c>
      <c r="H13" s="219">
        <f>H12*(1+Archiv!G$133)</f>
        <v>1.6755007218992653E-2</v>
      </c>
      <c r="I13" s="219">
        <f>I12*(1+Archiv!H$133)</f>
        <v>9.6028681333275717E-2</v>
      </c>
      <c r="J13" s="219">
        <f>J12*(1+Archiv!I$133)</f>
        <v>8.5704851596975537E-2</v>
      </c>
      <c r="K13" s="219">
        <f>K12*(1+Archiv!J$133)</f>
        <v>1.1734604600046257E-2</v>
      </c>
      <c r="L13" s="219">
        <f>L12*(1+Archiv!K$133)</f>
        <v>7.6598317866798703E-3</v>
      </c>
      <c r="M13" s="219">
        <f>M12*(1+Archiv!L$133)</f>
        <v>9.8306692392899804E-3</v>
      </c>
      <c r="N13" s="219">
        <f>N12*(1+Archiv!M$133)</f>
        <v>2.5668107376418118E-2</v>
      </c>
      <c r="O13" s="215">
        <f t="shared" si="0"/>
        <v>376.71838090029917</v>
      </c>
      <c r="P13" s="216">
        <f t="shared" si="1"/>
        <v>0.96652385452668232</v>
      </c>
      <c r="Q13" s="220">
        <f t="shared" si="2"/>
        <v>389.76625267545251</v>
      </c>
    </row>
    <row r="14" spans="1:17">
      <c r="A14" s="211">
        <v>2016</v>
      </c>
      <c r="B14" s="219">
        <f>B13*(1+Archiv!A$133)</f>
        <v>0.22943622208596931</v>
      </c>
      <c r="C14" s="219">
        <f>C13*(1+Archiv!B$133)</f>
        <v>0.10297604569959898</v>
      </c>
      <c r="D14" s="219">
        <f>D13*(1+Archiv!C$133)</f>
        <v>0.13014479782872479</v>
      </c>
      <c r="E14" s="219">
        <f>E13*(1+Archiv!D$133)</f>
        <v>0.19302247333566577</v>
      </c>
      <c r="F14" s="219">
        <f>F13*(1+Archiv!E$133)</f>
        <v>0.03</v>
      </c>
      <c r="G14" s="219">
        <f>G13*(1+Archiv!F$133)</f>
        <v>1.6158661440291457E-2</v>
      </c>
      <c r="H14" s="219">
        <f>H13*(1+Archiv!G$133)</f>
        <v>1.638830157756924E-2</v>
      </c>
      <c r="I14" s="219">
        <f>I13*(1+Archiv!H$133)</f>
        <v>9.6810123050787247E-2</v>
      </c>
      <c r="J14" s="219">
        <f>J13*(1+Archiv!I$133)</f>
        <v>9.5856722929385726E-2</v>
      </c>
      <c r="K14" s="219">
        <f>K13*(1+Archiv!J$133)</f>
        <v>1.3055116977098087E-2</v>
      </c>
      <c r="L14" s="219">
        <f>L13*(1+Archiv!K$133)</f>
        <v>8.0793307201457287E-3</v>
      </c>
      <c r="M14" s="219">
        <f>M13*(1+Archiv!L$133)</f>
        <v>1.0697559707556389E-2</v>
      </c>
      <c r="N14" s="219">
        <f>N13*(1+Archiv!M$133)</f>
        <v>2.648130167733357E-2</v>
      </c>
      <c r="O14" s="215">
        <f t="shared" si="0"/>
        <v>371.21562346755132</v>
      </c>
      <c r="P14" s="216">
        <f t="shared" si="1"/>
        <v>0.96910665703012633</v>
      </c>
      <c r="Q14" s="220">
        <f t="shared" si="2"/>
        <v>383.04929676694138</v>
      </c>
    </row>
    <row r="15" spans="1:17">
      <c r="A15" s="211">
        <v>2017</v>
      </c>
      <c r="B15" s="219">
        <f>B14*(1+Archiv!A$133)</f>
        <v>0.22441470488301474</v>
      </c>
      <c r="C15" s="219">
        <f>C14*(1+Archiv!B$133)</f>
        <v>0.10222383225116963</v>
      </c>
      <c r="D15" s="219">
        <f>D14*(1+Archiv!C$133)</f>
        <v>0.12478669460288477</v>
      </c>
      <c r="E15" s="219">
        <f>E14*(1+Archiv!D$133)</f>
        <v>0.19226237704278581</v>
      </c>
      <c r="F15" s="219">
        <f>F14*(1+Archiv!E$133)</f>
        <v>0.03</v>
      </c>
      <c r="G15" s="219">
        <f>G14*(1+Archiv!F$133)</f>
        <v>1.7043607928571493E-2</v>
      </c>
      <c r="H15" s="219">
        <f>H14*(1+Archiv!G$133)</f>
        <v>1.6029621777358199E-2</v>
      </c>
      <c r="I15" s="219">
        <f>I14*(1+Archiv!H$133)</f>
        <v>9.7597923818005486E-2</v>
      </c>
      <c r="J15" s="219">
        <f>J14*(1+Archiv!I$133)</f>
        <v>0.10721109901653782</v>
      </c>
      <c r="K15" s="219">
        <f>K14*(1+Archiv!J$133)</f>
        <v>1.452422856114324E-2</v>
      </c>
      <c r="L15" s="219">
        <f>L14*(1+Archiv!K$133)</f>
        <v>8.5218039642857464E-3</v>
      </c>
      <c r="M15" s="219">
        <f>M14*(1+Archiv!L$133)</f>
        <v>1.1640894522151495E-2</v>
      </c>
      <c r="N15" s="219">
        <f>N14*(1+Archiv!M$133)</f>
        <v>2.7320258881658444E-2</v>
      </c>
      <c r="O15" s="215">
        <f t="shared" si="0"/>
        <v>366.0221055682801</v>
      </c>
      <c r="P15" s="216">
        <f t="shared" si="1"/>
        <v>0.97357704724956673</v>
      </c>
      <c r="Q15" s="220">
        <f t="shared" si="2"/>
        <v>375.95597246496504</v>
      </c>
    </row>
    <row r="16" spans="1:17">
      <c r="A16" s="211">
        <v>2018</v>
      </c>
      <c r="B16" s="219">
        <f>B15*(1+Archiv!A$133)</f>
        <v>0.21950309026994033</v>
      </c>
      <c r="C16" s="219">
        <f>C15*(1+Archiv!B$133)</f>
        <v>0.10147711352792761</v>
      </c>
      <c r="D16" s="219">
        <f>D15*(1+Archiv!C$133)</f>
        <v>0.11964918621185743</v>
      </c>
      <c r="E16" s="219">
        <f>E15*(1+Archiv!D$133)</f>
        <v>0.19150527390590716</v>
      </c>
      <c r="F16" s="219">
        <f>F15*(1+Archiv!E$133)</f>
        <v>0.03</v>
      </c>
      <c r="G16" s="219">
        <f>G15*(1+Archiv!F$133)</f>
        <v>1.7977019463910837E-2</v>
      </c>
      <c r="H16" s="219">
        <f>H15*(1+Archiv!G$133)</f>
        <v>1.5678792162138598E-2</v>
      </c>
      <c r="I16" s="219">
        <f>I15*(1+Archiv!H$133)</f>
        <v>9.8392135382248572E-2</v>
      </c>
      <c r="J16" s="219">
        <f>J15*(1+Archiv!I$133)</f>
        <v>0.1199104183939322</v>
      </c>
      <c r="K16" s="219">
        <f>K15*(1+Archiv!J$133)</f>
        <v>1.615866144029144E-2</v>
      </c>
      <c r="L16" s="219">
        <f>L15*(1+Archiv!K$133)</f>
        <v>8.9885097319554186E-3</v>
      </c>
      <c r="M16" s="219">
        <f>M15*(1+Archiv!L$133)</f>
        <v>1.2667414717034649E-2</v>
      </c>
      <c r="N16" s="219">
        <f>N15*(1+Archiv!M$133)</f>
        <v>2.8185795186937826E-2</v>
      </c>
      <c r="O16" s="215">
        <f t="shared" si="0"/>
        <v>361.13562120318244</v>
      </c>
      <c r="P16" s="216">
        <f t="shared" si="1"/>
        <v>0.98009341039408227</v>
      </c>
      <c r="Q16" s="220">
        <f t="shared" si="2"/>
        <v>368.4706145080342</v>
      </c>
    </row>
    <row r="17" spans="1:17">
      <c r="A17" s="211">
        <v>2019</v>
      </c>
      <c r="B17" s="219">
        <f>B16*(1+Archiv!A$133)</f>
        <v>0.21469897288223688</v>
      </c>
      <c r="C17" s="219">
        <f>C16*(1+Archiv!B$133)</f>
        <v>0.10073584939232295</v>
      </c>
      <c r="D17" s="219">
        <f>D16*(1+Archiv!C$133)</f>
        <v>0.11472319069527452</v>
      </c>
      <c r="E17" s="219">
        <f>E16*(1+Archiv!D$133)</f>
        <v>0.19075115213838784</v>
      </c>
      <c r="F17" s="219">
        <f>F16*(1+Archiv!E$133)</f>
        <v>0.03</v>
      </c>
      <c r="G17" s="219">
        <f>G16*(1+Archiv!F$133)</f>
        <v>1.8961550286783427E-2</v>
      </c>
      <c r="H17" s="219">
        <f>H16*(1+Archiv!G$133)</f>
        <v>1.5335640920159779E-2</v>
      </c>
      <c r="I17" s="219">
        <f>I16*(1+Archiv!H$133)</f>
        <v>9.9192809911932953E-2</v>
      </c>
      <c r="J17" s="219">
        <f>J16*(1+Archiv!I$133)</f>
        <v>0.13411399166041493</v>
      </c>
      <c r="K17" s="219">
        <f>K16*(1+Archiv!J$133)</f>
        <v>1.797701946391082E-2</v>
      </c>
      <c r="L17" s="219">
        <f>L16*(1+Archiv!K$133)</f>
        <v>9.4807751433917137E-3</v>
      </c>
      <c r="M17" s="219">
        <f>M16*(1+Archiv!L$133)</f>
        <v>1.3784455765663001E-2</v>
      </c>
      <c r="N17" s="219">
        <f>N16*(1+Archiv!M$133)</f>
        <v>2.9078752648766335E-2</v>
      </c>
      <c r="O17" s="215">
        <f t="shared" si="0"/>
        <v>356.5549683743601</v>
      </c>
      <c r="P17" s="216">
        <f t="shared" si="1"/>
        <v>0.98883416090924525</v>
      </c>
      <c r="Q17" s="220">
        <f t="shared" si="2"/>
        <v>360.58115958140382</v>
      </c>
    </row>
    <row r="18" spans="1:17">
      <c r="A18" s="211">
        <v>2020</v>
      </c>
      <c r="B18" s="214">
        <v>0.21</v>
      </c>
      <c r="C18" s="214">
        <v>0.1</v>
      </c>
      <c r="D18" s="214">
        <v>0.11</v>
      </c>
      <c r="E18" s="214">
        <v>0.19</v>
      </c>
      <c r="F18" s="214">
        <v>0.03</v>
      </c>
      <c r="G18" s="214">
        <v>0.02</v>
      </c>
      <c r="H18" s="214">
        <v>1.4999999999999999E-2</v>
      </c>
      <c r="I18" s="214">
        <v>0.1</v>
      </c>
      <c r="J18" s="214">
        <v>0.15</v>
      </c>
      <c r="K18" s="214">
        <v>0.02</v>
      </c>
      <c r="L18" s="214">
        <v>0.01</v>
      </c>
      <c r="M18" s="214">
        <v>1.4999999999999999E-2</v>
      </c>
      <c r="N18" s="214">
        <v>0.03</v>
      </c>
      <c r="O18" s="215">
        <f t="shared" si="0"/>
        <v>352.28000000000003</v>
      </c>
      <c r="P18" s="216">
        <f t="shared" si="1"/>
        <v>1</v>
      </c>
      <c r="Q18" s="220">
        <f t="shared" si="2"/>
        <v>352.28000000000003</v>
      </c>
    </row>
    <row r="19" spans="1:17">
      <c r="A19" s="226">
        <v>2021</v>
      </c>
      <c r="B19" s="229">
        <f>B18*(1+Archiv!A$134)</f>
        <v>0.20790872990382631</v>
      </c>
      <c r="C19" s="229">
        <f>C18*(1+Archiv!B$134)</f>
        <v>9.7793276854292857E-2</v>
      </c>
      <c r="D19" s="229">
        <f>D18*(1+Archiv!C$134)</f>
        <v>0.1043625668632613</v>
      </c>
      <c r="E19" s="229">
        <f>E18*(1+Archiv!D$134)</f>
        <v>0.18146645927097091</v>
      </c>
      <c r="F19" s="229">
        <f>F18*(1+Archiv!E$134)</f>
        <v>3.0875580268942819E-2</v>
      </c>
      <c r="G19" s="229">
        <f>G18*(1+Archiv!F$134)</f>
        <v>1.866065983073615E-2</v>
      </c>
      <c r="H19" s="229">
        <f>H18*(1+Archiv!G$134)</f>
        <v>1.4999999999999999E-2</v>
      </c>
      <c r="I19" s="229">
        <f>I18*(1+Archiv!H$134)</f>
        <v>0.10183993761470243</v>
      </c>
      <c r="J19" s="229">
        <f>J18*(1+Archiv!I$134)</f>
        <v>0.15655066499552545</v>
      </c>
      <c r="K19" s="229">
        <f>K18*(1+Archiv!J$134)</f>
        <v>2.1919164527704343E-2</v>
      </c>
      <c r="L19" s="229">
        <f>L18*(1+Archiv!K$134)</f>
        <v>1.0413797439924107E-2</v>
      </c>
      <c r="M19" s="229">
        <f>M18*(1+Archiv!L$134)</f>
        <v>1.5786146687233882E-2</v>
      </c>
      <c r="N19" s="229">
        <f>N18*(1+Archiv!M$134)</f>
        <v>3.0875580268942819E-2</v>
      </c>
      <c r="O19" s="230">
        <f t="shared" si="0"/>
        <v>340.07960201394098</v>
      </c>
      <c r="P19" s="227">
        <f t="shared" si="1"/>
        <v>0.99345256452606323</v>
      </c>
      <c r="Q19" s="231">
        <f t="shared" si="2"/>
        <v>342.32092618954533</v>
      </c>
    </row>
    <row r="20" spans="1:17">
      <c r="A20" s="226">
        <v>2022</v>
      </c>
      <c r="B20" s="229">
        <f>B19*(1+Archiv!A$134)</f>
        <v>0.20583828557248668</v>
      </c>
      <c r="C20" s="229">
        <f>C19*(1+Archiv!B$134)</f>
        <v>9.5635249979003703E-2</v>
      </c>
      <c r="D20" s="229">
        <f>D19*(1+Archiv!C$134)</f>
        <v>9.9014048748078953E-2</v>
      </c>
      <c r="E20" s="229">
        <f>E19*(1+Archiv!D$134)</f>
        <v>0.17331618863338391</v>
      </c>
      <c r="F20" s="229">
        <f>F19*(1+Archiv!E$134)</f>
        <v>3.1776715231464372E-2</v>
      </c>
      <c r="G20" s="229">
        <f>G19*(1+Archiv!F$134)</f>
        <v>1.7411011265922482E-2</v>
      </c>
      <c r="H20" s="229">
        <f>H19*(1+Archiv!G$134)</f>
        <v>1.4999999999999999E-2</v>
      </c>
      <c r="I20" s="229">
        <f>I19*(1+Archiv!H$134)</f>
        <v>0.10371372893366483</v>
      </c>
      <c r="J20" s="229">
        <f>J19*(1+Archiv!I$134)</f>
        <v>0.16338740473694158</v>
      </c>
      <c r="K20" s="229">
        <f>K19*(1+Archiv!J$134)</f>
        <v>2.4022488679628619E-2</v>
      </c>
      <c r="L20" s="229">
        <f>L19*(1+Archiv!K$134)</f>
        <v>1.0844717711976988E-2</v>
      </c>
      <c r="M20" s="229">
        <f>M19*(1+Archiv!L$134)</f>
        <v>1.6613495148724351E-2</v>
      </c>
      <c r="N20" s="229">
        <f>N19*(1+Archiv!M$134)</f>
        <v>3.1776715231464372E-2</v>
      </c>
      <c r="O20" s="230">
        <f t="shared" si="0"/>
        <v>328.49878264468242</v>
      </c>
      <c r="P20" s="227">
        <f t="shared" si="1"/>
        <v>0.988350049872741</v>
      </c>
      <c r="Q20" s="231">
        <f t="shared" si="2"/>
        <v>332.37088690082993</v>
      </c>
    </row>
    <row r="21" spans="1:17">
      <c r="A21" s="226">
        <v>2023</v>
      </c>
      <c r="B21" s="229">
        <f>B20*(1+Archiv!A$134)</f>
        <v>0.20378845961408001</v>
      </c>
      <c r="C21" s="229">
        <f>C20*(1+Archiv!B$134)</f>
        <v>9.352484478226214E-2</v>
      </c>
      <c r="D21" s="229">
        <f>D20*(1+Archiv!C$134)</f>
        <v>9.3939638935214578E-2</v>
      </c>
      <c r="E21" s="229">
        <f>E20*(1+Archiv!D$134)</f>
        <v>0.16553197413494669</v>
      </c>
      <c r="F21" s="229">
        <f>F20*(1+Archiv!E$134)</f>
        <v>3.2704150727080536E-2</v>
      </c>
      <c r="G21" s="229">
        <f>G20*(1+Archiv!F$134)</f>
        <v>1.6245047927124709E-2</v>
      </c>
      <c r="H21" s="229">
        <f>H20*(1+Archiv!G$134)</f>
        <v>1.4999999999999999E-2</v>
      </c>
      <c r="I21" s="229">
        <f>I20*(1+Archiv!H$134)</f>
        <v>0.10562199684392584</v>
      </c>
      <c r="J21" s="229">
        <f>J20*(1+Archiv!I$134)</f>
        <v>0.17052271242307512</v>
      </c>
      <c r="K21" s="229">
        <f>K20*(1+Archiv!J$134)</f>
        <v>2.632764408668474E-2</v>
      </c>
      <c r="L21" s="229">
        <f>L20*(1+Archiv!K$134)</f>
        <v>1.1293469354568557E-2</v>
      </c>
      <c r="M21" s="229">
        <f>M20*(1+Archiv!L$134)</f>
        <v>1.7484204760360739E-2</v>
      </c>
      <c r="N21" s="229">
        <f>N20*(1+Archiv!M$134)</f>
        <v>3.2704150727080536E-2</v>
      </c>
      <c r="O21" s="230">
        <f t="shared" si="0"/>
        <v>317.51118891466064</v>
      </c>
      <c r="P21" s="227">
        <f t="shared" si="1"/>
        <v>0.98468829431640414</v>
      </c>
      <c r="Q21" s="231">
        <f t="shared" si="2"/>
        <v>322.44842428545883</v>
      </c>
    </row>
    <row r="22" spans="1:17">
      <c r="A22" s="226">
        <v>2024</v>
      </c>
      <c r="B22" s="229">
        <f>B21*(1+Archiv!A$134)</f>
        <v>0.20175904670200276</v>
      </c>
      <c r="C22" s="229">
        <f>C21*(1+Archiv!B$134)</f>
        <v>9.146101038546528E-2</v>
      </c>
      <c r="D22" s="229">
        <f>D21*(1+Archiv!C$134)</f>
        <v>8.9125289540790506E-2</v>
      </c>
      <c r="E22" s="229">
        <f>E21*(1+Archiv!D$134)</f>
        <v>0.15809737496001428</v>
      </c>
      <c r="F22" s="229">
        <f>F21*(1+Archiv!E$134)</f>
        <v>3.3658654363385991E-2</v>
      </c>
      <c r="G22" s="229">
        <f>G21*(1+Archiv!F$134)</f>
        <v>1.5157165665103979E-2</v>
      </c>
      <c r="H22" s="229">
        <f>H21*(1+Archiv!G$134)</f>
        <v>1.4999999999999999E-2</v>
      </c>
      <c r="I22" s="229">
        <f>I21*(1+Archiv!H$134)</f>
        <v>0.10756537569325704</v>
      </c>
      <c r="J22" s="229">
        <f>J21*(1+Archiv!I$134)</f>
        <v>0.17796962684448775</v>
      </c>
      <c r="K22" s="229">
        <f>K21*(1+Archiv!J$134)</f>
        <v>2.885399811814426E-2</v>
      </c>
      <c r="L22" s="229">
        <f>L21*(1+Archiv!K$134)</f>
        <v>1.176079022524674E-2</v>
      </c>
      <c r="M22" s="229">
        <f>M21*(1+Archiv!L$134)</f>
        <v>1.8400548070445839E-2</v>
      </c>
      <c r="N22" s="229">
        <f>N21*(1+Archiv!M$134)</f>
        <v>3.3658654363385991E-2</v>
      </c>
      <c r="O22" s="230">
        <f t="shared" si="0"/>
        <v>307.09208721460021</v>
      </c>
      <c r="P22" s="227">
        <f t="shared" si="1"/>
        <v>0.98246753493173045</v>
      </c>
      <c r="Q22" s="231">
        <f t="shared" si="2"/>
        <v>312.57224925599132</v>
      </c>
    </row>
    <row r="23" spans="1:17">
      <c r="A23" s="226">
        <v>2025</v>
      </c>
      <c r="B23" s="229">
        <f>B22*(1+Archiv!A$134)</f>
        <v>0.19974984355438177</v>
      </c>
      <c r="C23" s="229">
        <f>C22*(1+Archiv!B$134)</f>
        <v>8.9442719099991602E-2</v>
      </c>
      <c r="D23" s="229">
        <f>D22*(1+Archiv!C$134)</f>
        <v>8.4557672626438832E-2</v>
      </c>
      <c r="E23" s="229">
        <f>E22*(1+Archiv!D$134)</f>
        <v>0.15099668870541499</v>
      </c>
      <c r="F23" s="229">
        <f>F22*(1+Archiv!E$134)</f>
        <v>3.4641016151377553E-2</v>
      </c>
      <c r="G23" s="229">
        <f>G22*(1+Archiv!F$134)</f>
        <v>1.4142135623730949E-2</v>
      </c>
      <c r="H23" s="229">
        <f>H22*(1+Archiv!G$134)</f>
        <v>1.4999999999999999E-2</v>
      </c>
      <c r="I23" s="229">
        <f>I22*(1+Archiv!H$134)</f>
        <v>0.10954451150103325</v>
      </c>
      <c r="J23" s="229">
        <f>J22*(1+Archiv!I$134)</f>
        <v>0.18574175621006717</v>
      </c>
      <c r="K23" s="229">
        <f>K22*(1+Archiv!J$134)</f>
        <v>3.1622776601683777E-2</v>
      </c>
      <c r="L23" s="229">
        <f>L22*(1+Archiv!K$134)</f>
        <v>1.2247448713915894E-2</v>
      </c>
      <c r="M23" s="229">
        <f>M22*(1+Archiv!L$134)</f>
        <v>1.9364916731037095E-2</v>
      </c>
      <c r="N23" s="229">
        <f>N22*(1+Archiv!M$134)</f>
        <v>3.4641016151377553E-2</v>
      </c>
      <c r="O23" s="230">
        <f t="shared" si="0"/>
        <v>297.21830016279705</v>
      </c>
      <c r="P23" s="227">
        <f t="shared" si="1"/>
        <v>0.98169250167045063</v>
      </c>
      <c r="Q23" s="231">
        <f t="shared" si="2"/>
        <v>302.76109846723853</v>
      </c>
    </row>
    <row r="24" spans="1:17">
      <c r="A24" s="226">
        <v>2026</v>
      </c>
      <c r="B24" s="229">
        <f>B23*(1+Archiv!A$134)</f>
        <v>0.19776064891371201</v>
      </c>
      <c r="C24" s="229">
        <f>C23*(1+Archiv!B$134)</f>
        <v>8.7468965915462257E-2</v>
      </c>
      <c r="D24" s="229">
        <f>D23*(1+Archiv!C$134)</f>
        <v>8.022414330253165E-2</v>
      </c>
      <c r="E24" s="229">
        <f>E23*(1+Archiv!D$134)</f>
        <v>0.14421491821585614</v>
      </c>
      <c r="F24" s="229">
        <f>F23*(1+Archiv!E$134)</f>
        <v>3.5652049159320076E-2</v>
      </c>
      <c r="G24" s="229">
        <f>G23*(1+Archiv!F$134)</f>
        <v>1.3195079107728941E-2</v>
      </c>
      <c r="H24" s="229">
        <f>H23*(1+Archiv!G$134)</f>
        <v>1.4999999999999999E-2</v>
      </c>
      <c r="I24" s="229">
        <f>I23*(1+Archiv!H$134)</f>
        <v>0.11156006217298278</v>
      </c>
      <c r="J24" s="229">
        <f>J23*(1+Archiv!I$134)</f>
        <v>0.19385330301415191</v>
      </c>
      <c r="K24" s="229">
        <f>K23*(1+Archiv!J$134)</f>
        <v>3.4657242157757298E-2</v>
      </c>
      <c r="L24" s="229">
        <f>L23*(1+Archiv!K$134)</f>
        <v>1.2754245006257913E-2</v>
      </c>
      <c r="M24" s="229">
        <f>M23*(1+Archiv!L$134)</f>
        <v>2.0379827740148081E-2</v>
      </c>
      <c r="N24" s="229">
        <f>N23*(1+Archiv!M$134)</f>
        <v>3.5652049159320076E-2</v>
      </c>
      <c r="O24" s="230">
        <f t="shared" si="0"/>
        <v>287.86814896970225</v>
      </c>
      <c r="P24" s="227">
        <f t="shared" si="1"/>
        <v>0.98237253386522916</v>
      </c>
      <c r="Q24" s="231">
        <f t="shared" si="2"/>
        <v>293.03358862962125</v>
      </c>
    </row>
    <row r="25" spans="1:17">
      <c r="A25" s="226">
        <v>2027</v>
      </c>
      <c r="B25" s="229">
        <f>B24*(1+Archiv!A$134)</f>
        <v>0.19579126352669701</v>
      </c>
      <c r="C25" s="229">
        <f>C24*(1+Archiv!B$134)</f>
        <v>8.5538767999295051E-2</v>
      </c>
      <c r="D25" s="229">
        <f>D24*(1+Archiv!C$134)</f>
        <v>7.6112704722348323E-2</v>
      </c>
      <c r="E25" s="229">
        <f>E24*(1+Archiv!D$134)</f>
        <v>0.13773773990886348</v>
      </c>
      <c r="F25" s="229">
        <f>F24*(1+Archiv!E$134)</f>
        <v>3.6692590185696081E-2</v>
      </c>
      <c r="G25" s="229">
        <f>G24*(1+Archiv!F$134)</f>
        <v>1.2311444133449161E-2</v>
      </c>
      <c r="H25" s="229">
        <f>H24*(1+Archiv!G$134)</f>
        <v>1.4999999999999999E-2</v>
      </c>
      <c r="I25" s="229">
        <f>I24*(1+Archiv!H$134)</f>
        <v>0.1136126977198889</v>
      </c>
      <c r="J25" s="229">
        <f>J24*(1+Archiv!I$134)</f>
        <v>0.20231908998963052</v>
      </c>
      <c r="K25" s="229">
        <f>K24*(1+Archiv!J$134)</f>
        <v>3.7982889646618667E-2</v>
      </c>
      <c r="L25" s="229">
        <f>L24*(1+Archiv!K$134)</f>
        <v>1.3282012399433347E-2</v>
      </c>
      <c r="M25" s="229">
        <f>M24*(1+Archiv!L$134)</f>
        <v>2.1447930011102387E-2</v>
      </c>
      <c r="N25" s="229">
        <f>N24*(1+Archiv!M$134)</f>
        <v>3.6692590185696081E-2</v>
      </c>
      <c r="O25" s="230">
        <f t="shared" si="0"/>
        <v>279.02140119350702</v>
      </c>
      <c r="P25" s="227">
        <f t="shared" si="1"/>
        <v>0.98452172042871899</v>
      </c>
      <c r="Q25" s="231">
        <f t="shared" si="2"/>
        <v>283.40807054211518</v>
      </c>
    </row>
    <row r="26" spans="1:17">
      <c r="A26" s="226">
        <v>2028</v>
      </c>
      <c r="B26" s="229">
        <f>B25*(1+Archiv!A$134)</f>
        <v>0.19384149012429014</v>
      </c>
      <c r="C26" s="229">
        <f>C25*(1+Archiv!B$134)</f>
        <v>8.365116420730187E-2</v>
      </c>
      <c r="D26" s="229">
        <f>D25*(1+Archiv!C$134)</f>
        <v>7.2211974870270368E-2</v>
      </c>
      <c r="E26" s="229">
        <f>E25*(1+Archiv!D$134)</f>
        <v>0.13155147352235452</v>
      </c>
      <c r="F26" s="229">
        <f>F25*(1+Archiv!E$134)</f>
        <v>3.7763500451796092E-2</v>
      </c>
      <c r="G26" s="229">
        <f>G25*(1+Archiv!F$134)</f>
        <v>1.1486983549970348E-2</v>
      </c>
      <c r="H26" s="229">
        <f>H25*(1+Archiv!G$134)</f>
        <v>1.4999999999999999E-2</v>
      </c>
      <c r="I26" s="229">
        <f>I25*(1+Archiv!H$134)</f>
        <v>0.11570310048031529</v>
      </c>
      <c r="J26" s="229">
        <f>J25*(1+Archiv!I$134)</f>
        <v>0.21115458719444144</v>
      </c>
      <c r="K26" s="229">
        <f>K25*(1+Archiv!J$134)</f>
        <v>4.1627660370093626E-2</v>
      </c>
      <c r="L26" s="229">
        <f>L25*(1+Archiv!K$134)</f>
        <v>1.3831618672225923E-2</v>
      </c>
      <c r="M26" s="229">
        <f>M25*(1+Archiv!L$134)</f>
        <v>2.2572011286185873E-2</v>
      </c>
      <c r="N26" s="229">
        <f>N25*(1+Archiv!M$134)</f>
        <v>3.7763500451796092E-2</v>
      </c>
      <c r="O26" s="230">
        <f t="shared" si="0"/>
        <v>270.65922379758149</v>
      </c>
      <c r="P26" s="227">
        <f t="shared" si="1"/>
        <v>0.98815906518104157</v>
      </c>
      <c r="Q26" s="231">
        <f t="shared" si="2"/>
        <v>273.90248527244319</v>
      </c>
    </row>
    <row r="27" spans="1:17">
      <c r="A27" s="226">
        <v>2029</v>
      </c>
      <c r="B27" s="229">
        <f>B26*(1+Archiv!A$134)</f>
        <v>0.19191113340193455</v>
      </c>
      <c r="C27" s="229">
        <f>C26*(1+Archiv!B$134)</f>
        <v>8.1805214605085844E-2</v>
      </c>
      <c r="D27" s="229">
        <f>D26*(1+Archiv!C$134)</f>
        <v>6.8511155052061234E-2</v>
      </c>
      <c r="E27" s="229">
        <f>E26*(1+Archiv!D$134)</f>
        <v>0.12564305322095029</v>
      </c>
      <c r="F27" s="229">
        <f>F26*(1+Archiv!E$134)</f>
        <v>3.8865666314522956E-2</v>
      </c>
      <c r="G27" s="229">
        <f>G26*(1+Archiv!F$134)</f>
        <v>1.0717734625362929E-2</v>
      </c>
      <c r="H27" s="229">
        <f>H26*(1+Archiv!G$134)</f>
        <v>1.4999999999999999E-2</v>
      </c>
      <c r="I27" s="229">
        <f>I26*(1+Archiv!H$134)</f>
        <v>0.11783196534742955</v>
      </c>
      <c r="J27" s="229">
        <f>J26*(1+Archiv!I$134)</f>
        <v>0.22037594028096982</v>
      </c>
      <c r="K27" s="229">
        <f>K26*(1+Archiv!J$134)</f>
        <v>4.5622176827774003E-2</v>
      </c>
      <c r="L27" s="229">
        <f>L26*(1+Archiv!K$134)</f>
        <v>1.4403967511883277E-2</v>
      </c>
      <c r="M27" s="229">
        <f>M26*(1+Archiv!L$134)</f>
        <v>2.375500541264193E-2</v>
      </c>
      <c r="N27" s="229">
        <f>N26*(1+Archiv!M$134)</f>
        <v>3.8865666314522956E-2</v>
      </c>
      <c r="O27" s="230">
        <f t="shared" si="0"/>
        <v>262.76414144608651</v>
      </c>
      <c r="P27" s="227">
        <f t="shared" si="1"/>
        <v>0.99330867891513952</v>
      </c>
      <c r="Q27" s="231">
        <f t="shared" si="2"/>
        <v>264.53422488271144</v>
      </c>
    </row>
    <row r="28" spans="1:17">
      <c r="A28" s="226">
        <v>2030</v>
      </c>
      <c r="B28" s="229">
        <f>B27*(1+Archiv!A$134)</f>
        <v>0.18999999999999997</v>
      </c>
      <c r="C28" s="229">
        <f>C27*(1+Archiv!B$134)</f>
        <v>8.0000000000000016E-2</v>
      </c>
      <c r="D28" s="229">
        <f>D27*(1+Archiv!C$134)</f>
        <v>6.5000000000000016E-2</v>
      </c>
      <c r="E28" s="229">
        <f>E27*(1+Archiv!D$134)</f>
        <v>0.12000000000000004</v>
      </c>
      <c r="F28" s="229">
        <f>F27*(1+Archiv!E$134)</f>
        <v>4.0000000000000022E-2</v>
      </c>
      <c r="G28" s="229">
        <f>G27*(1+Archiv!F$134)</f>
        <v>9.9999999999999985E-3</v>
      </c>
      <c r="H28" s="229">
        <f>H27*(1+Archiv!G$134)</f>
        <v>1.4999999999999999E-2</v>
      </c>
      <c r="I28" s="229">
        <f>I27*(1+Archiv!H$134)</f>
        <v>0.12000000000000004</v>
      </c>
      <c r="J28" s="229">
        <f>J27*(1+Archiv!I$134)</f>
        <v>0.2300000000000002</v>
      </c>
      <c r="K28" s="229">
        <f>K27*(1+Archiv!J$134)</f>
        <v>4.9999999999999954E-2</v>
      </c>
      <c r="L28" s="229">
        <f>L27*(1+Archiv!K$134)</f>
        <v>1.5000000000000006E-2</v>
      </c>
      <c r="M28" s="229">
        <f>M27*(1+Archiv!L$134)</f>
        <v>2.5000000000000026E-2</v>
      </c>
      <c r="N28" s="229">
        <f>N27*(1+Archiv!M$134)</f>
        <v>4.0000000000000022E-2</v>
      </c>
      <c r="O28" s="230">
        <f t="shared" si="0"/>
        <v>255.32000000000005</v>
      </c>
      <c r="P28" s="227">
        <f t="shared" si="1"/>
        <v>1.0000000000000002</v>
      </c>
      <c r="Q28" s="231">
        <f t="shared" si="2"/>
        <v>255.32</v>
      </c>
    </row>
    <row r="29" spans="1:17">
      <c r="A29" s="226">
        <v>2031</v>
      </c>
      <c r="B29" s="229">
        <f>B28*(1+Archiv!A$134)</f>
        <v>0.18810789848441425</v>
      </c>
      <c r="C29" s="229">
        <f>C28*(1+Archiv!B$134)</f>
        <v>7.8234621483434297E-2</v>
      </c>
      <c r="D29" s="229">
        <f>D28*(1+Archiv!C$134)</f>
        <v>6.1668789510108964E-2</v>
      </c>
      <c r="E29" s="229">
        <f>E28*(1+Archiv!D$134)</f>
        <v>0.1146103953290343</v>
      </c>
      <c r="F29" s="229">
        <f>F28*(1+Archiv!E$134)</f>
        <v>4.1167440358590449E-2</v>
      </c>
      <c r="G29" s="229">
        <f>G28*(1+Archiv!F$134)</f>
        <v>9.3303299153680731E-3</v>
      </c>
      <c r="H29" s="229">
        <f>H28*(1+Archiv!G$134)</f>
        <v>1.4999999999999999E-2</v>
      </c>
      <c r="I29" s="229">
        <f>I28*(1+Archiv!H$134)</f>
        <v>0.12220792513764295</v>
      </c>
      <c r="J29" s="229">
        <f>J28*(1+Archiv!I$134)</f>
        <v>0.24004435299313925</v>
      </c>
      <c r="K29" s="229">
        <f>K28*(1+Archiv!J$134)</f>
        <v>5.479791131926081E-2</v>
      </c>
      <c r="L29" s="229">
        <f>L28*(1+Archiv!K$134)</f>
        <v>1.5620696159886167E-2</v>
      </c>
      <c r="M29" s="229">
        <f>M28*(1+Archiv!L$134)</f>
        <v>2.6310244478723165E-2</v>
      </c>
      <c r="N29" s="229">
        <f>N28*(1+Archiv!M$134)</f>
        <v>4.1167440358590449E-2</v>
      </c>
      <c r="O29" s="230">
        <f t="shared" si="0"/>
        <v>248.31193520235604</v>
      </c>
      <c r="P29" s="227">
        <f t="shared" si="1"/>
        <v>1.0082680455281932</v>
      </c>
      <c r="Q29" s="231">
        <f t="shared" si="2"/>
        <v>246.27571636694574</v>
      </c>
    </row>
    <row r="30" spans="1:17">
      <c r="A30" s="226">
        <v>2032</v>
      </c>
      <c r="B30" s="229">
        <f>B29*(1+Archiv!A$134)</f>
        <v>0.18623463932748793</v>
      </c>
      <c r="C30" s="229">
        <f>C29*(1+Archiv!B$134)</f>
        <v>7.6508199983202976E-2</v>
      </c>
      <c r="D30" s="229">
        <f>D29*(1+Archiv!C$134)</f>
        <v>5.8508301532955762E-2</v>
      </c>
      <c r="E30" s="229">
        <f>E29*(1+Archiv!D$134)</f>
        <v>0.10946285597897937</v>
      </c>
      <c r="F30" s="229">
        <f>F29*(1+Archiv!E$134)</f>
        <v>4.236895364195252E-2</v>
      </c>
      <c r="G30" s="229">
        <f>G29*(1+Archiv!F$134)</f>
        <v>8.7055056329612395E-3</v>
      </c>
      <c r="H30" s="229">
        <f>H29*(1+Archiv!G$134)</f>
        <v>1.4999999999999999E-2</v>
      </c>
      <c r="I30" s="229">
        <f>I29*(1+Archiv!H$134)</f>
        <v>0.12445647472039782</v>
      </c>
      <c r="J30" s="229">
        <f>J29*(1+Archiv!I$134)</f>
        <v>0.25052735392997733</v>
      </c>
      <c r="K30" s="229">
        <f>K29*(1+Archiv!J$134)</f>
        <v>6.0056221699071495E-2</v>
      </c>
      <c r="L30" s="229">
        <f>L29*(1+Archiv!K$134)</f>
        <v>1.6267076567965489E-2</v>
      </c>
      <c r="M30" s="229">
        <f>M29*(1+Archiv!L$134)</f>
        <v>2.7689158581207282E-2</v>
      </c>
      <c r="N30" s="229">
        <f>N29*(1+Archiv!M$134)</f>
        <v>4.236895364195252E-2</v>
      </c>
      <c r="O30" s="230">
        <f t="shared" si="0"/>
        <v>241.72634656883383</v>
      </c>
      <c r="P30" s="227">
        <f t="shared" si="1"/>
        <v>1.0181536952381118</v>
      </c>
      <c r="Q30" s="231">
        <f t="shared" si="2"/>
        <v>237.41636228339985</v>
      </c>
    </row>
    <row r="31" spans="1:17">
      <c r="A31" s="226">
        <v>2033</v>
      </c>
      <c r="B31" s="229">
        <f>B30*(1+Archiv!A$134)</f>
        <v>0.18438003488892951</v>
      </c>
      <c r="C31" s="229">
        <f>C30*(1+Archiv!B$134)</f>
        <v>7.481987582580972E-2</v>
      </c>
      <c r="D31" s="229">
        <f>D30*(1+Archiv!C$134)</f>
        <v>5.5509786643535897E-2</v>
      </c>
      <c r="E31" s="229">
        <f>E30*(1+Archiv!D$134)</f>
        <v>0.1045465099799664</v>
      </c>
      <c r="F31" s="229">
        <f>F30*(1+Archiv!E$134)</f>
        <v>4.3605534302774071E-2</v>
      </c>
      <c r="G31" s="229">
        <f>G30*(1+Archiv!F$134)</f>
        <v>8.1225239635623527E-3</v>
      </c>
      <c r="H31" s="229">
        <f>H30*(1+Archiv!G$134)</f>
        <v>1.4999999999999999E-2</v>
      </c>
      <c r="I31" s="229">
        <f>I30*(1+Archiv!H$134)</f>
        <v>0.12674639621271103</v>
      </c>
      <c r="J31" s="229">
        <f>J30*(1+Archiv!I$134)</f>
        <v>0.26146815904871545</v>
      </c>
      <c r="K31" s="229">
        <f>K30*(1+Archiv!J$134)</f>
        <v>6.5819110216711788E-2</v>
      </c>
      <c r="L31" s="229">
        <f>L30*(1+Archiv!K$134)</f>
        <v>1.6940204031852844E-2</v>
      </c>
      <c r="M31" s="229">
        <f>M30*(1+Archiv!L$134)</f>
        <v>2.9140341267267934E-2</v>
      </c>
      <c r="N31" s="229">
        <f>N30*(1+Archiv!M$134)</f>
        <v>4.3605534302774071E-2</v>
      </c>
      <c r="O31" s="230">
        <f t="shared" si="0"/>
        <v>235.5508765281576</v>
      </c>
      <c r="P31" s="227">
        <f t="shared" si="1"/>
        <v>1.0297040106846111</v>
      </c>
      <c r="Q31" s="231">
        <f t="shared" si="2"/>
        <v>228.75590857565831</v>
      </c>
    </row>
    <row r="32" spans="1:17">
      <c r="A32" s="226">
        <v>2034</v>
      </c>
      <c r="B32" s="229">
        <f>B31*(1+Archiv!A$134)</f>
        <v>0.1825438993970501</v>
      </c>
      <c r="C32" s="229">
        <f>C31*(1+Archiv!B$134)</f>
        <v>7.3168808308372232E-2</v>
      </c>
      <c r="D32" s="229">
        <f>D31*(1+Archiv!C$134)</f>
        <v>5.2664943819558031E-2</v>
      </c>
      <c r="E32" s="229">
        <f>E31*(1+Archiv!D$134)</f>
        <v>9.9850973658956454E-2</v>
      </c>
      <c r="F32" s="229">
        <f>F31*(1+Archiv!E$134)</f>
        <v>4.4878205817848016E-2</v>
      </c>
      <c r="G32" s="229">
        <f>G31*(1+Archiv!F$134)</f>
        <v>7.5785828325519878E-3</v>
      </c>
      <c r="H32" s="229">
        <f>H31*(1+Archiv!G$134)</f>
        <v>1.4999999999999999E-2</v>
      </c>
      <c r="I32" s="229">
        <f>I31*(1+Archiv!H$134)</f>
        <v>0.12907845083190847</v>
      </c>
      <c r="J32" s="229">
        <f>J31*(1+Archiv!I$134)</f>
        <v>0.27288676116154814</v>
      </c>
      <c r="K32" s="229">
        <f>K31*(1+Archiv!J$134)</f>
        <v>7.2134995295360577E-2</v>
      </c>
      <c r="L32" s="229">
        <f>L31*(1+Archiv!K$134)</f>
        <v>1.7641185337870117E-2</v>
      </c>
      <c r="M32" s="229">
        <f>M31*(1+Archiv!L$134)</f>
        <v>3.0667580117409766E-2</v>
      </c>
      <c r="N32" s="229">
        <f>N31*(1+Archiv!M$134)</f>
        <v>4.4878205817848016E-2</v>
      </c>
      <c r="O32" s="230">
        <f t="shared" si="0"/>
        <v>229.77439488624691</v>
      </c>
      <c r="P32" s="227">
        <f t="shared" si="1"/>
        <v>1.0429725923962818</v>
      </c>
      <c r="Q32" s="231">
        <f t="shared" si="2"/>
        <v>220.30722241543157</v>
      </c>
    </row>
    <row r="33" spans="1:17">
      <c r="A33" s="232">
        <v>2035</v>
      </c>
      <c r="B33" s="229">
        <f>B32*(1+Archiv!A$134)</f>
        <v>0.18072604893015493</v>
      </c>
      <c r="C33" s="229">
        <f>C32*(1+Archiv!B$134)</f>
        <v>7.155417527999329E-2</v>
      </c>
      <c r="D33" s="229">
        <f>D32*(1+Archiv!C$134)</f>
        <v>4.9965897461077498E-2</v>
      </c>
      <c r="E33" s="229">
        <f>E32*(1+Archiv!D$134)</f>
        <v>9.5366329708683223E-2</v>
      </c>
      <c r="F33" s="229">
        <f>F32*(1+Archiv!E$134)</f>
        <v>4.6188021535170098E-2</v>
      </c>
      <c r="G33" s="229">
        <f>G32*(1+Archiv!F$134)</f>
        <v>7.0710678118654727E-3</v>
      </c>
      <c r="H33" s="229">
        <f>H32*(1+Archiv!G$134)</f>
        <v>1.4999999999999999E-2</v>
      </c>
      <c r="I33" s="229">
        <f>I32*(1+Archiv!H$134)</f>
        <v>0.13145341380123993</v>
      </c>
      <c r="J33" s="229">
        <f>J32*(1+Archiv!I$134)</f>
        <v>0.28480402618876993</v>
      </c>
      <c r="K33" s="229">
        <f>K32*(1+Archiv!J$134)</f>
        <v>7.905694150420936E-2</v>
      </c>
      <c r="L33" s="229">
        <f>L32*(1+Archiv!K$134)</f>
        <v>1.837117307087385E-2</v>
      </c>
      <c r="M33" s="229">
        <f>M32*(1+Archiv!L$134)</f>
        <v>3.2274861218395193E-2</v>
      </c>
      <c r="N33" s="229">
        <f>N32*(1+Archiv!M$134)</f>
        <v>4.6188021535170098E-2</v>
      </c>
      <c r="O33" s="230">
        <f t="shared" si="0"/>
        <v>224.3869887189073</v>
      </c>
      <c r="P33" s="227">
        <f t="shared" si="1"/>
        <v>1.058019978045603</v>
      </c>
      <c r="Q33" s="233">
        <f t="shared" si="2"/>
        <v>212.08199596892274</v>
      </c>
    </row>
    <row r="34" spans="1:17">
      <c r="A34" s="142"/>
      <c r="B34" s="142"/>
      <c r="C34" s="142"/>
      <c r="D34" s="142"/>
      <c r="E34" s="142"/>
      <c r="F34" s="142"/>
      <c r="G34" s="142"/>
      <c r="H34" s="142"/>
      <c r="I34" s="142"/>
      <c r="J34" s="142"/>
      <c r="K34" s="142"/>
      <c r="L34" s="142"/>
      <c r="M34" s="142"/>
      <c r="N34" s="142"/>
      <c r="O34" s="142"/>
      <c r="P34" s="171"/>
      <c r="Q34" s="142"/>
    </row>
    <row r="35" spans="1:17">
      <c r="A35" s="142" t="s">
        <v>380</v>
      </c>
      <c r="B35" s="142"/>
      <c r="C35" s="142"/>
      <c r="D35" s="142"/>
      <c r="E35" s="142"/>
      <c r="F35" s="142"/>
      <c r="G35" s="142"/>
      <c r="H35" s="142"/>
      <c r="I35" s="142"/>
      <c r="J35" s="142"/>
      <c r="K35" s="142"/>
      <c r="L35" s="142"/>
      <c r="M35" s="142"/>
      <c r="N35" s="142"/>
      <c r="O35" s="142"/>
      <c r="P35" s="142"/>
      <c r="Q35" s="142"/>
    </row>
    <row r="36" spans="1:17">
      <c r="A36" s="142" t="s">
        <v>379</v>
      </c>
      <c r="B36" s="219">
        <f ca="1">AVERAGE(OFFSET($A$4,MATCH(Sensitivitätsanalyse!$B$25,$A$5:$A$35,0),B3,Sensitivitätsanalyse!$B$30))</f>
        <v>0.23215467196876169</v>
      </c>
      <c r="C36" s="219">
        <f ca="1">AVERAGE(OFFSET($A$4,MATCH(Sensitivitätsanalyse!$B$25,$A$5:$A$35,0),C3,Sensitivitätsanalyse!$B$30))</f>
        <v>0.10336232746680202</v>
      </c>
      <c r="D36" s="219">
        <f ca="1">AVERAGE(OFFSET($A$4,MATCH(Sensitivitätsanalyse!$B$25,$A$5:$A$35,0),D3,Sensitivitätsanalyse!$B$30))</f>
        <v>0.13325236272849239</v>
      </c>
      <c r="E36" s="219">
        <f ca="1">AVERAGE(OFFSET($A$4,MATCH(Sensitivitätsanalyse!$B$25,$A$5:$A$35,0),E3,Sensitivitätsanalyse!$B$30))</f>
        <v>0.19340803856468666</v>
      </c>
      <c r="F36" s="219">
        <f ca="1">AVERAGE(OFFSET($A$4,MATCH(Sensitivitätsanalyse!$B$25,$A$5:$A$35,0),F3,Sensitivitätsanalyse!$B$30))</f>
        <v>0.03</v>
      </c>
      <c r="G36" s="219">
        <f ca="1">AVERAGE(OFFSET($A$4,MATCH(Sensitivitätsanalyse!$B$25,$A$5:$A$35,0),G3,Sensitivitätsanalyse!$B$30))</f>
        <v>1.5798879246536581E-2</v>
      </c>
      <c r="H36" s="219">
        <f ca="1">AVERAGE(OFFSET($A$4,MATCH(Sensitivitätsanalyse!$B$25,$A$5:$A$35,0),H3,Sensitivitätsanalyse!$B$30))</f>
        <v>1.6582476569197268E-2</v>
      </c>
      <c r="I36" s="219">
        <f ca="1">AVERAGE(OFFSET($A$4,MATCH(Sensitivitätsanalyse!$B$25,$A$5:$A$35,0),I3,Sensitivitätsanalyse!$B$30))</f>
        <v>9.6427846843898934E-2</v>
      </c>
      <c r="J36" s="219">
        <f ca="1">AVERAGE(OFFSET($A$4,MATCH(Sensitivitätsanalyse!$B$25,$A$5:$A$35,0),J3,Sensitivitätsanalyse!$B$30))</f>
        <v>9.2303986840268623E-2</v>
      </c>
      <c r="K36" s="219">
        <f ca="1">AVERAGE(OFFSET($A$4,MATCH(Sensitivitätsanalyse!$B$25,$A$5:$A$35,0),K3,Sensitivitätsanalyse!$B$30))</f>
        <v>1.2583507914464534E-2</v>
      </c>
      <c r="L36" s="219">
        <f ca="1">AVERAGE(OFFSET($A$4,MATCH(Sensitivitätsanalyse!$B$25,$A$5:$A$35,0),L3,Sensitivitätsanalyse!$B$30))</f>
        <v>7.8994396232682906E-3</v>
      </c>
      <c r="M36" s="219">
        <f ca="1">AVERAGE(OFFSET($A$4,MATCH(Sensitivitätsanalyse!$B$25,$A$5:$A$35,0),M3,Sensitivitätsanalyse!$B$30))</f>
        <v>1.0362085136293621E-2</v>
      </c>
      <c r="N36" s="219">
        <f ca="1">AVERAGE(OFFSET($A$4,MATCH(Sensitivitätsanalyse!$B$25,$A$5:$A$35,0),N3,Sensitivitätsanalyse!$B$30))</f>
        <v>2.6108535868774024E-2</v>
      </c>
      <c r="O36" s="215">
        <f ca="1">AVERAGE(OFFSET($A$4,MATCH(Sensitivitätsanalyse!$B$25,$A$5:$A$35,0),O3,Sensitivitätsanalyse!$B$30))</f>
        <v>374.38174621355824</v>
      </c>
      <c r="P36" s="216">
        <f ca="1">AVERAGE(OFFSET($A$4,MATCH(Sensitivitätsanalyse!$B$25,$A$5:$A$35,0),P3,Sensitivitätsanalyse!$B$30))</f>
        <v>0.97024415877144454</v>
      </c>
      <c r="Q36" s="235">
        <f ca="1">AVERAGE(OFFSET($A$4,MATCH(Sensitivitätsanalyse!$B$25,$A$5:$A$35,0),Q3,Sensitivitätsanalyse!$B$30))</f>
        <v>385.91905233794995</v>
      </c>
    </row>
    <row r="37" spans="1:17">
      <c r="A37" s="144" t="s">
        <v>382</v>
      </c>
      <c r="B37" s="219">
        <f>INDEX($B$2:$U$33,MATCH(Sensitivitätsanalyse!$B$25,$A$2:$A$33,0),B3)</f>
        <v>0.24518505747093627</v>
      </c>
      <c r="C37" s="219">
        <f>INDEX($B$2:$U$33,MATCH(Sensitivitätsanalyse!$B$25,$A$2:$A$33,0),C3)</f>
        <v>0.10526606021484572</v>
      </c>
      <c r="D37" s="219">
        <f>INDEX($B$2:$U$33,MATCH(Sensitivitätsanalyse!$B$25,$A$2:$A$33,0),D3)</f>
        <v>0.14763944673461141</v>
      </c>
      <c r="E37" s="219">
        <f>INDEX($B$2:$U$33,MATCH(Sensitivitätsanalyse!$B$25,$A$2:$A$33,0),E3)</f>
        <v>0.19532083971680433</v>
      </c>
      <c r="F37" s="219">
        <f>INDEX($B$2:$U$33,MATCH(Sensitivitätsanalyse!$B$25,$A$2:$A$33,0),F3)</f>
        <v>0.03</v>
      </c>
      <c r="G37" s="219">
        <f>INDEX($B$2:$U$33,MATCH(Sensitivitätsanalyse!$B$25,$A$2:$A$33,0),G3)</f>
        <v>1.3770094511942695E-2</v>
      </c>
      <c r="H37" s="219">
        <f>INDEX($B$2:$U$33,MATCH(Sensitivitätsanalyse!$B$25,$A$2:$A$33,0),H3)</f>
        <v>1.7513218390781165E-2</v>
      </c>
      <c r="I37" s="219">
        <f>INDEX($B$2:$U$33,MATCH(Sensitivitätsanalyse!$B$25,$A$2:$A$33,0),I3)</f>
        <v>9.4484670143224633E-2</v>
      </c>
      <c r="J37" s="219">
        <f>INDEX($B$2:$U$33,MATCH(Sensitivitätsanalyse!$B$25,$A$2:$A$33,0),J3)</f>
        <v>6.8512697422554628E-2</v>
      </c>
      <c r="K37" s="219">
        <f>INDEX($B$2:$U$33,MATCH(Sensitivitätsanalyse!$B$25,$A$2:$A$33,0),K3)</f>
        <v>9.4807751433917103E-3</v>
      </c>
      <c r="L37" s="219">
        <f>INDEX($B$2:$U$33,MATCH(Sensitivitätsanalyse!$B$25,$A$2:$A$33,0),L3)</f>
        <v>6.8850472559713475E-3</v>
      </c>
      <c r="M37" s="219">
        <f>INDEX($B$2:$U$33,MATCH(Sensitivitätsanalyse!$B$25,$A$2:$A$33,0),M3)</f>
        <v>8.3019442800054376E-3</v>
      </c>
      <c r="N37" s="219">
        <f>INDEX($B$2:$U$33,MATCH(Sensitivitätsanalyse!$B$25,$A$2:$A$33,0),N3)</f>
        <v>2.4115867244934957E-2</v>
      </c>
      <c r="O37" s="215">
        <f>INDEX($B$2:$U$33,MATCH(Sensitivitätsanalyse!$B$25,$A$2:$A$33,0),O3)</f>
        <v>388.66520207279734</v>
      </c>
      <c r="P37" s="216">
        <f>INDEX($B$2:$U$33,MATCH(Sensitivitätsanalyse!$B$25,$A$2:$A$33,0),P3)</f>
        <v>0.96647571853000425</v>
      </c>
      <c r="Q37" s="235">
        <f>INDEX($B$2:$U$33,MATCH(Sensitivitätsanalyse!$B$25,$A$2:$A$33,0),Q3)</f>
        <v>402.14688752238033</v>
      </c>
    </row>
    <row r="38" spans="1:17">
      <c r="A38" s="236" t="s">
        <v>383</v>
      </c>
      <c r="B38" s="142"/>
      <c r="C38" s="142"/>
      <c r="D38" s="142"/>
      <c r="E38" s="142"/>
      <c r="F38" s="142"/>
      <c r="G38" s="142"/>
      <c r="H38" s="142"/>
      <c r="I38" s="142"/>
      <c r="J38" s="142"/>
      <c r="K38" s="142"/>
      <c r="L38" s="142"/>
      <c r="M38" s="142"/>
      <c r="N38" s="142"/>
      <c r="O38" s="142"/>
      <c r="P38" s="142"/>
      <c r="Q38" s="142"/>
    </row>
    <row r="39" spans="1:17">
      <c r="A39" s="142" t="s">
        <v>348</v>
      </c>
      <c r="B39" s="142"/>
      <c r="C39" s="142"/>
      <c r="D39" s="142"/>
      <c r="E39" s="142"/>
      <c r="F39" s="142"/>
      <c r="G39" s="142"/>
      <c r="H39" s="142"/>
      <c r="I39" s="142"/>
      <c r="J39" s="142"/>
      <c r="K39" s="142"/>
      <c r="L39" s="142"/>
      <c r="M39" s="142"/>
      <c r="N39" s="142"/>
      <c r="O39" s="142"/>
      <c r="P39" s="142"/>
    </row>
    <row r="40" spans="1:17">
      <c r="A40" s="142" t="s">
        <v>349</v>
      </c>
      <c r="B40" s="142"/>
      <c r="C40" s="142"/>
      <c r="D40" s="142"/>
      <c r="E40" s="142"/>
      <c r="F40" s="142"/>
      <c r="G40" s="142"/>
      <c r="H40" s="142"/>
      <c r="I40" s="142"/>
      <c r="J40" s="142"/>
      <c r="K40" s="142"/>
      <c r="L40" s="142"/>
      <c r="M40" s="142"/>
      <c r="N40" s="142"/>
      <c r="O40" s="142"/>
      <c r="P40" s="142"/>
    </row>
    <row r="41" spans="1:17">
      <c r="A41" s="142" t="s">
        <v>101</v>
      </c>
      <c r="B41" s="142"/>
      <c r="C41" s="142"/>
      <c r="D41" s="142"/>
      <c r="E41" s="142"/>
      <c r="F41" s="142"/>
      <c r="G41" s="142"/>
      <c r="H41" s="142"/>
      <c r="I41" s="142"/>
      <c r="J41" s="142"/>
      <c r="K41" s="142"/>
      <c r="L41" s="142"/>
      <c r="M41" s="142"/>
      <c r="N41" s="142"/>
      <c r="O41" s="142"/>
      <c r="P41" s="142"/>
    </row>
    <row r="42" spans="1:17">
      <c r="A42" s="142" t="s">
        <v>361</v>
      </c>
      <c r="B42" s="142"/>
      <c r="C42" s="142"/>
      <c r="D42" s="142"/>
      <c r="E42" s="142"/>
      <c r="F42" s="142"/>
      <c r="G42" s="142"/>
      <c r="H42" s="142"/>
      <c r="I42" s="142"/>
      <c r="J42" s="142"/>
      <c r="K42" s="142"/>
      <c r="L42" s="142"/>
      <c r="M42" s="142"/>
      <c r="N42" s="142"/>
      <c r="O42" s="142"/>
      <c r="P42" s="142"/>
    </row>
    <row r="43" spans="1:17">
      <c r="A43" s="142"/>
      <c r="B43" s="142"/>
      <c r="C43" s="142"/>
      <c r="D43" s="142"/>
      <c r="E43" s="142"/>
      <c r="F43" s="142"/>
      <c r="G43" s="142"/>
      <c r="H43" s="142"/>
      <c r="I43" s="142"/>
      <c r="J43" s="142"/>
      <c r="K43" s="142"/>
      <c r="L43" s="142"/>
      <c r="M43" s="142"/>
      <c r="N43" s="142"/>
      <c r="O43" s="142"/>
      <c r="P43" s="142"/>
    </row>
    <row r="44" spans="1:17">
      <c r="A44" s="142"/>
      <c r="B44" s="142"/>
      <c r="C44" s="142"/>
      <c r="D44" s="142"/>
      <c r="E44" s="142"/>
      <c r="F44" s="142"/>
      <c r="G44" s="142"/>
      <c r="H44" s="142"/>
      <c r="I44" s="142"/>
      <c r="J44" s="142"/>
      <c r="K44" s="142"/>
      <c r="L44" s="142"/>
      <c r="M44" s="142"/>
      <c r="N44" s="142"/>
      <c r="O44" s="142"/>
      <c r="P44" s="142"/>
    </row>
    <row r="45" spans="1:17">
      <c r="A45" s="142"/>
      <c r="B45" s="142"/>
      <c r="C45" s="142"/>
      <c r="D45" s="142"/>
      <c r="E45" s="142"/>
      <c r="F45" s="142"/>
      <c r="G45" s="142"/>
      <c r="H45" s="142"/>
      <c r="I45" s="142"/>
      <c r="J45" s="142"/>
      <c r="K45" s="142"/>
      <c r="L45" s="142"/>
      <c r="M45" s="142"/>
      <c r="N45" s="142"/>
      <c r="O45" s="142"/>
      <c r="P45" s="142"/>
    </row>
    <row r="46" spans="1:17">
      <c r="A46" s="142"/>
      <c r="B46" s="142"/>
      <c r="C46" s="142"/>
      <c r="D46" s="142"/>
      <c r="E46" s="142"/>
      <c r="F46" s="142"/>
      <c r="G46" s="142"/>
      <c r="H46" s="142"/>
      <c r="I46" s="142"/>
      <c r="J46" s="142"/>
      <c r="K46" s="142"/>
      <c r="L46" s="142"/>
      <c r="M46" s="142"/>
      <c r="N46" s="142"/>
      <c r="O46" s="142"/>
      <c r="P46" s="142"/>
    </row>
    <row r="47" spans="1:17">
      <c r="A47" s="142"/>
      <c r="B47" s="142"/>
      <c r="C47" s="142"/>
      <c r="D47" s="142"/>
      <c r="E47" s="142"/>
      <c r="F47" s="142"/>
      <c r="G47" s="142"/>
      <c r="H47" s="142"/>
      <c r="I47" s="142"/>
      <c r="J47" s="142"/>
      <c r="K47" s="142"/>
      <c r="L47" s="142"/>
      <c r="M47" s="142"/>
      <c r="N47" s="142"/>
      <c r="O47" s="142"/>
      <c r="P47" s="142"/>
    </row>
    <row r="48" spans="1:17">
      <c r="A48" s="142"/>
      <c r="B48" s="142"/>
      <c r="C48" s="142"/>
      <c r="D48" s="142"/>
      <c r="E48" s="142"/>
      <c r="F48" s="142"/>
      <c r="G48" s="142"/>
      <c r="H48" s="142"/>
      <c r="I48" s="142"/>
      <c r="J48" s="142"/>
      <c r="K48" s="142"/>
      <c r="L48" s="142"/>
      <c r="M48" s="142"/>
      <c r="N48" s="142"/>
      <c r="O48" s="142"/>
      <c r="P48" s="142"/>
    </row>
    <row r="49" spans="1:16">
      <c r="A49" s="142"/>
      <c r="B49" s="142"/>
      <c r="C49" s="142"/>
      <c r="D49" s="142"/>
      <c r="E49" s="142"/>
      <c r="F49" s="142"/>
      <c r="G49" s="142"/>
      <c r="H49" s="142"/>
      <c r="I49" s="142"/>
      <c r="J49" s="142"/>
      <c r="K49" s="142"/>
      <c r="L49" s="142"/>
      <c r="M49" s="142"/>
      <c r="N49" s="142"/>
      <c r="O49" s="142"/>
      <c r="P49" s="142"/>
    </row>
    <row r="50" spans="1:16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42"/>
      <c r="O50" s="142"/>
      <c r="P50" s="142"/>
    </row>
    <row r="51" spans="1:16">
      <c r="A51" s="142"/>
      <c r="B51" s="142"/>
      <c r="C51" s="142"/>
      <c r="D51" s="142"/>
      <c r="E51" s="142"/>
      <c r="F51" s="142"/>
      <c r="G51" s="142"/>
      <c r="H51" s="142"/>
      <c r="I51" s="142"/>
      <c r="J51" s="142"/>
      <c r="K51" s="142"/>
      <c r="L51" s="142"/>
      <c r="M51" s="142"/>
      <c r="N51" s="142"/>
      <c r="O51" s="142"/>
      <c r="P51" s="142"/>
    </row>
    <row r="57" spans="1:16"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</row>
  </sheetData>
  <mergeCells count="1">
    <mergeCell ref="B1:Q1"/>
  </mergeCells>
  <pageMargins left="0.7" right="0.7" top="0.78740157499999996" bottom="0.78740157499999996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32" operator="between" id="{1F760AFA-453B-40E3-9FAB-387047CF9416}">
            <xm:f>Sensitivitätsanalyse!$B$25</xm:f>
            <xm:f>Sensitivitätsanalyse!$B$25+'Eingabe und Ausgabe'!$J$3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A5:A33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43"/>
  <sheetViews>
    <sheetView workbookViewId="0">
      <selection activeCell="H25" sqref="H25"/>
    </sheetView>
  </sheetViews>
  <sheetFormatPr baseColWidth="10" defaultColWidth="11.5" defaultRowHeight="15"/>
  <cols>
    <col min="1" max="1" width="13.33203125" style="142" customWidth="1"/>
    <col min="2" max="2" width="14" style="142" bestFit="1" customWidth="1"/>
    <col min="3" max="3" width="11" style="142" bestFit="1" customWidth="1"/>
    <col min="4" max="4" width="11.5" style="142" bestFit="1" customWidth="1"/>
    <col min="5" max="5" width="14" style="142" bestFit="1" customWidth="1"/>
    <col min="6" max="6" width="11" style="142" bestFit="1" customWidth="1"/>
    <col min="7" max="7" width="11.5" style="142" bestFit="1" customWidth="1"/>
    <col min="8" max="8" width="11.5" style="142" customWidth="1"/>
    <col min="9" max="9" width="11.83203125" style="142" bestFit="1" customWidth="1"/>
    <col min="10" max="10" width="5.1640625" style="142" customWidth="1"/>
    <col min="11" max="12" width="4.5" style="142" bestFit="1" customWidth="1"/>
    <col min="13" max="14" width="6.1640625" style="142" bestFit="1" customWidth="1"/>
    <col min="15" max="16" width="9" style="142" bestFit="1" customWidth="1"/>
    <col min="17" max="17" width="7" style="142" bestFit="1" customWidth="1"/>
    <col min="18" max="18" width="8" style="142" bestFit="1" customWidth="1"/>
    <col min="19" max="19" width="12" style="142" bestFit="1" customWidth="1"/>
    <col min="20" max="20" width="10" style="142" bestFit="1" customWidth="1"/>
    <col min="21" max="21" width="11.5" style="142"/>
    <col min="22" max="22" width="9.5" style="142" bestFit="1" customWidth="1"/>
    <col min="23" max="16384" width="11.5" style="142"/>
  </cols>
  <sheetData>
    <row r="1" spans="1:20">
      <c r="A1" s="2" t="s">
        <v>1009</v>
      </c>
      <c r="J1" s="208" t="s">
        <v>1007</v>
      </c>
      <c r="K1" s="655" t="s">
        <v>1016</v>
      </c>
      <c r="L1" s="655"/>
      <c r="M1" s="655" t="s">
        <v>678</v>
      </c>
      <c r="N1" s="655"/>
      <c r="O1" s="655" t="s">
        <v>1017</v>
      </c>
      <c r="P1" s="655"/>
      <c r="Q1" s="650" t="s">
        <v>1018</v>
      </c>
      <c r="R1" s="654"/>
      <c r="S1" s="208" t="s">
        <v>779</v>
      </c>
      <c r="T1" s="208" t="s">
        <v>1008</v>
      </c>
    </row>
    <row r="2" spans="1:20">
      <c r="A2" s="55"/>
      <c r="B2" s="2" t="s">
        <v>634</v>
      </c>
      <c r="E2" s="2" t="s">
        <v>635</v>
      </c>
      <c r="J2" s="208"/>
      <c r="K2" s="208" t="s">
        <v>1</v>
      </c>
      <c r="L2" s="208" t="s">
        <v>0</v>
      </c>
      <c r="M2" s="208" t="s">
        <v>1</v>
      </c>
      <c r="N2" s="208" t="s">
        <v>0</v>
      </c>
      <c r="O2" s="208" t="s">
        <v>1</v>
      </c>
      <c r="P2" s="208" t="s">
        <v>0</v>
      </c>
      <c r="Q2" s="208" t="s">
        <v>1</v>
      </c>
      <c r="R2" s="208" t="s">
        <v>0</v>
      </c>
      <c r="S2" s="208" t="s">
        <v>23</v>
      </c>
      <c r="T2" s="208" t="s">
        <v>914</v>
      </c>
    </row>
    <row r="3" spans="1:20">
      <c r="A3" s="55"/>
      <c r="B3" s="142" t="s">
        <v>632</v>
      </c>
      <c r="C3" s="142" t="s">
        <v>633</v>
      </c>
      <c r="D3" s="142" t="s">
        <v>400</v>
      </c>
      <c r="E3" s="142" t="s">
        <v>632</v>
      </c>
      <c r="F3" s="142" t="s">
        <v>633</v>
      </c>
      <c r="G3" s="142" t="s">
        <v>400</v>
      </c>
      <c r="J3" s="200">
        <v>0</v>
      </c>
      <c r="K3" s="144"/>
      <c r="L3" s="144"/>
      <c r="M3" s="188">
        <v>1</v>
      </c>
      <c r="N3" s="188">
        <v>1</v>
      </c>
      <c r="O3" s="189">
        <f>'NR Fahrzeug&amp;Fahrverhalten'!$J$13</f>
        <v>21525</v>
      </c>
      <c r="P3" s="189">
        <f>'NR Fahrzeug&amp;Fahrverhalten'!$K$13</f>
        <v>34642.445653265364</v>
      </c>
      <c r="Q3" s="189"/>
      <c r="R3" s="189"/>
      <c r="S3" s="189">
        <v>0</v>
      </c>
      <c r="T3" s="190">
        <f>Sensitivitätsanalyse!$B$28</f>
        <v>12</v>
      </c>
    </row>
    <row r="4" spans="1:20">
      <c r="A4" s="658" t="s">
        <v>300</v>
      </c>
      <c r="B4" s="194">
        <v>11770</v>
      </c>
      <c r="C4" s="171">
        <f t="shared" ref="C4:C9" si="0">B4/$B$4</f>
        <v>1</v>
      </c>
      <c r="E4" s="194">
        <v>11770</v>
      </c>
      <c r="F4" s="171">
        <f t="shared" ref="F4:F9" si="1">E4/$B$4</f>
        <v>1</v>
      </c>
      <c r="J4" s="200">
        <v>1</v>
      </c>
      <c r="K4" s="559">
        <f>$O$22</f>
        <v>0.4</v>
      </c>
      <c r="L4" s="559">
        <f>$P$22</f>
        <v>0.5</v>
      </c>
      <c r="M4" s="557">
        <f>(1-K4)*M3</f>
        <v>0.6</v>
      </c>
      <c r="N4" s="557">
        <f>(1-L4)*N3</f>
        <v>0.5</v>
      </c>
      <c r="O4" s="568">
        <f t="shared" ref="O4:O15" si="2">M4*O$3</f>
        <v>12915</v>
      </c>
      <c r="P4" s="568">
        <f t="shared" ref="P4:P15" si="3">N4*P$3</f>
        <v>17321.222826632682</v>
      </c>
      <c r="Q4" s="568">
        <f>O3-O4</f>
        <v>8610</v>
      </c>
      <c r="R4" s="568">
        <f>P3-P4</f>
        <v>17321.222826632682</v>
      </c>
      <c r="S4" s="553">
        <f>Sensitivitätsanalyse!$B$29*J4</f>
        <v>15000</v>
      </c>
      <c r="T4" s="193">
        <f t="shared" ref="T4:T18" si="4">T3-1</f>
        <v>11</v>
      </c>
    </row>
    <row r="5" spans="1:20">
      <c r="A5" s="658"/>
      <c r="B5" s="194">
        <v>7497</v>
      </c>
      <c r="C5" s="171">
        <f t="shared" si="0"/>
        <v>0.63695836873406964</v>
      </c>
      <c r="D5" s="197">
        <f>1-(B5/B4)</f>
        <v>0.36304163126593036</v>
      </c>
      <c r="E5" s="194">
        <v>7355</v>
      </c>
      <c r="F5" s="171">
        <f t="shared" si="1"/>
        <v>0.62489379779099408</v>
      </c>
      <c r="G5" s="197">
        <f>1-(E5/E4)</f>
        <v>0.37510620220900592</v>
      </c>
      <c r="J5" s="200">
        <v>2</v>
      </c>
      <c r="K5" s="559">
        <f>IF($J5&lt;=Sensitivitätsanalyse!$B$28,$O$23,$O$24)</f>
        <v>0.1</v>
      </c>
      <c r="L5" s="559">
        <f>IF($J5&lt;=Sensitivitätsanalyse!$B$28,$P$23,$P$24)</f>
        <v>0.125</v>
      </c>
      <c r="M5" s="557">
        <f t="shared" ref="M5:N15" si="5">(1-K5)*M4</f>
        <v>0.54</v>
      </c>
      <c r="N5" s="557">
        <f t="shared" si="5"/>
        <v>0.4375</v>
      </c>
      <c r="O5" s="568">
        <f t="shared" si="2"/>
        <v>11623.5</v>
      </c>
      <c r="P5" s="568">
        <f t="shared" si="3"/>
        <v>15156.069973303596</v>
      </c>
      <c r="Q5" s="568">
        <f t="shared" ref="Q5:Q18" si="6">O4-O5</f>
        <v>1291.5</v>
      </c>
      <c r="R5" s="568">
        <f t="shared" ref="R5:R18" si="7">P4-P5</f>
        <v>2165.1528533290857</v>
      </c>
      <c r="S5" s="553">
        <f>Sensitivitätsanalyse!$B$29*J5</f>
        <v>30000</v>
      </c>
      <c r="T5" s="193">
        <f t="shared" si="4"/>
        <v>10</v>
      </c>
    </row>
    <row r="6" spans="1:20">
      <c r="A6" s="658"/>
      <c r="B6" s="194">
        <v>6725</v>
      </c>
      <c r="C6" s="171">
        <f t="shared" si="0"/>
        <v>0.5713678844519966</v>
      </c>
      <c r="D6" s="197">
        <f>1-(B6/B5)</f>
        <v>0.10297452314259037</v>
      </c>
      <c r="E6" s="194">
        <v>6460</v>
      </c>
      <c r="F6" s="171">
        <f t="shared" si="1"/>
        <v>0.54885301614273574</v>
      </c>
      <c r="G6" s="197">
        <f>1-(E6/E5)</f>
        <v>0.12168592794017674</v>
      </c>
      <c r="J6" s="200">
        <v>3</v>
      </c>
      <c r="K6" s="559">
        <f>IF($J6&lt;=Sensitivitätsanalyse!$B$28,$O$23,$O$24)</f>
        <v>0.1</v>
      </c>
      <c r="L6" s="559">
        <f>IF($J6&lt;=Sensitivitätsanalyse!$B$28,$P$23,$P$24)</f>
        <v>0.125</v>
      </c>
      <c r="M6" s="557">
        <f t="shared" si="5"/>
        <v>0.48600000000000004</v>
      </c>
      <c r="N6" s="557">
        <f t="shared" si="5"/>
        <v>0.3828125</v>
      </c>
      <c r="O6" s="568">
        <f t="shared" si="2"/>
        <v>10461.150000000001</v>
      </c>
      <c r="P6" s="568">
        <f t="shared" si="3"/>
        <v>13261.561226640648</v>
      </c>
      <c r="Q6" s="568">
        <f t="shared" si="6"/>
        <v>1162.3499999999985</v>
      </c>
      <c r="R6" s="568">
        <f t="shared" si="7"/>
        <v>1894.5087466629484</v>
      </c>
      <c r="S6" s="553">
        <f>Sensitivitätsanalyse!$B$29*J6</f>
        <v>45000</v>
      </c>
      <c r="T6" s="193">
        <f t="shared" si="4"/>
        <v>9</v>
      </c>
    </row>
    <row r="7" spans="1:20">
      <c r="A7" s="658"/>
      <c r="B7" s="194">
        <v>5487</v>
      </c>
      <c r="C7" s="171">
        <f t="shared" si="0"/>
        <v>0.4661852166525064</v>
      </c>
      <c r="D7" s="197">
        <f>1-(B7/B6)</f>
        <v>0.18408921933085498</v>
      </c>
      <c r="E7" s="194">
        <v>5148</v>
      </c>
      <c r="F7" s="171">
        <f t="shared" si="1"/>
        <v>0.43738317757009348</v>
      </c>
      <c r="G7" s="197">
        <f>1-(E7/E6)</f>
        <v>0.20309597523219813</v>
      </c>
      <c r="J7" s="200">
        <v>4</v>
      </c>
      <c r="K7" s="559">
        <f>IF($J7&lt;=Sensitivitätsanalyse!$B$28,$O$23,$O$24)</f>
        <v>0.1</v>
      </c>
      <c r="L7" s="559">
        <f>IF($J7&lt;=Sensitivitätsanalyse!$B$28,$P$23,$P$24)</f>
        <v>0.125</v>
      </c>
      <c r="M7" s="557">
        <f t="shared" si="5"/>
        <v>0.43740000000000007</v>
      </c>
      <c r="N7" s="557">
        <f t="shared" si="5"/>
        <v>0.3349609375</v>
      </c>
      <c r="O7" s="568">
        <f t="shared" si="2"/>
        <v>9415.0350000000017</v>
      </c>
      <c r="P7" s="568">
        <f t="shared" si="3"/>
        <v>11603.866073310566</v>
      </c>
      <c r="Q7" s="568">
        <f t="shared" si="6"/>
        <v>1046.1149999999998</v>
      </c>
      <c r="R7" s="568">
        <f t="shared" si="7"/>
        <v>1657.6951533300817</v>
      </c>
      <c r="S7" s="553">
        <f>Sensitivitätsanalyse!$B$29*J7</f>
        <v>60000</v>
      </c>
      <c r="T7" s="193">
        <f t="shared" si="4"/>
        <v>8</v>
      </c>
    </row>
    <row r="8" spans="1:20">
      <c r="A8" s="658"/>
      <c r="B8" s="194">
        <v>4845</v>
      </c>
      <c r="C8" s="171">
        <f t="shared" si="0"/>
        <v>0.41163976210705183</v>
      </c>
      <c r="D8" s="197">
        <f>1-(B8/B7)</f>
        <v>0.11700382722799341</v>
      </c>
      <c r="E8" s="194">
        <v>4452</v>
      </c>
      <c r="F8" s="171">
        <f t="shared" si="1"/>
        <v>0.37824978759558198</v>
      </c>
      <c r="G8" s="197">
        <f>1-(E8/E7)</f>
        <v>0.13519813519813517</v>
      </c>
      <c r="J8" s="200">
        <v>5</v>
      </c>
      <c r="K8" s="559">
        <f>IF($J8&lt;=Sensitivitätsanalyse!$B$28,$O$23,$O$24)</f>
        <v>0.1</v>
      </c>
      <c r="L8" s="559">
        <f>IF($J8&lt;=Sensitivitätsanalyse!$B$28,$P$23,$P$24)</f>
        <v>0.125</v>
      </c>
      <c r="M8" s="557">
        <f t="shared" si="5"/>
        <v>0.39366000000000007</v>
      </c>
      <c r="N8" s="557">
        <f t="shared" si="5"/>
        <v>0.2930908203125</v>
      </c>
      <c r="O8" s="568">
        <f t="shared" si="2"/>
        <v>8473.531500000001</v>
      </c>
      <c r="P8" s="568">
        <f t="shared" si="3"/>
        <v>10153.382814146746</v>
      </c>
      <c r="Q8" s="568">
        <f t="shared" si="6"/>
        <v>941.50350000000071</v>
      </c>
      <c r="R8" s="568">
        <f t="shared" si="7"/>
        <v>1450.4832591638205</v>
      </c>
      <c r="S8" s="553">
        <f>Sensitivitätsanalyse!$B$29*J8</f>
        <v>75000</v>
      </c>
      <c r="T8" s="193">
        <f t="shared" si="4"/>
        <v>7</v>
      </c>
    </row>
    <row r="9" spans="1:20">
      <c r="A9" s="658"/>
      <c r="B9" s="194">
        <v>4403</v>
      </c>
      <c r="C9" s="171">
        <f t="shared" si="0"/>
        <v>0.37408666100254884</v>
      </c>
      <c r="D9" s="197">
        <f>1-(B9/B8)</f>
        <v>9.1228070175438547E-2</v>
      </c>
      <c r="E9" s="194">
        <v>3952</v>
      </c>
      <c r="F9" s="171">
        <f t="shared" si="1"/>
        <v>0.33576890399320308</v>
      </c>
      <c r="G9" s="197">
        <f>1-(E9/E8)</f>
        <v>0.11230907457322548</v>
      </c>
      <c r="J9" s="236">
        <v>6</v>
      </c>
      <c r="K9" s="560">
        <f>IF($J9&lt;=Sensitivitätsanalyse!$B$28,$O$23,$O$24)</f>
        <v>0.1</v>
      </c>
      <c r="L9" s="560">
        <f>IF($J9&lt;=Sensitivitätsanalyse!$B$28,$P$23,$P$24)</f>
        <v>0.125</v>
      </c>
      <c r="M9" s="558">
        <f t="shared" si="5"/>
        <v>0.35429400000000005</v>
      </c>
      <c r="N9" s="558">
        <f t="shared" si="5"/>
        <v>0.2564544677734375</v>
      </c>
      <c r="O9" s="569">
        <f t="shared" si="2"/>
        <v>7626.178350000001</v>
      </c>
      <c r="P9" s="569">
        <f t="shared" si="3"/>
        <v>8884.2099623784015</v>
      </c>
      <c r="Q9" s="569">
        <f t="shared" si="6"/>
        <v>847.35314999999991</v>
      </c>
      <c r="R9" s="569">
        <f t="shared" si="7"/>
        <v>1269.1728517683441</v>
      </c>
      <c r="S9" s="551">
        <f>Sensitivitätsanalyse!$B$29*J9</f>
        <v>90000</v>
      </c>
      <c r="T9" s="552">
        <f t="shared" si="4"/>
        <v>6</v>
      </c>
    </row>
    <row r="10" spans="1:20">
      <c r="A10" s="55"/>
      <c r="B10" s="194"/>
      <c r="E10" s="194"/>
      <c r="J10" s="200">
        <v>7</v>
      </c>
      <c r="K10" s="559">
        <f>IF($J10&lt;=Sensitivitätsanalyse!$B$28,$O$23,$O$24)</f>
        <v>0.1</v>
      </c>
      <c r="L10" s="559">
        <f>IF($J10&lt;=Sensitivitätsanalyse!$B$28,$P$23,$P$24)</f>
        <v>0.125</v>
      </c>
      <c r="M10" s="557">
        <f t="shared" si="5"/>
        <v>0.31886460000000005</v>
      </c>
      <c r="N10" s="557">
        <f t="shared" si="5"/>
        <v>0.22439765930175781</v>
      </c>
      <c r="O10" s="568">
        <f t="shared" si="2"/>
        <v>6863.560515000001</v>
      </c>
      <c r="P10" s="568">
        <f t="shared" si="3"/>
        <v>7773.6837170811023</v>
      </c>
      <c r="Q10" s="568">
        <f t="shared" si="6"/>
        <v>762.61783500000001</v>
      </c>
      <c r="R10" s="568">
        <f t="shared" si="7"/>
        <v>1110.5262452972993</v>
      </c>
      <c r="S10" s="553">
        <f>Sensitivitätsanalyse!$B$29*J10</f>
        <v>105000</v>
      </c>
      <c r="T10" s="193">
        <f t="shared" si="4"/>
        <v>5</v>
      </c>
    </row>
    <row r="11" spans="1:20">
      <c r="A11" s="657" t="s">
        <v>301</v>
      </c>
      <c r="B11" s="194">
        <v>17445</v>
      </c>
      <c r="C11" s="171">
        <f>B11/$B$11</f>
        <v>1</v>
      </c>
      <c r="E11" s="194">
        <v>17445</v>
      </c>
      <c r="F11" s="171">
        <f>E11/$B$11</f>
        <v>1</v>
      </c>
      <c r="J11" s="200">
        <v>8</v>
      </c>
      <c r="K11" s="559">
        <f>IF($J11&lt;=Sensitivitätsanalyse!$B$28,$O$23,$O$24)</f>
        <v>0.1</v>
      </c>
      <c r="L11" s="559">
        <f>IF($J11&lt;=Sensitivitätsanalyse!$B$28,$P$23,$P$24)</f>
        <v>0.125</v>
      </c>
      <c r="M11" s="557">
        <f t="shared" si="5"/>
        <v>0.28697814000000005</v>
      </c>
      <c r="N11" s="557">
        <f t="shared" si="5"/>
        <v>0.19634795188903809</v>
      </c>
      <c r="O11" s="568">
        <f t="shared" si="2"/>
        <v>6177.2044635000011</v>
      </c>
      <c r="P11" s="568">
        <f t="shared" si="3"/>
        <v>6801.9732524459641</v>
      </c>
      <c r="Q11" s="568">
        <f t="shared" si="6"/>
        <v>686.35605149999992</v>
      </c>
      <c r="R11" s="568">
        <f t="shared" si="7"/>
        <v>971.71046463513812</v>
      </c>
      <c r="S11" s="553">
        <f>Sensitivitätsanalyse!$B$29*J11</f>
        <v>120000</v>
      </c>
      <c r="T11" s="193">
        <f t="shared" si="4"/>
        <v>4</v>
      </c>
    </row>
    <row r="12" spans="1:20">
      <c r="A12" s="657"/>
      <c r="B12" s="194">
        <v>10632</v>
      </c>
      <c r="C12" s="171">
        <f>B12/$B$11</f>
        <v>0.60945829750644887</v>
      </c>
      <c r="D12" s="197">
        <f>1-(B12/B11)</f>
        <v>0.39054170249355113</v>
      </c>
      <c r="E12" s="194">
        <v>10466</v>
      </c>
      <c r="F12" s="171">
        <f>E12/$B$11</f>
        <v>0.59994267698480941</v>
      </c>
      <c r="G12" s="197">
        <f>1-(E12/E11)</f>
        <v>0.40005732301519059</v>
      </c>
      <c r="J12" s="200">
        <v>9</v>
      </c>
      <c r="K12" s="559">
        <f>IF($J12&lt;=Sensitivitätsanalyse!$B$28,$O$23,$O$24)</f>
        <v>0.1</v>
      </c>
      <c r="L12" s="559">
        <f>IF($J12&lt;=Sensitivitätsanalyse!$B$28,$P$23,$P$24)</f>
        <v>0.125</v>
      </c>
      <c r="M12" s="557">
        <f t="shared" si="5"/>
        <v>0.25828032600000006</v>
      </c>
      <c r="N12" s="557">
        <f t="shared" si="5"/>
        <v>0.17180445790290833</v>
      </c>
      <c r="O12" s="568">
        <f t="shared" si="2"/>
        <v>5559.4840171500009</v>
      </c>
      <c r="P12" s="568">
        <f t="shared" si="3"/>
        <v>5951.726595890219</v>
      </c>
      <c r="Q12" s="568">
        <f t="shared" si="6"/>
        <v>617.7204463500002</v>
      </c>
      <c r="R12" s="568">
        <f t="shared" si="7"/>
        <v>850.24665655574518</v>
      </c>
      <c r="S12" s="553">
        <f>Sensitivitätsanalyse!$B$29*J12</f>
        <v>135000</v>
      </c>
      <c r="T12" s="193">
        <f t="shared" si="4"/>
        <v>3</v>
      </c>
    </row>
    <row r="13" spans="1:20">
      <c r="A13" s="657"/>
      <c r="B13" s="194">
        <v>9669</v>
      </c>
      <c r="C13" s="171">
        <f>B13/$B$11</f>
        <v>0.55425623387790202</v>
      </c>
      <c r="D13" s="197">
        <f>1-(B13/B12)</f>
        <v>9.0575620767494369E-2</v>
      </c>
      <c r="E13" s="194">
        <v>9409</v>
      </c>
      <c r="F13" s="171">
        <f>E13/$B$11</f>
        <v>0.53935224992834618</v>
      </c>
      <c r="G13" s="197">
        <f>1-(E13/E12)</f>
        <v>0.10099369386585133</v>
      </c>
      <c r="J13" s="200">
        <v>10</v>
      </c>
      <c r="K13" s="559">
        <f>IF($J13&lt;=Sensitivitätsanalyse!$B$28,$O$23,$O$24)</f>
        <v>0.1</v>
      </c>
      <c r="L13" s="559">
        <f>IF($J13&lt;=Sensitivitätsanalyse!$B$28,$P$23,$P$24)</f>
        <v>0.125</v>
      </c>
      <c r="M13" s="557">
        <f t="shared" si="5"/>
        <v>0.23245229340000007</v>
      </c>
      <c r="N13" s="557">
        <f t="shared" si="5"/>
        <v>0.15032890066504478</v>
      </c>
      <c r="O13" s="568">
        <f t="shared" si="2"/>
        <v>5003.5356154350011</v>
      </c>
      <c r="P13" s="568">
        <f t="shared" si="3"/>
        <v>5207.7607714039414</v>
      </c>
      <c r="Q13" s="568">
        <f t="shared" si="6"/>
        <v>555.94840171499982</v>
      </c>
      <c r="R13" s="568">
        <f t="shared" si="7"/>
        <v>743.9658244862776</v>
      </c>
      <c r="S13" s="553">
        <f>Sensitivitätsanalyse!$B$29*J13</f>
        <v>150000</v>
      </c>
      <c r="T13" s="193">
        <f t="shared" si="4"/>
        <v>2</v>
      </c>
    </row>
    <row r="14" spans="1:20">
      <c r="A14" s="657"/>
      <c r="B14" s="194">
        <v>8809</v>
      </c>
      <c r="C14" s="171">
        <f>B14/$B$11</f>
        <v>0.50495844081398678</v>
      </c>
      <c r="D14" s="197">
        <f>1-(B14/B13)</f>
        <v>8.8944047988416597E-2</v>
      </c>
      <c r="E14" s="194">
        <v>8463</v>
      </c>
      <c r="F14" s="171">
        <f>E14/$B$11</f>
        <v>0.48512467755803956</v>
      </c>
      <c r="G14" s="197">
        <f>1-(E14/E13)</f>
        <v>0.10054203422255292</v>
      </c>
      <c r="J14" s="200">
        <v>11</v>
      </c>
      <c r="K14" s="559">
        <f>IF($J14&lt;=Sensitivitätsanalyse!$B$28,$O$23,$O$24)</f>
        <v>0.1</v>
      </c>
      <c r="L14" s="559">
        <f>IF($J14&lt;=Sensitivitätsanalyse!$B$28,$P$23,$P$24)</f>
        <v>0.125</v>
      </c>
      <c r="M14" s="557">
        <f t="shared" si="5"/>
        <v>0.20920706406000006</v>
      </c>
      <c r="N14" s="557">
        <f t="shared" si="5"/>
        <v>0.13153778808191419</v>
      </c>
      <c r="O14" s="568">
        <f t="shared" si="2"/>
        <v>4503.1820538915017</v>
      </c>
      <c r="P14" s="568">
        <f t="shared" si="3"/>
        <v>4556.7906749784488</v>
      </c>
      <c r="Q14" s="568">
        <f t="shared" si="6"/>
        <v>500.35356154349938</v>
      </c>
      <c r="R14" s="568">
        <f t="shared" si="7"/>
        <v>650.97009642549256</v>
      </c>
      <c r="S14" s="553">
        <f>Sensitivitätsanalyse!$B$29*J14</f>
        <v>165000</v>
      </c>
      <c r="T14" s="193">
        <f t="shared" si="4"/>
        <v>1</v>
      </c>
    </row>
    <row r="15" spans="1:20">
      <c r="A15" s="657"/>
      <c r="B15" s="194">
        <v>8054</v>
      </c>
      <c r="C15" s="171">
        <f>B15/$B$11</f>
        <v>0.46167956434508456</v>
      </c>
      <c r="D15" s="197">
        <f>1-(B15/B14)</f>
        <v>8.5707798842093341E-2</v>
      </c>
      <c r="E15" s="194">
        <v>7623</v>
      </c>
      <c r="F15" s="171">
        <f>E15/$B$11</f>
        <v>0.43697334479793637</v>
      </c>
      <c r="G15" s="197">
        <f>1-(E15/E14)</f>
        <v>9.9255583126550917E-2</v>
      </c>
      <c r="J15" s="200">
        <v>12</v>
      </c>
      <c r="K15" s="559">
        <f>IF($J15&lt;=Sensitivitätsanalyse!$B$28,$O$23,$O$24)</f>
        <v>0.1</v>
      </c>
      <c r="L15" s="559">
        <f>IF($J15&lt;=Sensitivitätsanalyse!$B$28,$P$23,$P$24)</f>
        <v>0.125</v>
      </c>
      <c r="M15" s="557">
        <f t="shared" si="5"/>
        <v>0.18828635765400006</v>
      </c>
      <c r="N15" s="557">
        <f t="shared" si="5"/>
        <v>0.11509556457167491</v>
      </c>
      <c r="O15" s="568">
        <f t="shared" si="2"/>
        <v>4052.8638485023512</v>
      </c>
      <c r="P15" s="568">
        <f t="shared" si="3"/>
        <v>3987.1918406061427</v>
      </c>
      <c r="Q15" s="568">
        <f t="shared" si="6"/>
        <v>450.31820538915053</v>
      </c>
      <c r="R15" s="568">
        <f t="shared" si="7"/>
        <v>569.5988343723061</v>
      </c>
      <c r="S15" s="553">
        <f>Sensitivitätsanalyse!$B$29*J15</f>
        <v>180000</v>
      </c>
      <c r="T15" s="193">
        <f t="shared" si="4"/>
        <v>0</v>
      </c>
    </row>
    <row r="16" spans="1:20">
      <c r="A16" s="55" t="s">
        <v>304</v>
      </c>
      <c r="B16" s="195"/>
      <c r="C16" s="171"/>
      <c r="E16" s="195"/>
      <c r="F16" s="171"/>
      <c r="J16" s="555">
        <v>13</v>
      </c>
      <c r="K16" s="572">
        <f t="shared" ref="K16:L18" si="8">(1-M16/M15)</f>
        <v>0.11111111111111105</v>
      </c>
      <c r="L16" s="572">
        <f t="shared" si="8"/>
        <v>0.1428571428571429</v>
      </c>
      <c r="M16" s="566">
        <f t="shared" ref="M16:P18" si="9">MAX(0,M15-(M14-M15))</f>
        <v>0.16736565124800007</v>
      </c>
      <c r="N16" s="566">
        <f t="shared" si="9"/>
        <v>9.865334106143564E-2</v>
      </c>
      <c r="O16" s="570">
        <f t="shared" si="9"/>
        <v>3602.5456431132006</v>
      </c>
      <c r="P16" s="570">
        <f t="shared" si="9"/>
        <v>3417.5930062338366</v>
      </c>
      <c r="Q16" s="570">
        <f t="shared" si="6"/>
        <v>450.31820538915053</v>
      </c>
      <c r="R16" s="570">
        <f t="shared" si="7"/>
        <v>569.5988343723061</v>
      </c>
      <c r="S16" s="553">
        <f>Sensitivitätsanalyse!$B$29*J16</f>
        <v>195000</v>
      </c>
      <c r="T16" s="193">
        <f t="shared" si="4"/>
        <v>-1</v>
      </c>
    </row>
    <row r="17" spans="1:20">
      <c r="A17" s="55"/>
      <c r="B17" s="194"/>
      <c r="E17" s="194"/>
      <c r="J17" s="555">
        <v>14</v>
      </c>
      <c r="K17" s="572">
        <f t="shared" si="8"/>
        <v>0.12499999999999989</v>
      </c>
      <c r="L17" s="572">
        <f t="shared" si="8"/>
        <v>0.16666666666666663</v>
      </c>
      <c r="M17" s="566">
        <f t="shared" si="9"/>
        <v>0.14644494484200007</v>
      </c>
      <c r="N17" s="566">
        <f t="shared" si="9"/>
        <v>8.2211117551196367E-2</v>
      </c>
      <c r="O17" s="570">
        <f t="shared" si="9"/>
        <v>3152.2274377240501</v>
      </c>
      <c r="P17" s="570">
        <f t="shared" si="9"/>
        <v>2847.9941718615305</v>
      </c>
      <c r="Q17" s="570">
        <f t="shared" si="6"/>
        <v>450.31820538915053</v>
      </c>
      <c r="R17" s="570">
        <f t="shared" si="7"/>
        <v>569.5988343723061</v>
      </c>
      <c r="S17" s="553">
        <f>Sensitivitätsanalyse!$B$29*J17</f>
        <v>210000</v>
      </c>
      <c r="T17" s="193">
        <f t="shared" si="4"/>
        <v>-2</v>
      </c>
    </row>
    <row r="18" spans="1:20">
      <c r="A18" s="657" t="s">
        <v>302</v>
      </c>
      <c r="B18" s="194">
        <v>21500</v>
      </c>
      <c r="C18" s="171">
        <f t="shared" ref="C18:C23" si="10">B18/$B$18</f>
        <v>1</v>
      </c>
      <c r="E18" s="194">
        <v>21500</v>
      </c>
      <c r="F18" s="171">
        <f t="shared" ref="F18:F23" si="11">E18/$B$18</f>
        <v>1</v>
      </c>
      <c r="J18" s="556">
        <v>15</v>
      </c>
      <c r="K18" s="572">
        <f t="shared" si="8"/>
        <v>0.14285714285714279</v>
      </c>
      <c r="L18" s="572">
        <f t="shared" si="8"/>
        <v>0.19999999999999996</v>
      </c>
      <c r="M18" s="566">
        <f t="shared" si="9"/>
        <v>0.12552423843600008</v>
      </c>
      <c r="N18" s="566">
        <f t="shared" si="9"/>
        <v>6.5768894040957093E-2</v>
      </c>
      <c r="O18" s="570">
        <f t="shared" si="9"/>
        <v>2701.9092323348996</v>
      </c>
      <c r="P18" s="570">
        <f t="shared" si="9"/>
        <v>2278.3953374892244</v>
      </c>
      <c r="Q18" s="570">
        <f t="shared" si="6"/>
        <v>450.31820538915053</v>
      </c>
      <c r="R18" s="570">
        <f t="shared" si="7"/>
        <v>569.5988343723061</v>
      </c>
      <c r="S18" s="554">
        <f>Sensitivitätsanalyse!$B$29*J18</f>
        <v>225000</v>
      </c>
      <c r="T18" s="204">
        <f t="shared" si="4"/>
        <v>-3</v>
      </c>
    </row>
    <row r="19" spans="1:20">
      <c r="A19" s="657"/>
      <c r="B19" s="194">
        <v>12783</v>
      </c>
      <c r="C19" s="171">
        <f t="shared" si="10"/>
        <v>0.59455813953488368</v>
      </c>
      <c r="D19" s="197">
        <f>1-(B19/B18)</f>
        <v>0.40544186046511632</v>
      </c>
      <c r="E19" s="194">
        <v>12677</v>
      </c>
      <c r="F19" s="171">
        <f t="shared" si="11"/>
        <v>0.58962790697674416</v>
      </c>
      <c r="G19" s="197">
        <f>1-(E19/E18)</f>
        <v>0.41037209302325584</v>
      </c>
    </row>
    <row r="20" spans="1:20">
      <c r="A20" s="657"/>
      <c r="B20" s="194">
        <v>11731</v>
      </c>
      <c r="C20" s="171">
        <f t="shared" si="10"/>
        <v>0.54562790697674424</v>
      </c>
      <c r="D20" s="197">
        <f>1-(B20/B19)</f>
        <v>8.2296800438081852E-2</v>
      </c>
      <c r="E20" s="194">
        <v>11509</v>
      </c>
      <c r="F20" s="171">
        <f t="shared" si="11"/>
        <v>0.53530232558139534</v>
      </c>
      <c r="G20" s="197">
        <f>1-(E20/E19)</f>
        <v>9.2135363256290903E-2</v>
      </c>
      <c r="J20" s="656" t="s">
        <v>821</v>
      </c>
      <c r="K20" s="656"/>
      <c r="L20" s="656"/>
      <c r="M20" s="656"/>
      <c r="N20" s="656"/>
      <c r="O20" s="567"/>
      <c r="P20" s="567"/>
      <c r="R20" s="652" t="s">
        <v>1013</v>
      </c>
      <c r="S20" s="652"/>
      <c r="T20" s="652"/>
    </row>
    <row r="21" spans="1:20">
      <c r="A21" s="657"/>
      <c r="B21" s="194">
        <v>10252</v>
      </c>
      <c r="C21" s="171">
        <f t="shared" si="10"/>
        <v>0.47683720930232559</v>
      </c>
      <c r="D21" s="197">
        <f>1-(B21/B20)</f>
        <v>0.12607620833688515</v>
      </c>
      <c r="E21" s="194">
        <v>10020</v>
      </c>
      <c r="F21" s="171">
        <f t="shared" si="11"/>
        <v>0.466046511627907</v>
      </c>
      <c r="G21" s="197">
        <f>1-(E21/E20)</f>
        <v>0.12937700929707185</v>
      </c>
      <c r="O21" s="208" t="s">
        <v>1</v>
      </c>
      <c r="P21" s="208" t="s">
        <v>0</v>
      </c>
      <c r="R21" s="275" t="s">
        <v>448</v>
      </c>
      <c r="S21" s="275" t="s">
        <v>681</v>
      </c>
      <c r="T21" s="275" t="s">
        <v>682</v>
      </c>
    </row>
    <row r="22" spans="1:20">
      <c r="A22" s="657"/>
      <c r="B22" s="194">
        <v>8846</v>
      </c>
      <c r="C22" s="171">
        <f t="shared" si="10"/>
        <v>0.41144186046511627</v>
      </c>
      <c r="D22" s="197">
        <f>1-(B22/B21)</f>
        <v>0.13714397190792038</v>
      </c>
      <c r="E22" s="194">
        <v>8577</v>
      </c>
      <c r="F22" s="171">
        <f t="shared" si="11"/>
        <v>0.39893023255813953</v>
      </c>
      <c r="G22" s="197">
        <f>1-(E22/E21)</f>
        <v>0.14401197604790417</v>
      </c>
      <c r="J22" s="152" t="s">
        <v>1011</v>
      </c>
      <c r="K22" s="152"/>
      <c r="O22" s="191">
        <v>0.4</v>
      </c>
      <c r="P22" s="561">
        <f>O22*(1+'NR Kraftstoffpreisprognosen'!$Z$63)</f>
        <v>0.5</v>
      </c>
      <c r="R22" s="275">
        <v>1</v>
      </c>
      <c r="S22" s="571">
        <f>(D5+D12+D19)/3</f>
        <v>0.38634173140819933</v>
      </c>
      <c r="T22" s="571">
        <f>(G5+G12+G19)/3</f>
        <v>0.39517853941581743</v>
      </c>
    </row>
    <row r="23" spans="1:20">
      <c r="A23" s="657"/>
      <c r="B23" s="194">
        <v>7794</v>
      </c>
      <c r="C23" s="171">
        <f t="shared" si="10"/>
        <v>0.36251162790697672</v>
      </c>
      <c r="D23" s="197">
        <f>1-(B23/B22)</f>
        <v>0.11892380737056296</v>
      </c>
      <c r="E23" s="194">
        <v>7512</v>
      </c>
      <c r="F23" s="171">
        <f t="shared" si="11"/>
        <v>0.3493953488372093</v>
      </c>
      <c r="G23" s="197">
        <f>1-(E23/E22)</f>
        <v>0.12416928996152499</v>
      </c>
      <c r="J23" s="152" t="s">
        <v>1012</v>
      </c>
      <c r="K23" s="152"/>
      <c r="L23" s="565"/>
      <c r="O23" s="191">
        <v>0.1</v>
      </c>
      <c r="P23" s="561">
        <f>O23*(1+'NR Kraftstoffpreisprognosen'!$Z$63)</f>
        <v>0.125</v>
      </c>
      <c r="R23" s="275">
        <v>2</v>
      </c>
      <c r="S23" s="571">
        <f>(D6+D13+D20)/3</f>
        <v>9.1948981449388859E-2</v>
      </c>
      <c r="T23" s="571">
        <f>(G6+G13+G20)/3</f>
        <v>0.10493832835410632</v>
      </c>
    </row>
    <row r="24" spans="1:20">
      <c r="A24" s="55" t="s">
        <v>303</v>
      </c>
      <c r="J24" s="530" t="s">
        <v>1010</v>
      </c>
      <c r="K24" s="530"/>
      <c r="O24" s="191">
        <v>0.4</v>
      </c>
      <c r="P24" s="561">
        <f>O24*(1+'NR Kraftstoffpreisprognosen'!$Z$63)</f>
        <v>0.5</v>
      </c>
      <c r="R24" s="275">
        <v>3</v>
      </c>
      <c r="S24" s="571">
        <f>(D7+D14+D21)/3</f>
        <v>0.13303649188538558</v>
      </c>
      <c r="T24" s="571">
        <f>(G7+G14+G21)/3</f>
        <v>0.14433833958394096</v>
      </c>
    </row>
    <row r="25" spans="1:20">
      <c r="J25" s="530" t="s">
        <v>679</v>
      </c>
      <c r="K25" s="530"/>
      <c r="L25" s="565"/>
      <c r="O25" s="562">
        <f>Sensitivitätsanalyse!$B$28</f>
        <v>12</v>
      </c>
      <c r="P25" s="562">
        <f>Sensitivitätsanalyse!$B$28</f>
        <v>12</v>
      </c>
      <c r="R25" s="275">
        <v>4</v>
      </c>
      <c r="S25" s="571">
        <f>(D8+D15+D22)/3</f>
        <v>0.11328519932600238</v>
      </c>
      <c r="T25" s="571">
        <f>(G8+G15+G22)/3</f>
        <v>0.12615523145753008</v>
      </c>
    </row>
    <row r="26" spans="1:20">
      <c r="J26" s="565" t="s">
        <v>680</v>
      </c>
      <c r="K26" s="565"/>
      <c r="O26" s="562">
        <f>Sensitivitätsanalyse!$B$28*Sensitivitätsanalyse!$B$29</f>
        <v>180000</v>
      </c>
      <c r="P26" s="562">
        <f>Sensitivitätsanalyse!$B$28*Sensitivitätsanalyse!$B$29</f>
        <v>180000</v>
      </c>
    </row>
    <row r="27" spans="1:20">
      <c r="J27" s="565"/>
      <c r="K27" s="565"/>
      <c r="L27" s="565"/>
    </row>
    <row r="31" spans="1:20">
      <c r="D31" s="171"/>
      <c r="G31" s="171"/>
      <c r="H31" s="171"/>
    </row>
    <row r="43" spans="10:10">
      <c r="J43" s="196"/>
    </row>
  </sheetData>
  <mergeCells count="9">
    <mergeCell ref="Q1:R1"/>
    <mergeCell ref="O1:P1"/>
    <mergeCell ref="J20:N20"/>
    <mergeCell ref="R20:T20"/>
    <mergeCell ref="A18:A23"/>
    <mergeCell ref="A11:A15"/>
    <mergeCell ref="A4:A9"/>
    <mergeCell ref="K1:L1"/>
    <mergeCell ref="M1:N1"/>
  </mergeCells>
  <conditionalFormatting sqref="T3:T18">
    <cfRule type="cellIs" dxfId="2" priority="3" operator="lessThan">
      <formula>0</formula>
    </cfRule>
  </conditionalFormatting>
  <conditionalFormatting sqref="S3:S18">
    <cfRule type="cellIs" dxfId="1" priority="449" operator="greaterThan">
      <formula>$O$26</formula>
    </cfRule>
  </conditionalFormatting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DC386961-5774-4ABA-B806-3117A4FFAC5A}">
            <xm:f>Sensitivitätsanalyse!$B$30</xm:f>
            <x14:dxf>
              <font>
                <color rgb="FF9C6500"/>
              </font>
              <fill>
                <patternFill>
                  <bgColor rgb="FFFFEB9C"/>
                </patternFill>
              </fill>
            </x14:dxf>
          </x14:cfRule>
          <xm:sqref>J3:J18</xm:sqref>
        </x14:conditionalFormatting>
      </x14:conditionalFormatting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4"/>
  <sheetViews>
    <sheetView workbookViewId="0">
      <selection activeCell="F34" sqref="F34"/>
    </sheetView>
  </sheetViews>
  <sheetFormatPr baseColWidth="10" defaultRowHeight="15"/>
  <cols>
    <col min="1" max="1" width="32" style="142" bestFit="1" customWidth="1"/>
    <col min="2" max="2" width="9" style="142" bestFit="1" customWidth="1"/>
    <col min="3" max="3" width="8.5" style="142" bestFit="1" customWidth="1"/>
    <col min="4" max="4" width="2.6640625" style="142" customWidth="1"/>
    <col min="5" max="5" width="5" style="142" bestFit="1" customWidth="1"/>
    <col min="6" max="6" width="11" style="142" customWidth="1"/>
  </cols>
  <sheetData>
    <row r="1" spans="1:6">
      <c r="A1" s="87" t="s">
        <v>817</v>
      </c>
      <c r="B1" s="145"/>
      <c r="C1" s="199"/>
      <c r="E1" s="659" t="s">
        <v>620</v>
      </c>
      <c r="F1" s="661"/>
    </row>
    <row r="2" spans="1:6">
      <c r="A2" s="200" t="s">
        <v>621</v>
      </c>
      <c r="B2" s="144" t="s">
        <v>448</v>
      </c>
      <c r="C2" s="201">
        <f>Sensitivitätsanalyse!B25</f>
        <v>2013</v>
      </c>
      <c r="E2" s="200"/>
      <c r="F2" s="201"/>
    </row>
    <row r="3" spans="1:6">
      <c r="A3" s="200" t="s">
        <v>264</v>
      </c>
      <c r="B3" s="144" t="s">
        <v>819</v>
      </c>
      <c r="C3" s="290">
        <f>'NR Fahrzeug&amp;Fahrverhalten'!C6</f>
        <v>1390</v>
      </c>
      <c r="E3" s="203" t="s">
        <v>815</v>
      </c>
      <c r="F3" s="202" t="s">
        <v>820</v>
      </c>
    </row>
    <row r="4" spans="1:6">
      <c r="A4" s="203" t="s">
        <v>280</v>
      </c>
      <c r="B4" s="143" t="s">
        <v>820</v>
      </c>
      <c r="C4" s="406">
        <f>ROUND('NR Fahrzeug&amp;Fahrverhalten'!C7,0)</f>
        <v>121</v>
      </c>
      <c r="E4" s="200">
        <v>2010</v>
      </c>
      <c r="F4" s="201">
        <v>120</v>
      </c>
    </row>
    <row r="5" spans="1:6">
      <c r="E5" s="200">
        <v>2011</v>
      </c>
      <c r="F5" s="201">
        <v>120</v>
      </c>
    </row>
    <row r="6" spans="1:6">
      <c r="A6" s="659" t="s">
        <v>818</v>
      </c>
      <c r="B6" s="660"/>
      <c r="C6" s="661"/>
      <c r="E6" s="200">
        <v>2012</v>
      </c>
      <c r="F6" s="201">
        <v>110</v>
      </c>
    </row>
    <row r="7" spans="1:6">
      <c r="A7" s="200" t="s">
        <v>618</v>
      </c>
      <c r="B7" s="403">
        <v>9.5</v>
      </c>
      <c r="C7" s="201"/>
      <c r="E7" s="236">
        <v>2013</v>
      </c>
      <c r="F7" s="398">
        <v>110</v>
      </c>
    </row>
    <row r="8" spans="1:6">
      <c r="A8" s="404" t="s">
        <v>499</v>
      </c>
      <c r="B8" s="405">
        <v>2</v>
      </c>
      <c r="C8" s="202"/>
      <c r="E8" s="200">
        <v>2014</v>
      </c>
      <c r="F8" s="201">
        <v>95</v>
      </c>
    </row>
    <row r="9" spans="1:6">
      <c r="E9" s="200">
        <v>2015</v>
      </c>
      <c r="F9" s="201">
        <v>95</v>
      </c>
    </row>
    <row r="10" spans="1:6">
      <c r="A10" s="87" t="s">
        <v>816</v>
      </c>
      <c r="B10" s="145"/>
      <c r="C10" s="199"/>
      <c r="E10" s="200">
        <v>2016</v>
      </c>
      <c r="F10" s="201">
        <v>95</v>
      </c>
    </row>
    <row r="11" spans="1:6">
      <c r="A11" s="200" t="s">
        <v>616</v>
      </c>
      <c r="B11" s="144" t="s">
        <v>820</v>
      </c>
      <c r="C11" s="290">
        <f>INDEX($E$5:$F$14,MATCH(C2,'NR Kfz-Steuer'!$E$5:$E$14),2)</f>
        <v>110</v>
      </c>
      <c r="E11" s="200">
        <v>2017</v>
      </c>
      <c r="F11" s="201">
        <v>95</v>
      </c>
    </row>
    <row r="12" spans="1:6">
      <c r="A12" s="200" t="s">
        <v>268</v>
      </c>
      <c r="B12" s="144" t="s">
        <v>48</v>
      </c>
      <c r="C12" s="399">
        <f>(ROUNDUP(C3,-2)/100*B8)</f>
        <v>28</v>
      </c>
      <c r="E12" s="200">
        <v>2018</v>
      </c>
      <c r="F12" s="201">
        <v>95</v>
      </c>
    </row>
    <row r="13" spans="1:6">
      <c r="A13" s="200" t="s">
        <v>617</v>
      </c>
      <c r="B13" s="144" t="s">
        <v>48</v>
      </c>
      <c r="C13" s="399">
        <f>MAX((C4-C11)*2,0)</f>
        <v>22</v>
      </c>
      <c r="E13" s="200">
        <v>2019</v>
      </c>
      <c r="F13" s="201">
        <v>95</v>
      </c>
    </row>
    <row r="14" spans="1:6">
      <c r="A14" s="400" t="s">
        <v>619</v>
      </c>
      <c r="B14" s="401" t="s">
        <v>48</v>
      </c>
      <c r="C14" s="402">
        <f>C12+C13</f>
        <v>50</v>
      </c>
      <c r="E14" s="203">
        <v>2020</v>
      </c>
      <c r="F14" s="202">
        <v>95</v>
      </c>
    </row>
  </sheetData>
  <mergeCells count="2">
    <mergeCell ref="A6:C6"/>
    <mergeCell ref="E1:F1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1"/>
  <sheetViews>
    <sheetView workbookViewId="0">
      <selection activeCell="I23" sqref="I23"/>
    </sheetView>
  </sheetViews>
  <sheetFormatPr baseColWidth="10" defaultRowHeight="15"/>
  <sheetData>
    <row r="1" spans="1:7">
      <c r="A1" s="87" t="s">
        <v>370</v>
      </c>
      <c r="B1" s="68"/>
      <c r="C1" s="68"/>
      <c r="D1" s="68"/>
      <c r="E1" s="68"/>
      <c r="F1" s="68"/>
      <c r="G1" s="69"/>
    </row>
    <row r="2" spans="1:7">
      <c r="A2" s="64" t="s">
        <v>42</v>
      </c>
      <c r="B2" s="58"/>
      <c r="C2" s="58"/>
      <c r="D2" s="58"/>
      <c r="E2" s="58"/>
      <c r="F2" s="58" t="s">
        <v>45</v>
      </c>
      <c r="G2" s="59"/>
    </row>
    <row r="3" spans="1:7">
      <c r="A3" s="64" t="s">
        <v>43</v>
      </c>
      <c r="B3" s="58">
        <v>1</v>
      </c>
      <c r="C3" s="70">
        <v>10000</v>
      </c>
      <c r="D3" s="61">
        <v>102</v>
      </c>
      <c r="E3" s="58"/>
      <c r="F3" s="70">
        <v>0</v>
      </c>
      <c r="G3" s="62">
        <v>102</v>
      </c>
    </row>
    <row r="4" spans="1:7">
      <c r="A4" s="71"/>
      <c r="B4" s="58">
        <v>1</v>
      </c>
      <c r="C4" s="70">
        <v>15000</v>
      </c>
      <c r="D4" s="61">
        <v>116</v>
      </c>
      <c r="E4" s="58"/>
      <c r="F4" s="70">
        <v>10001</v>
      </c>
      <c r="G4" s="62">
        <v>116</v>
      </c>
    </row>
    <row r="5" spans="1:7">
      <c r="A5" s="71"/>
      <c r="B5" s="58">
        <v>1</v>
      </c>
      <c r="C5" s="70">
        <v>20000</v>
      </c>
      <c r="D5" s="61">
        <v>132</v>
      </c>
      <c r="E5" s="58"/>
      <c r="F5" s="70">
        <v>15001</v>
      </c>
      <c r="G5" s="62">
        <v>132</v>
      </c>
    </row>
    <row r="6" spans="1:7">
      <c r="A6" s="71"/>
      <c r="B6" s="58">
        <v>1</v>
      </c>
      <c r="C6" s="70">
        <v>25000</v>
      </c>
      <c r="D6" s="61">
        <v>148</v>
      </c>
      <c r="E6" s="58"/>
      <c r="F6" s="70">
        <v>20001</v>
      </c>
      <c r="G6" s="62">
        <v>148</v>
      </c>
    </row>
    <row r="7" spans="1:7">
      <c r="A7" s="64" t="s">
        <v>44</v>
      </c>
      <c r="B7" s="58">
        <v>1</v>
      </c>
      <c r="C7" s="70">
        <v>30000</v>
      </c>
      <c r="D7" s="61">
        <v>168</v>
      </c>
      <c r="E7" s="58"/>
      <c r="F7" s="70">
        <v>25001</v>
      </c>
      <c r="G7" s="62">
        <v>168</v>
      </c>
    </row>
    <row r="8" spans="1:7">
      <c r="A8" s="64"/>
      <c r="B8" s="58">
        <v>2</v>
      </c>
      <c r="C8" s="70">
        <v>10000</v>
      </c>
      <c r="D8" s="61">
        <v>92</v>
      </c>
      <c r="E8" s="58"/>
      <c r="F8" s="58">
        <f>INDEX(F3:$G$7,MATCH(Sensitivitätsanalyse!$B$29,$F$3:$F$7,1),2)</f>
        <v>116</v>
      </c>
      <c r="G8" s="59" t="s">
        <v>46</v>
      </c>
    </row>
    <row r="9" spans="1:7">
      <c r="A9" s="64"/>
      <c r="B9" s="58">
        <v>2</v>
      </c>
      <c r="C9" s="70">
        <v>15000</v>
      </c>
      <c r="D9" s="61">
        <v>106</v>
      </c>
      <c r="E9" s="58"/>
      <c r="F9" s="55"/>
      <c r="G9" s="59"/>
    </row>
    <row r="10" spans="1:7">
      <c r="A10" s="64"/>
      <c r="B10" s="58">
        <v>2</v>
      </c>
      <c r="C10" s="70">
        <v>20000</v>
      </c>
      <c r="D10" s="61">
        <v>122</v>
      </c>
      <c r="E10" s="58"/>
      <c r="F10" s="58" t="s">
        <v>43</v>
      </c>
      <c r="G10" s="59"/>
    </row>
    <row r="11" spans="1:7">
      <c r="A11" s="64"/>
      <c r="B11" s="58">
        <v>2</v>
      </c>
      <c r="C11" s="70">
        <v>25000</v>
      </c>
      <c r="D11" s="61">
        <v>138</v>
      </c>
      <c r="E11" s="58"/>
      <c r="F11" s="58">
        <v>1</v>
      </c>
      <c r="G11" s="59">
        <v>0</v>
      </c>
    </row>
    <row r="12" spans="1:7">
      <c r="A12" s="64"/>
      <c r="B12" s="58">
        <v>2</v>
      </c>
      <c r="C12" s="70">
        <v>30000</v>
      </c>
      <c r="D12" s="61">
        <v>158</v>
      </c>
      <c r="E12" s="58"/>
      <c r="F12" s="58">
        <v>2</v>
      </c>
      <c r="G12" s="59">
        <v>-10</v>
      </c>
    </row>
    <row r="13" spans="1:7">
      <c r="A13" s="64"/>
      <c r="B13" s="58">
        <v>3</v>
      </c>
      <c r="C13" s="70">
        <v>10000</v>
      </c>
      <c r="D13" s="61">
        <v>82</v>
      </c>
      <c r="E13" s="58"/>
      <c r="F13" s="58">
        <v>3</v>
      </c>
      <c r="G13" s="59">
        <v>-20</v>
      </c>
    </row>
    <row r="14" spans="1:7">
      <c r="A14" s="64"/>
      <c r="B14" s="58">
        <v>3</v>
      </c>
      <c r="C14" s="70">
        <v>15000</v>
      </c>
      <c r="D14" s="61">
        <v>96</v>
      </c>
      <c r="E14" s="58"/>
      <c r="F14" s="58"/>
      <c r="G14" s="59"/>
    </row>
    <row r="15" spans="1:7">
      <c r="A15" s="64"/>
      <c r="B15" s="58">
        <v>3</v>
      </c>
      <c r="C15" s="70">
        <v>20000</v>
      </c>
      <c r="D15" s="61">
        <v>112</v>
      </c>
      <c r="E15" s="58"/>
      <c r="F15" s="58">
        <f>VLOOKUP(Sensitivitätsanalyse!B30,F11:G13,2)</f>
        <v>-20</v>
      </c>
      <c r="G15" s="59" t="s">
        <v>47</v>
      </c>
    </row>
    <row r="16" spans="1:7">
      <c r="A16" s="64"/>
      <c r="B16" s="58">
        <v>3</v>
      </c>
      <c r="C16" s="70">
        <v>25000</v>
      </c>
      <c r="D16" s="61">
        <v>128</v>
      </c>
      <c r="E16" s="58"/>
      <c r="F16" s="58" t="e">
        <f>IF(Sensitivitätsanalyse!#REF!="small",-10,IF(Sensitivitätsanalyse!#REF!="big",10,0))</f>
        <v>#REF!</v>
      </c>
      <c r="G16" s="59" t="s">
        <v>389</v>
      </c>
    </row>
    <row r="17" spans="1:7">
      <c r="A17" s="64"/>
      <c r="B17" s="58">
        <v>3</v>
      </c>
      <c r="C17" s="70">
        <v>30000</v>
      </c>
      <c r="D17" s="61">
        <v>148</v>
      </c>
      <c r="E17" s="58"/>
      <c r="F17" s="55"/>
      <c r="G17" s="55"/>
    </row>
    <row r="18" spans="1:7">
      <c r="A18" s="64"/>
      <c r="B18" s="58"/>
      <c r="C18" s="58"/>
      <c r="D18" s="58"/>
      <c r="E18" s="58"/>
      <c r="F18" s="58">
        <f>F8+F15</f>
        <v>96</v>
      </c>
      <c r="G18" s="59" t="s">
        <v>390</v>
      </c>
    </row>
    <row r="19" spans="1:7">
      <c r="A19" s="67" t="s">
        <v>261</v>
      </c>
      <c r="B19" s="60" t="s">
        <v>26</v>
      </c>
      <c r="C19" s="60" t="s">
        <v>27</v>
      </c>
      <c r="D19" s="58"/>
      <c r="E19" s="58"/>
      <c r="F19" s="58" t="e">
        <f>F18+F16</f>
        <v>#REF!</v>
      </c>
      <c r="G19" s="59" t="s">
        <v>391</v>
      </c>
    </row>
    <row r="20" spans="1:7">
      <c r="A20" s="67" t="s">
        <v>25</v>
      </c>
      <c r="B20" s="60" t="s">
        <v>15</v>
      </c>
      <c r="C20" s="60" t="s">
        <v>13</v>
      </c>
      <c r="D20" s="58"/>
      <c r="E20" s="58"/>
      <c r="F20" s="58"/>
      <c r="G20" s="59"/>
    </row>
    <row r="21" spans="1:7">
      <c r="A21" s="72">
        <v>15</v>
      </c>
      <c r="B21" s="73">
        <v>500</v>
      </c>
      <c r="C21" s="73">
        <v>500</v>
      </c>
      <c r="D21" s="63"/>
      <c r="E21" s="63"/>
      <c r="F21" s="63"/>
      <c r="G21" s="6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5"/>
  <dimension ref="A1:AD91"/>
  <sheetViews>
    <sheetView topLeftCell="B1" workbookViewId="0">
      <selection activeCell="E85" sqref="E85"/>
    </sheetView>
  </sheetViews>
  <sheetFormatPr baseColWidth="10" defaultRowHeight="15"/>
  <cols>
    <col min="1" max="1" width="105.1640625" bestFit="1" customWidth="1"/>
    <col min="2" max="2" width="132.83203125" bestFit="1" customWidth="1"/>
  </cols>
  <sheetData>
    <row r="1" spans="1:2">
      <c r="A1" t="s">
        <v>66</v>
      </c>
    </row>
    <row r="2" spans="1:2">
      <c r="A2" t="s">
        <v>49</v>
      </c>
      <c r="B2" s="5" t="s">
        <v>50</v>
      </c>
    </row>
    <row r="3" spans="1:2">
      <c r="A3" t="s">
        <v>51</v>
      </c>
      <c r="B3" s="5" t="s">
        <v>52</v>
      </c>
    </row>
    <row r="4" spans="1:2">
      <c r="A4" t="s">
        <v>53</v>
      </c>
      <c r="B4" s="5" t="s">
        <v>54</v>
      </c>
    </row>
    <row r="5" spans="1:2">
      <c r="A5" t="s">
        <v>56</v>
      </c>
      <c r="B5" s="5" t="s">
        <v>57</v>
      </c>
    </row>
    <row r="6" spans="1:2">
      <c r="A6" t="s">
        <v>65</v>
      </c>
      <c r="B6" s="5" t="s">
        <v>64</v>
      </c>
    </row>
    <row r="7" spans="1:2">
      <c r="A7" t="s">
        <v>68</v>
      </c>
      <c r="B7" s="5" t="s">
        <v>67</v>
      </c>
    </row>
    <row r="8" spans="1:2">
      <c r="A8" t="s">
        <v>89</v>
      </c>
      <c r="B8" s="5" t="s">
        <v>90</v>
      </c>
    </row>
    <row r="9" spans="1:2">
      <c r="A9" t="s">
        <v>92</v>
      </c>
      <c r="B9" s="5" t="s">
        <v>91</v>
      </c>
    </row>
    <row r="10" spans="1:2">
      <c r="A10" t="s">
        <v>94</v>
      </c>
      <c r="B10" s="5" t="s">
        <v>95</v>
      </c>
    </row>
    <row r="11" spans="1:2">
      <c r="A11" t="s">
        <v>97</v>
      </c>
      <c r="B11" s="5" t="s">
        <v>98</v>
      </c>
    </row>
    <row r="12" spans="1:2">
      <c r="A12" t="s">
        <v>103</v>
      </c>
      <c r="B12" s="5" t="s">
        <v>102</v>
      </c>
    </row>
    <row r="13" spans="1:2">
      <c r="A13" t="s">
        <v>148</v>
      </c>
      <c r="B13" s="5" t="s">
        <v>149</v>
      </c>
    </row>
    <row r="14" spans="1:2">
      <c r="A14" t="s">
        <v>152</v>
      </c>
      <c r="B14" s="5" t="s">
        <v>151</v>
      </c>
    </row>
    <row r="16" spans="1:2">
      <c r="A16" t="s">
        <v>100</v>
      </c>
      <c r="B16" s="5" t="s">
        <v>101</v>
      </c>
    </row>
    <row r="17" spans="1:3">
      <c r="A17" t="s">
        <v>154</v>
      </c>
      <c r="B17" s="5" t="s">
        <v>155</v>
      </c>
    </row>
    <row r="18" spans="1:3">
      <c r="A18" t="s">
        <v>159</v>
      </c>
      <c r="B18" s="5" t="s">
        <v>160</v>
      </c>
    </row>
    <row r="19" spans="1:3">
      <c r="A19" t="s">
        <v>161</v>
      </c>
      <c r="B19" s="5" t="s">
        <v>162</v>
      </c>
    </row>
    <row r="20" spans="1:3">
      <c r="A20" t="s">
        <v>227</v>
      </c>
      <c r="B20" s="5" t="s">
        <v>228</v>
      </c>
    </row>
    <row r="21" spans="1:3">
      <c r="A21" t="s">
        <v>229</v>
      </c>
      <c r="B21" s="5" t="s">
        <v>230</v>
      </c>
    </row>
    <row r="22" spans="1:3">
      <c r="A22" t="s">
        <v>237</v>
      </c>
      <c r="B22" t="s">
        <v>238</v>
      </c>
    </row>
    <row r="23" spans="1:3">
      <c r="A23" t="s">
        <v>241</v>
      </c>
      <c r="B23" t="s">
        <v>240</v>
      </c>
    </row>
    <row r="24" spans="1:3">
      <c r="A24" t="s">
        <v>244</v>
      </c>
      <c r="B24" t="s">
        <v>243</v>
      </c>
    </row>
    <row r="25" spans="1:3">
      <c r="A25" t="s">
        <v>255</v>
      </c>
      <c r="B25" t="s">
        <v>256</v>
      </c>
    </row>
    <row r="26" spans="1:3">
      <c r="A26" t="s">
        <v>258</v>
      </c>
      <c r="B26" t="s">
        <v>257</v>
      </c>
    </row>
    <row r="27" spans="1:3">
      <c r="A27" t="s">
        <v>161</v>
      </c>
      <c r="B27" t="s">
        <v>263</v>
      </c>
    </row>
    <row r="28" spans="1:3">
      <c r="A28" t="s">
        <v>269</v>
      </c>
      <c r="B28" t="s">
        <v>270</v>
      </c>
    </row>
    <row r="29" spans="1:3">
      <c r="A29" t="s">
        <v>271</v>
      </c>
      <c r="B29" t="s">
        <v>272</v>
      </c>
    </row>
    <row r="30" spans="1:3">
      <c r="A30" t="s">
        <v>281</v>
      </c>
      <c r="B30" t="s">
        <v>282</v>
      </c>
    </row>
    <row r="31" spans="1:3">
      <c r="A31" t="s">
        <v>283</v>
      </c>
      <c r="B31" t="s">
        <v>284</v>
      </c>
    </row>
    <row r="32" spans="1:3">
      <c r="A32" t="s">
        <v>150</v>
      </c>
      <c r="C32" s="5" t="s">
        <v>151</v>
      </c>
    </row>
    <row r="33" spans="1:30">
      <c r="A33" t="s">
        <v>385</v>
      </c>
      <c r="B33" t="s">
        <v>386</v>
      </c>
    </row>
    <row r="34" spans="1:30">
      <c r="A34" t="s">
        <v>418</v>
      </c>
      <c r="B34" t="s">
        <v>384</v>
      </c>
    </row>
    <row r="35" spans="1:30">
      <c r="A35" t="s">
        <v>419</v>
      </c>
      <c r="B35" s="5" t="s">
        <v>420</v>
      </c>
    </row>
    <row r="36" spans="1:30">
      <c r="B36" t="s">
        <v>436</v>
      </c>
    </row>
    <row r="37" spans="1:30">
      <c r="B37" t="s">
        <v>437</v>
      </c>
      <c r="C37" t="s">
        <v>438</v>
      </c>
    </row>
    <row r="38" spans="1:30">
      <c r="B38" s="94" t="s">
        <v>443</v>
      </c>
      <c r="C38" t="s">
        <v>444</v>
      </c>
    </row>
    <row r="39" spans="1:30">
      <c r="B39" s="55" t="s">
        <v>384</v>
      </c>
      <c r="C39" t="s">
        <v>715</v>
      </c>
    </row>
    <row r="40" spans="1:30">
      <c r="B40" s="5" t="s">
        <v>717</v>
      </c>
      <c r="C40" t="s">
        <v>718</v>
      </c>
    </row>
    <row r="41" spans="1:30">
      <c r="A41" t="s">
        <v>487</v>
      </c>
    </row>
    <row r="43" spans="1:30">
      <c r="C43" t="s">
        <v>506</v>
      </c>
      <c r="D43" t="s">
        <v>507</v>
      </c>
      <c r="E43" t="s">
        <v>508</v>
      </c>
      <c r="F43" t="s">
        <v>509</v>
      </c>
      <c r="G43" t="s">
        <v>510</v>
      </c>
      <c r="H43" t="s">
        <v>401</v>
      </c>
      <c r="I43" t="s">
        <v>522</v>
      </c>
    </row>
    <row r="44" spans="1:30">
      <c r="A44" t="s">
        <v>488</v>
      </c>
      <c r="B44" t="s">
        <v>518</v>
      </c>
      <c r="C44" t="s">
        <v>519</v>
      </c>
      <c r="G44" t="s">
        <v>520</v>
      </c>
      <c r="H44" t="s">
        <v>521</v>
      </c>
      <c r="I44">
        <v>60</v>
      </c>
      <c r="M44" t="s">
        <v>531</v>
      </c>
      <c r="Q44" t="s">
        <v>532</v>
      </c>
      <c r="U44" t="s">
        <v>533</v>
      </c>
      <c r="Y44" t="s">
        <v>543</v>
      </c>
      <c r="AC44" t="s">
        <v>611</v>
      </c>
    </row>
    <row r="45" spans="1:30">
      <c r="C45" t="s">
        <v>489</v>
      </c>
      <c r="M45" t="s">
        <v>66</v>
      </c>
      <c r="N45" t="s">
        <v>536</v>
      </c>
      <c r="O45" t="s">
        <v>401</v>
      </c>
      <c r="P45" t="s">
        <v>522</v>
      </c>
      <c r="Q45" t="s">
        <v>66</v>
      </c>
      <c r="R45" t="s">
        <v>536</v>
      </c>
      <c r="S45" t="s">
        <v>401</v>
      </c>
      <c r="T45" t="s">
        <v>522</v>
      </c>
      <c r="Y45" t="s">
        <v>544</v>
      </c>
      <c r="AA45" t="s">
        <v>538</v>
      </c>
      <c r="AB45">
        <v>39</v>
      </c>
      <c r="AC45" t="s">
        <v>612</v>
      </c>
    </row>
    <row r="46" spans="1:30">
      <c r="C46" t="s">
        <v>523</v>
      </c>
      <c r="G46" t="s">
        <v>524</v>
      </c>
      <c r="H46" t="s">
        <v>521</v>
      </c>
      <c r="I46">
        <v>91</v>
      </c>
      <c r="M46" t="s">
        <v>552</v>
      </c>
      <c r="N46" t="s">
        <v>553</v>
      </c>
      <c r="O46" t="s">
        <v>549</v>
      </c>
      <c r="P46">
        <v>16</v>
      </c>
      <c r="Q46" t="s">
        <v>547</v>
      </c>
      <c r="R46" t="s">
        <v>534</v>
      </c>
      <c r="S46" t="s">
        <v>530</v>
      </c>
      <c r="T46">
        <v>20</v>
      </c>
      <c r="U46" t="s">
        <v>565</v>
      </c>
      <c r="V46" t="s">
        <v>566</v>
      </c>
      <c r="W46" t="s">
        <v>556</v>
      </c>
      <c r="X46">
        <v>22</v>
      </c>
      <c r="Y46" t="s">
        <v>545</v>
      </c>
      <c r="AA46" t="s">
        <v>538</v>
      </c>
      <c r="AB46">
        <v>40</v>
      </c>
      <c r="AC46" t="s">
        <v>613</v>
      </c>
      <c r="AD46">
        <v>5</v>
      </c>
    </row>
    <row r="47" spans="1:30">
      <c r="C47" t="s">
        <v>525</v>
      </c>
      <c r="G47" t="s">
        <v>526</v>
      </c>
      <c r="H47" t="s">
        <v>521</v>
      </c>
      <c r="I47">
        <v>93</v>
      </c>
      <c r="M47" t="s">
        <v>558</v>
      </c>
      <c r="N47" t="s">
        <v>559</v>
      </c>
      <c r="O47" t="s">
        <v>556</v>
      </c>
      <c r="P47">
        <v>3</v>
      </c>
      <c r="Q47" t="s">
        <v>535</v>
      </c>
      <c r="R47" t="s">
        <v>537</v>
      </c>
      <c r="S47" t="s">
        <v>530</v>
      </c>
      <c r="T47">
        <v>46</v>
      </c>
      <c r="U47" t="s">
        <v>569</v>
      </c>
      <c r="V47" t="s">
        <v>570</v>
      </c>
      <c r="W47" t="s">
        <v>556</v>
      </c>
      <c r="X47">
        <v>31</v>
      </c>
      <c r="Y47" t="s">
        <v>546</v>
      </c>
      <c r="AA47" t="s">
        <v>538</v>
      </c>
      <c r="AB47">
        <v>17</v>
      </c>
    </row>
    <row r="48" spans="1:30">
      <c r="M48" t="s">
        <v>564</v>
      </c>
      <c r="O48" t="s">
        <v>556</v>
      </c>
      <c r="P48">
        <v>16</v>
      </c>
      <c r="Q48" t="s">
        <v>539</v>
      </c>
      <c r="R48" t="s">
        <v>540</v>
      </c>
      <c r="S48" t="s">
        <v>538</v>
      </c>
      <c r="T48">
        <v>12</v>
      </c>
      <c r="U48" t="s">
        <v>571</v>
      </c>
      <c r="V48" t="s">
        <v>572</v>
      </c>
      <c r="W48" t="s">
        <v>556</v>
      </c>
      <c r="X48">
        <v>33</v>
      </c>
      <c r="Y48" t="s">
        <v>548</v>
      </c>
      <c r="AA48" t="s">
        <v>538</v>
      </c>
      <c r="AB48">
        <v>31</v>
      </c>
    </row>
    <row r="49" spans="2:28">
      <c r="M49" t="s">
        <v>575</v>
      </c>
      <c r="N49" t="s">
        <v>576</v>
      </c>
      <c r="O49" t="s">
        <v>577</v>
      </c>
      <c r="P49">
        <v>5</v>
      </c>
      <c r="Q49" t="s">
        <v>541</v>
      </c>
      <c r="R49" t="s">
        <v>542</v>
      </c>
      <c r="S49" t="s">
        <v>530</v>
      </c>
      <c r="T49">
        <v>12</v>
      </c>
      <c r="Y49" t="s">
        <v>562</v>
      </c>
      <c r="Z49" t="s">
        <v>563</v>
      </c>
      <c r="AA49" t="s">
        <v>556</v>
      </c>
      <c r="AB49">
        <v>5</v>
      </c>
    </row>
    <row r="50" spans="2:28">
      <c r="B50" t="s">
        <v>493</v>
      </c>
      <c r="C50" t="s">
        <v>490</v>
      </c>
      <c r="M50" t="s">
        <v>578</v>
      </c>
      <c r="N50" t="s">
        <v>579</v>
      </c>
      <c r="O50" t="s">
        <v>577</v>
      </c>
      <c r="P50">
        <v>6</v>
      </c>
      <c r="Q50" t="s">
        <v>305</v>
      </c>
      <c r="S50" t="s">
        <v>549</v>
      </c>
      <c r="T50">
        <v>3</v>
      </c>
      <c r="Y50" t="s">
        <v>567</v>
      </c>
      <c r="AA50" t="s">
        <v>556</v>
      </c>
      <c r="AB50">
        <v>25</v>
      </c>
    </row>
    <row r="51" spans="2:28">
      <c r="C51" t="s">
        <v>266</v>
      </c>
      <c r="Q51" t="s">
        <v>550</v>
      </c>
      <c r="R51" t="s">
        <v>551</v>
      </c>
      <c r="S51" t="s">
        <v>549</v>
      </c>
      <c r="T51">
        <v>7</v>
      </c>
      <c r="Y51" t="s">
        <v>568</v>
      </c>
      <c r="AA51" t="s">
        <v>556</v>
      </c>
      <c r="AB51">
        <v>25</v>
      </c>
    </row>
    <row r="52" spans="2:28">
      <c r="C52" t="s">
        <v>491</v>
      </c>
      <c r="Q52" t="s">
        <v>554</v>
      </c>
      <c r="R52" t="s">
        <v>555</v>
      </c>
      <c r="S52" t="s">
        <v>549</v>
      </c>
      <c r="T52">
        <v>16</v>
      </c>
      <c r="Y52" t="s">
        <v>584</v>
      </c>
      <c r="Z52" t="s">
        <v>585</v>
      </c>
      <c r="AA52" t="s">
        <v>577</v>
      </c>
      <c r="AB52">
        <v>16</v>
      </c>
    </row>
    <row r="53" spans="2:28">
      <c r="C53" t="s">
        <v>492</v>
      </c>
      <c r="Q53" t="s">
        <v>371</v>
      </c>
      <c r="R53" t="s">
        <v>557</v>
      </c>
      <c r="S53" t="s">
        <v>556</v>
      </c>
      <c r="T53">
        <v>3</v>
      </c>
      <c r="Y53" t="s">
        <v>586</v>
      </c>
      <c r="Z53" t="s">
        <v>587</v>
      </c>
      <c r="AA53" t="s">
        <v>577</v>
      </c>
      <c r="AB53">
        <v>22</v>
      </c>
    </row>
    <row r="54" spans="2:28">
      <c r="Q54" t="s">
        <v>573</v>
      </c>
      <c r="R54" t="s">
        <v>574</v>
      </c>
      <c r="S54" t="s">
        <v>556</v>
      </c>
      <c r="T54">
        <v>34</v>
      </c>
      <c r="Y54" t="s">
        <v>588</v>
      </c>
      <c r="Z54" t="s">
        <v>589</v>
      </c>
      <c r="AA54" t="s">
        <v>577</v>
      </c>
      <c r="AB54">
        <v>23</v>
      </c>
    </row>
    <row r="55" spans="2:28">
      <c r="B55" t="s">
        <v>494</v>
      </c>
      <c r="C55" t="s">
        <v>495</v>
      </c>
      <c r="Q55" t="s">
        <v>580</v>
      </c>
      <c r="R55" t="s">
        <v>581</v>
      </c>
      <c r="S55" t="s">
        <v>577</v>
      </c>
      <c r="T55">
        <v>12</v>
      </c>
      <c r="Y55" t="s">
        <v>590</v>
      </c>
      <c r="Z55" t="s">
        <v>591</v>
      </c>
      <c r="AA55" t="s">
        <v>577</v>
      </c>
      <c r="AB55">
        <v>26</v>
      </c>
    </row>
    <row r="56" spans="2:28">
      <c r="C56" t="s">
        <v>528</v>
      </c>
      <c r="H56" t="s">
        <v>529</v>
      </c>
      <c r="I56">
        <v>57</v>
      </c>
      <c r="Q56" t="s">
        <v>582</v>
      </c>
      <c r="R56" t="s">
        <v>583</v>
      </c>
      <c r="S56" t="s">
        <v>577</v>
      </c>
      <c r="T56">
        <v>13</v>
      </c>
      <c r="Y56" t="s">
        <v>592</v>
      </c>
      <c r="Z56" t="s">
        <v>593</v>
      </c>
      <c r="AA56" t="s">
        <v>577</v>
      </c>
      <c r="AB56">
        <v>28</v>
      </c>
    </row>
    <row r="57" spans="2:28">
      <c r="B57" t="s">
        <v>496</v>
      </c>
      <c r="C57" t="s">
        <v>497</v>
      </c>
      <c r="Q57" t="s">
        <v>595</v>
      </c>
      <c r="R57" t="s">
        <v>597</v>
      </c>
      <c r="S57" t="s">
        <v>596</v>
      </c>
      <c r="T57">
        <v>11</v>
      </c>
      <c r="Y57" t="s">
        <v>594</v>
      </c>
      <c r="AA57" t="s">
        <v>577</v>
      </c>
      <c r="AB57">
        <v>29</v>
      </c>
    </row>
    <row r="58" spans="2:28">
      <c r="C58" t="s">
        <v>504</v>
      </c>
      <c r="Q58" t="s">
        <v>598</v>
      </c>
      <c r="R58" t="s">
        <v>599</v>
      </c>
      <c r="S58" t="s">
        <v>596</v>
      </c>
      <c r="T58">
        <v>16</v>
      </c>
      <c r="Y58" t="s">
        <v>609</v>
      </c>
      <c r="AA58" t="s">
        <v>610</v>
      </c>
      <c r="AB58">
        <v>7</v>
      </c>
    </row>
    <row r="59" spans="2:28">
      <c r="C59" t="s">
        <v>505</v>
      </c>
      <c r="Q59" t="s">
        <v>601</v>
      </c>
      <c r="R59" t="s">
        <v>600</v>
      </c>
      <c r="S59" t="s">
        <v>596</v>
      </c>
      <c r="T59">
        <v>20</v>
      </c>
    </row>
    <row r="60" spans="2:28">
      <c r="Q60" t="s">
        <v>371</v>
      </c>
      <c r="R60" t="s">
        <v>602</v>
      </c>
      <c r="S60" t="s">
        <v>596</v>
      </c>
      <c r="T60">
        <v>21</v>
      </c>
    </row>
    <row r="61" spans="2:28">
      <c r="B61" t="s">
        <v>498</v>
      </c>
      <c r="C61" t="s">
        <v>499</v>
      </c>
      <c r="Q61" t="s">
        <v>571</v>
      </c>
      <c r="R61" t="s">
        <v>603</v>
      </c>
      <c r="S61" t="s">
        <v>596</v>
      </c>
    </row>
    <row r="62" spans="2:28">
      <c r="C62" t="s">
        <v>500</v>
      </c>
      <c r="Q62" t="s">
        <v>604</v>
      </c>
      <c r="R62">
        <v>11800</v>
      </c>
      <c r="S62" t="s">
        <v>521</v>
      </c>
      <c r="T62">
        <v>162</v>
      </c>
    </row>
    <row r="63" spans="2:28">
      <c r="C63" t="s">
        <v>501</v>
      </c>
      <c r="Q63" t="s">
        <v>605</v>
      </c>
      <c r="R63" t="s">
        <v>606</v>
      </c>
      <c r="S63" t="s">
        <v>521</v>
      </c>
      <c r="T63">
        <v>162</v>
      </c>
    </row>
    <row r="64" spans="2:28">
      <c r="C64" t="s">
        <v>502</v>
      </c>
      <c r="Q64" t="s">
        <v>607</v>
      </c>
      <c r="R64" t="s">
        <v>608</v>
      </c>
      <c r="S64" t="s">
        <v>521</v>
      </c>
      <c r="T64">
        <v>166</v>
      </c>
    </row>
    <row r="65" spans="2:20">
      <c r="C65" t="s">
        <v>503</v>
      </c>
      <c r="I65" t="s">
        <v>515</v>
      </c>
    </row>
    <row r="66" spans="2:20">
      <c r="Q66" t="s">
        <v>615</v>
      </c>
      <c r="S66" t="s">
        <v>614</v>
      </c>
      <c r="T66">
        <v>16</v>
      </c>
    </row>
    <row r="67" spans="2:20">
      <c r="B67" t="s">
        <v>512</v>
      </c>
      <c r="C67" t="s">
        <v>513</v>
      </c>
      <c r="E67">
        <v>13000</v>
      </c>
      <c r="H67" t="s">
        <v>511</v>
      </c>
    </row>
    <row r="68" spans="2:20">
      <c r="C68" t="s">
        <v>516</v>
      </c>
      <c r="E68" t="s">
        <v>517</v>
      </c>
      <c r="H68" t="s">
        <v>514</v>
      </c>
    </row>
    <row r="69" spans="2:20">
      <c r="C69" t="s">
        <v>527</v>
      </c>
      <c r="H69" t="s">
        <v>521</v>
      </c>
      <c r="I69">
        <v>150</v>
      </c>
    </row>
    <row r="70" spans="2:20">
      <c r="Q70" t="s">
        <v>560</v>
      </c>
      <c r="S70" t="s">
        <v>556</v>
      </c>
      <c r="T70">
        <v>4</v>
      </c>
    </row>
    <row r="71" spans="2:20">
      <c r="C71" s="395" t="s">
        <v>805</v>
      </c>
      <c r="Q71" t="s">
        <v>561</v>
      </c>
      <c r="S71" t="s">
        <v>556</v>
      </c>
      <c r="T71">
        <v>4</v>
      </c>
    </row>
    <row r="72" spans="2:20">
      <c r="C72" s="55"/>
    </row>
    <row r="73" spans="2:20">
      <c r="C73" s="142" t="s">
        <v>348</v>
      </c>
    </row>
    <row r="74" spans="2:20">
      <c r="C74" s="142" t="s">
        <v>349</v>
      </c>
      <c r="Q74" t="s">
        <v>683</v>
      </c>
      <c r="S74" s="5" t="s">
        <v>684</v>
      </c>
    </row>
    <row r="75" spans="2:20">
      <c r="C75" s="142" t="s">
        <v>101</v>
      </c>
      <c r="Q75" t="s">
        <v>685</v>
      </c>
      <c r="S75" s="5" t="s">
        <v>686</v>
      </c>
    </row>
    <row r="76" spans="2:20">
      <c r="C76" s="142" t="s">
        <v>361</v>
      </c>
      <c r="Q76" t="s">
        <v>685</v>
      </c>
      <c r="S76" s="5" t="s">
        <v>687</v>
      </c>
    </row>
    <row r="77" spans="2:20">
      <c r="Q77" t="s">
        <v>689</v>
      </c>
      <c r="S77" s="5" t="s">
        <v>688</v>
      </c>
    </row>
    <row r="78" spans="2:20">
      <c r="Q78" t="s">
        <v>685</v>
      </c>
      <c r="S78" s="5" t="s">
        <v>690</v>
      </c>
    </row>
    <row r="79" spans="2:20">
      <c r="B79" s="142" t="s">
        <v>309</v>
      </c>
      <c r="C79" s="142"/>
      <c r="D79" s="142"/>
      <c r="E79" s="142"/>
      <c r="F79" s="142"/>
      <c r="G79" s="142"/>
      <c r="H79" s="142"/>
      <c r="I79" s="142"/>
      <c r="J79" s="142"/>
      <c r="Q79" t="s">
        <v>685</v>
      </c>
      <c r="S79" s="5" t="s">
        <v>691</v>
      </c>
    </row>
    <row r="80" spans="2:20">
      <c r="B80" s="142" t="s">
        <v>310</v>
      </c>
      <c r="C80" s="142" t="s">
        <v>311</v>
      </c>
      <c r="D80" s="142" t="s">
        <v>369</v>
      </c>
      <c r="E80" s="142"/>
      <c r="F80" s="142"/>
      <c r="G80" s="142"/>
      <c r="H80" s="142"/>
      <c r="I80" s="142"/>
      <c r="J80" s="142"/>
      <c r="Q80" t="s">
        <v>692</v>
      </c>
      <c r="S80" s="5" t="s">
        <v>693</v>
      </c>
    </row>
    <row r="81" spans="3:19">
      <c r="Q81" t="s">
        <v>694</v>
      </c>
      <c r="S81" s="5" t="s">
        <v>695</v>
      </c>
    </row>
    <row r="84" spans="3:19">
      <c r="E84">
        <f>165/26.5</f>
        <v>6.2264150943396226</v>
      </c>
    </row>
    <row r="85" spans="3:19">
      <c r="E85">
        <f>26.5/165</f>
        <v>0.16060606060606061</v>
      </c>
    </row>
    <row r="87" spans="3:19">
      <c r="D87">
        <v>17.670000000000002</v>
      </c>
    </row>
    <row r="89" spans="3:19">
      <c r="C89">
        <f>D89/E89</f>
        <v>0.81958762886597947</v>
      </c>
      <c r="D89">
        <v>15.9</v>
      </c>
      <c r="E89">
        <v>19.399999999999999</v>
      </c>
      <c r="F89" s="573">
        <f>AVERAGE(D89,E89)</f>
        <v>17.649999999999999</v>
      </c>
    </row>
    <row r="90" spans="3:19">
      <c r="C90" s="6">
        <f>1-C89</f>
        <v>0.18041237113402053</v>
      </c>
      <c r="D90">
        <f>D89/D87</f>
        <v>0.89983022071307295</v>
      </c>
      <c r="E90">
        <f>E89/D87</f>
        <v>1.0979060554612334</v>
      </c>
    </row>
    <row r="91" spans="3:19">
      <c r="D91" s="6">
        <f>1-D90</f>
        <v>0.10016977928692705</v>
      </c>
      <c r="E91" s="6">
        <f>1-E90</f>
        <v>-9.7906055461233432E-2</v>
      </c>
    </row>
  </sheetData>
  <hyperlinks>
    <hyperlink ref="B2" r:id="rId1" xr:uid="{00000000-0004-0000-0C00-000000000000}"/>
    <hyperlink ref="B3" r:id="rId2" xr:uid="{00000000-0004-0000-0C00-000001000000}"/>
    <hyperlink ref="B4" r:id="rId3" xr:uid="{00000000-0004-0000-0C00-000002000000}"/>
    <hyperlink ref="B5" r:id="rId4" xr:uid="{00000000-0004-0000-0C00-000003000000}"/>
    <hyperlink ref="B6" r:id="rId5" xr:uid="{00000000-0004-0000-0C00-000004000000}"/>
    <hyperlink ref="B7" r:id="rId6" xr:uid="{00000000-0004-0000-0C00-000005000000}"/>
    <hyperlink ref="B8" r:id="rId7" xr:uid="{00000000-0004-0000-0C00-000006000000}"/>
    <hyperlink ref="B9" r:id="rId8" display="http://databank.worldbank.org/" xr:uid="{00000000-0004-0000-0C00-000007000000}"/>
    <hyperlink ref="B10" r:id="rId9" xr:uid="{00000000-0004-0000-0C00-000008000000}"/>
    <hyperlink ref="B16" r:id="rId10" display="http://www.vdi.de/fileadmin/vdi_de/redakteur_dateien/geu_dateien/FB4-Internetseiten/CO2-Emissionen der Stromerzeugung_01.pdf" xr:uid="{00000000-0004-0000-0C00-000009000000}"/>
    <hyperlink ref="B11" r:id="rId11" xr:uid="{00000000-0004-0000-0C00-00000A000000}"/>
    <hyperlink ref="B12" r:id="rId12" xr:uid="{00000000-0004-0000-0C00-00000B000000}"/>
    <hyperlink ref="B13" r:id="rId13" xr:uid="{00000000-0004-0000-0C00-00000C000000}"/>
    <hyperlink ref="B14" r:id="rId14" xr:uid="{00000000-0004-0000-0C00-00000D000000}"/>
    <hyperlink ref="B17" r:id="rId15" xr:uid="{00000000-0004-0000-0C00-00000E000000}"/>
    <hyperlink ref="B18" r:id="rId16" xr:uid="{00000000-0004-0000-0C00-00000F000000}"/>
    <hyperlink ref="B19" r:id="rId17" xr:uid="{00000000-0004-0000-0C00-000010000000}"/>
    <hyperlink ref="B20" r:id="rId18" xr:uid="{00000000-0004-0000-0C00-000011000000}"/>
    <hyperlink ref="B21" r:id="rId19" xr:uid="{00000000-0004-0000-0C00-000012000000}"/>
    <hyperlink ref="C32" r:id="rId20" xr:uid="{00000000-0004-0000-0C00-000013000000}"/>
    <hyperlink ref="B35" r:id="rId21" xr:uid="{00000000-0004-0000-0C00-000014000000}"/>
    <hyperlink ref="S81" r:id="rId22" xr:uid="{00000000-0004-0000-0C00-000015000000}"/>
    <hyperlink ref="S80" r:id="rId23" xr:uid="{00000000-0004-0000-0C00-000016000000}"/>
    <hyperlink ref="S79" r:id="rId24" xr:uid="{00000000-0004-0000-0C00-000017000000}"/>
    <hyperlink ref="S78" r:id="rId25" xr:uid="{00000000-0004-0000-0C00-000018000000}"/>
    <hyperlink ref="S77" r:id="rId26" xr:uid="{00000000-0004-0000-0C00-000019000000}"/>
    <hyperlink ref="S76" r:id="rId27" xr:uid="{00000000-0004-0000-0C00-00001A000000}"/>
    <hyperlink ref="S75" r:id="rId28" xr:uid="{00000000-0004-0000-0C00-00001B000000}"/>
    <hyperlink ref="S74" r:id="rId29" xr:uid="{00000000-0004-0000-0C00-00001C000000}"/>
    <hyperlink ref="B40" r:id="rId30" xr:uid="{00000000-0004-0000-0C00-00001D000000}"/>
    <hyperlink ref="C71" r:id="rId31" xr:uid="{00000000-0004-0000-0C00-00001E000000}"/>
  </hyperlink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>
      <selection activeCell="F12" sqref="F12"/>
    </sheetView>
  </sheetViews>
  <sheetFormatPr baseColWidth="10" defaultRowHeight="15"/>
  <cols>
    <col min="1" max="1" width="34.33203125" bestFit="1" customWidth="1"/>
    <col min="2" max="3" width="10.5" bestFit="1" customWidth="1"/>
  </cols>
  <sheetData>
    <row r="1" spans="1:4">
      <c r="A1" s="54" t="s">
        <v>295</v>
      </c>
      <c r="B1" s="54"/>
      <c r="C1" s="54"/>
      <c r="D1" s="54"/>
    </row>
    <row r="2" spans="1:4">
      <c r="A2" s="54" t="s">
        <v>254</v>
      </c>
      <c r="B2" s="55"/>
      <c r="C2" s="55"/>
      <c r="D2" s="55"/>
    </row>
    <row r="3" spans="1:4">
      <c r="A3" s="55" t="s">
        <v>69</v>
      </c>
      <c r="B3" s="55" t="s">
        <v>7</v>
      </c>
      <c r="C3" s="55">
        <v>0.42514370699999998</v>
      </c>
      <c r="D3" s="55"/>
    </row>
    <row r="4" spans="1:4">
      <c r="A4" s="55" t="s">
        <v>70</v>
      </c>
      <c r="B4" s="55" t="s">
        <v>4</v>
      </c>
      <c r="C4" s="55">
        <v>3.7854117839999999</v>
      </c>
      <c r="D4" s="55"/>
    </row>
    <row r="5" spans="1:4">
      <c r="A5" s="55" t="s">
        <v>72</v>
      </c>
      <c r="B5" s="55" t="s">
        <v>71</v>
      </c>
      <c r="C5" s="55">
        <v>8887</v>
      </c>
      <c r="D5" s="55"/>
    </row>
    <row r="6" spans="1:4">
      <c r="A6" s="55" t="s">
        <v>73</v>
      </c>
      <c r="B6" s="55" t="s">
        <v>6</v>
      </c>
      <c r="C6" s="55">
        <f>C5/C4</f>
        <v>2347.6970293068653</v>
      </c>
      <c r="D6" s="55"/>
    </row>
    <row r="7" spans="1:4">
      <c r="A7" s="55" t="s">
        <v>83</v>
      </c>
      <c r="B7" s="55"/>
      <c r="C7" s="55"/>
      <c r="D7" s="55"/>
    </row>
    <row r="8" spans="1:4">
      <c r="A8" s="55" t="s">
        <v>84</v>
      </c>
      <c r="B8" s="55"/>
      <c r="C8" s="55"/>
      <c r="D8" s="55"/>
    </row>
    <row r="9" spans="1:4">
      <c r="A9" s="55" t="s">
        <v>88</v>
      </c>
      <c r="B9" s="55"/>
      <c r="C9" s="55">
        <v>0.78949999999999998</v>
      </c>
      <c r="D9" s="55"/>
    </row>
    <row r="10" spans="1:4">
      <c r="A10" s="55" t="s">
        <v>93</v>
      </c>
      <c r="B10" s="55"/>
      <c r="C10" s="55">
        <v>1.264</v>
      </c>
      <c r="D10" s="55"/>
    </row>
    <row r="11" spans="1:4">
      <c r="A11" s="55" t="s">
        <v>278</v>
      </c>
      <c r="B11" s="55"/>
      <c r="C11" s="55">
        <v>4.3103448275862002E-2</v>
      </c>
      <c r="D11" s="55"/>
    </row>
    <row r="12" spans="1:4">
      <c r="A12" s="55" t="s">
        <v>404</v>
      </c>
      <c r="B12" s="55" t="s">
        <v>402</v>
      </c>
      <c r="C12" s="55">
        <v>3.6</v>
      </c>
      <c r="D12" s="55"/>
    </row>
    <row r="13" spans="1:4">
      <c r="A13" s="55" t="s">
        <v>405</v>
      </c>
      <c r="B13" s="55" t="s">
        <v>403</v>
      </c>
      <c r="C13" s="55">
        <v>8.9</v>
      </c>
      <c r="D13" s="55"/>
    </row>
    <row r="14" spans="1:4">
      <c r="A14" s="55" t="s">
        <v>406</v>
      </c>
      <c r="B14" s="55" t="s">
        <v>402</v>
      </c>
      <c r="C14" s="55">
        <v>32</v>
      </c>
      <c r="D14" s="55"/>
    </row>
    <row r="15" spans="1:4">
      <c r="A15" s="55"/>
      <c r="B15" s="55"/>
      <c r="C15" s="55"/>
      <c r="D15" s="55"/>
    </row>
    <row r="16" spans="1:4">
      <c r="A16" s="55" t="s">
        <v>432</v>
      </c>
      <c r="B16" s="55" t="s">
        <v>433</v>
      </c>
      <c r="C16" s="90">
        <v>125</v>
      </c>
      <c r="D16" s="55"/>
    </row>
    <row r="17" spans="1:4">
      <c r="A17" s="55" t="s">
        <v>435</v>
      </c>
      <c r="B17" s="55"/>
      <c r="C17" s="92">
        <v>0.25</v>
      </c>
      <c r="D17" s="55"/>
    </row>
    <row r="18" spans="1:4">
      <c r="A18" s="55" t="s">
        <v>434</v>
      </c>
      <c r="B18" s="55"/>
      <c r="C18" s="90">
        <v>500</v>
      </c>
      <c r="D18" s="55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6"/>
  <dimension ref="A2:O134"/>
  <sheetViews>
    <sheetView workbookViewId="0">
      <selection activeCell="I86" sqref="I86"/>
    </sheetView>
  </sheetViews>
  <sheetFormatPr baseColWidth="10" defaultRowHeight="15"/>
  <sheetData>
    <row r="2" spans="1:4">
      <c r="A2" s="50" t="s">
        <v>250</v>
      </c>
      <c r="B2" t="s">
        <v>8</v>
      </c>
      <c r="D2" s="3">
        <v>0.1</v>
      </c>
    </row>
    <row r="3" spans="1:4">
      <c r="A3" s="50" t="s">
        <v>251</v>
      </c>
      <c r="B3" t="s">
        <v>8</v>
      </c>
      <c r="D3" s="3">
        <v>0.5</v>
      </c>
    </row>
    <row r="4" spans="1:4">
      <c r="A4" s="50" t="s">
        <v>252</v>
      </c>
      <c r="B4" t="s">
        <v>8</v>
      </c>
      <c r="D4" s="3">
        <v>0.9</v>
      </c>
    </row>
    <row r="6" spans="1:4">
      <c r="A6" s="51" t="s">
        <v>231</v>
      </c>
      <c r="B6" s="50"/>
      <c r="C6" s="50"/>
      <c r="D6" s="50"/>
    </row>
    <row r="7" spans="1:4">
      <c r="A7" s="50" t="s">
        <v>18</v>
      </c>
      <c r="B7" s="50"/>
      <c r="C7" s="50"/>
      <c r="D7" s="52">
        <v>0.04</v>
      </c>
    </row>
    <row r="8" spans="1:4">
      <c r="A8" s="50" t="s">
        <v>10</v>
      </c>
      <c r="B8" s="50" t="s">
        <v>11</v>
      </c>
      <c r="C8" s="50"/>
      <c r="D8" s="53">
        <v>6.0000000000000001E-3</v>
      </c>
    </row>
    <row r="9" spans="1:4">
      <c r="A9" s="50" t="s">
        <v>12</v>
      </c>
      <c r="B9" s="50" t="s">
        <v>11</v>
      </c>
      <c r="C9" s="50"/>
      <c r="D9" s="53">
        <v>1E-3</v>
      </c>
    </row>
    <row r="10" spans="1:4">
      <c r="A10" s="50" t="s">
        <v>19</v>
      </c>
      <c r="B10" s="50" t="s">
        <v>22</v>
      </c>
      <c r="C10" s="50"/>
      <c r="D10" s="52">
        <v>4.4999999999999998E-2</v>
      </c>
    </row>
    <row r="13" spans="1:4">
      <c r="A13" s="50" t="s">
        <v>291</v>
      </c>
    </row>
    <row r="14" spans="1:4">
      <c r="A14" s="50" t="s">
        <v>292</v>
      </c>
    </row>
    <row r="15" spans="1:4">
      <c r="A15" s="50" t="s">
        <v>294</v>
      </c>
    </row>
    <row r="18" spans="1:12">
      <c r="A18" s="2" t="s">
        <v>147</v>
      </c>
    </row>
    <row r="20" spans="1:12">
      <c r="A20" s="7" t="s">
        <v>104</v>
      </c>
      <c r="B20" s="7" t="s">
        <v>105</v>
      </c>
      <c r="C20" s="7" t="s">
        <v>106</v>
      </c>
      <c r="D20" s="7" t="s">
        <v>107</v>
      </c>
      <c r="E20" s="7" t="s">
        <v>108</v>
      </c>
      <c r="F20" s="7" t="s">
        <v>109</v>
      </c>
      <c r="G20" s="7" t="s">
        <v>110</v>
      </c>
      <c r="H20" s="7" t="s">
        <v>111</v>
      </c>
      <c r="I20" s="7" t="s">
        <v>112</v>
      </c>
      <c r="J20" s="7" t="s">
        <v>113</v>
      </c>
      <c r="K20" s="7" t="s">
        <v>114</v>
      </c>
    </row>
    <row r="21" spans="1:12">
      <c r="A21" s="7" t="s">
        <v>115</v>
      </c>
      <c r="B21" s="8">
        <v>0.11650000000000001</v>
      </c>
      <c r="C21" s="8">
        <v>0.1177</v>
      </c>
      <c r="D21" s="8">
        <v>0.12470000000000001</v>
      </c>
      <c r="E21" s="8">
        <v>0.12239999999999999</v>
      </c>
      <c r="F21" s="8">
        <v>0.1212</v>
      </c>
      <c r="G21" s="8">
        <v>0.1221</v>
      </c>
      <c r="H21" s="8">
        <v>0.1249</v>
      </c>
      <c r="I21" s="8">
        <v>0.12809999999999999</v>
      </c>
      <c r="J21" s="8">
        <v>0.13100000000000001</v>
      </c>
      <c r="K21" s="9"/>
      <c r="L21" s="6">
        <f>(J21/B21)^(1/4)-1</f>
        <v>2.9760769403000431E-2</v>
      </c>
    </row>
    <row r="22" spans="1:12">
      <c r="A22" s="7" t="s">
        <v>116</v>
      </c>
      <c r="B22" s="8">
        <v>0.1158</v>
      </c>
      <c r="C22" s="8">
        <v>0.1169</v>
      </c>
      <c r="D22" s="8">
        <v>0.1229</v>
      </c>
      <c r="E22" s="8">
        <v>0.12429999999999999</v>
      </c>
      <c r="F22" s="8">
        <v>0.1229</v>
      </c>
      <c r="G22" s="8">
        <v>0.1234</v>
      </c>
      <c r="H22" s="8">
        <v>0.12529999999999999</v>
      </c>
      <c r="I22" s="8">
        <v>0.12859999999999999</v>
      </c>
      <c r="J22" s="8">
        <v>0.1308</v>
      </c>
      <c r="K22" s="9"/>
    </row>
    <row r="23" spans="1:12">
      <c r="A23" s="7" t="s">
        <v>117</v>
      </c>
      <c r="B23" s="8">
        <v>0.12859999999999999</v>
      </c>
      <c r="C23" s="8">
        <v>0.15</v>
      </c>
      <c r="D23" s="8">
        <v>0.16189999999999999</v>
      </c>
      <c r="E23" s="8">
        <v>0.1431</v>
      </c>
      <c r="F23" s="8">
        <v>0.13900000000000001</v>
      </c>
      <c r="G23" s="8">
        <v>0.1449</v>
      </c>
      <c r="H23" s="8">
        <v>0.14599999999999999</v>
      </c>
      <c r="I23" s="8">
        <v>0.15720000000000001</v>
      </c>
      <c r="J23" s="8">
        <v>0.1595</v>
      </c>
      <c r="K23" s="8">
        <v>0.159</v>
      </c>
    </row>
    <row r="24" spans="1:12">
      <c r="A24" s="7" t="s">
        <v>118</v>
      </c>
      <c r="B24" s="8">
        <v>6.0299999999999999E-2</v>
      </c>
      <c r="C24" s="8">
        <v>5.9299999999999999E-2</v>
      </c>
      <c r="D24" s="8">
        <v>6.8500000000000005E-2</v>
      </c>
      <c r="E24" s="8">
        <v>6.8500000000000005E-2</v>
      </c>
      <c r="F24" s="8">
        <v>6.8500000000000005E-2</v>
      </c>
      <c r="G24" s="8">
        <v>6.7500000000000004E-2</v>
      </c>
      <c r="H24" s="8">
        <v>6.9199999999999998E-2</v>
      </c>
      <c r="I24" s="8">
        <v>6.88E-2</v>
      </c>
      <c r="J24" s="8">
        <v>7.2700000000000001E-2</v>
      </c>
      <c r="K24" s="8">
        <v>7.0599999999999996E-2</v>
      </c>
    </row>
    <row r="25" spans="1:12">
      <c r="A25" s="7" t="s">
        <v>119</v>
      </c>
      <c r="B25" s="8">
        <v>8.9499999999999996E-2</v>
      </c>
      <c r="C25" s="8">
        <v>0.106</v>
      </c>
      <c r="D25" s="8">
        <v>0.108</v>
      </c>
      <c r="E25" s="8">
        <v>0.11020000000000001</v>
      </c>
      <c r="F25" s="8">
        <v>0.11609999999999999</v>
      </c>
      <c r="G25" s="8">
        <v>0.1108</v>
      </c>
      <c r="H25" s="8">
        <v>0.11459999999999999</v>
      </c>
      <c r="I25" s="8">
        <v>0.1232</v>
      </c>
      <c r="J25" s="8">
        <v>0.1208</v>
      </c>
      <c r="K25" s="8">
        <v>0.1235</v>
      </c>
    </row>
    <row r="26" spans="1:12">
      <c r="A26" s="7" t="s">
        <v>120</v>
      </c>
      <c r="B26" s="8">
        <v>0.1027</v>
      </c>
      <c r="C26" s="8">
        <v>0.1203</v>
      </c>
      <c r="D26" s="8">
        <v>0.1323</v>
      </c>
      <c r="E26" s="8">
        <v>0.1239</v>
      </c>
      <c r="F26" s="8">
        <v>0.11219999999999999</v>
      </c>
      <c r="G26" s="8">
        <v>0.1168</v>
      </c>
      <c r="H26" s="8">
        <v>0.11990000000000001</v>
      </c>
      <c r="I26" s="8">
        <v>0.1263</v>
      </c>
      <c r="J26" s="8">
        <v>0.13150000000000001</v>
      </c>
      <c r="K26" s="8">
        <v>0.13139999999999999</v>
      </c>
    </row>
    <row r="27" spans="1:12">
      <c r="A27" s="7" t="s">
        <v>58</v>
      </c>
      <c r="B27" s="8">
        <v>0.12790000000000001</v>
      </c>
      <c r="C27" s="8">
        <v>0.12989999999999999</v>
      </c>
      <c r="D27" s="8">
        <v>0.1341</v>
      </c>
      <c r="E27" s="8">
        <v>0.1401</v>
      </c>
      <c r="F27" s="8">
        <v>0.13589999999999999</v>
      </c>
      <c r="G27" s="8">
        <v>0.1381</v>
      </c>
      <c r="H27" s="8">
        <v>0.13700000000000001</v>
      </c>
      <c r="I27" s="8">
        <v>0.1406</v>
      </c>
      <c r="J27" s="8">
        <v>0.13950000000000001</v>
      </c>
      <c r="K27" s="8">
        <v>0.14410000000000001</v>
      </c>
      <c r="L27" s="6">
        <f>(K27/C27)^(1/4)-1</f>
        <v>2.6274900254809497E-2</v>
      </c>
    </row>
    <row r="28" spans="1:12">
      <c r="A28" s="7" t="s">
        <v>121</v>
      </c>
      <c r="B28" s="8">
        <v>6.5199999999999994E-2</v>
      </c>
      <c r="C28" s="8">
        <v>6.3899999999999998E-2</v>
      </c>
      <c r="D28" s="8">
        <v>6.7000000000000004E-2</v>
      </c>
      <c r="E28" s="8">
        <v>7.1199999999999999E-2</v>
      </c>
      <c r="F28" s="8">
        <v>6.9599999999999995E-2</v>
      </c>
      <c r="G28" s="8">
        <v>6.9500000000000006E-2</v>
      </c>
      <c r="H28" s="8">
        <v>7.1099999999999997E-2</v>
      </c>
      <c r="I28" s="8">
        <v>7.0400000000000004E-2</v>
      </c>
      <c r="J28" s="8">
        <v>7.6300000000000007E-2</v>
      </c>
      <c r="K28" s="8">
        <v>7.7100000000000002E-2</v>
      </c>
    </row>
    <row r="29" spans="1:12">
      <c r="A29" s="7" t="s">
        <v>122</v>
      </c>
      <c r="B29" s="8">
        <v>0.16900000000000001</v>
      </c>
      <c r="C29" s="8">
        <v>0.15590000000000001</v>
      </c>
      <c r="D29" s="8">
        <v>0.17910000000000001</v>
      </c>
      <c r="E29" s="8">
        <v>0.1789</v>
      </c>
      <c r="F29" s="8">
        <v>0.16350000000000001</v>
      </c>
      <c r="G29" s="8">
        <v>0.15890000000000001</v>
      </c>
      <c r="H29" s="8">
        <v>0.16289999999999999</v>
      </c>
      <c r="I29" s="8">
        <v>0.15840000000000001</v>
      </c>
      <c r="J29" s="8">
        <v>0.17549999999999999</v>
      </c>
      <c r="K29" s="8">
        <v>0.1845</v>
      </c>
    </row>
    <row r="30" spans="1:12">
      <c r="A30" s="7" t="s">
        <v>123</v>
      </c>
      <c r="B30" s="8">
        <v>0.09</v>
      </c>
      <c r="C30" s="8">
        <v>9.5699999999999993E-2</v>
      </c>
      <c r="D30" s="8">
        <v>0.10050000000000001</v>
      </c>
      <c r="E30" s="8">
        <v>0.1055</v>
      </c>
      <c r="F30" s="8">
        <v>9.4200000000000006E-2</v>
      </c>
      <c r="G30" s="8">
        <v>9.7500000000000003E-2</v>
      </c>
      <c r="H30" s="8">
        <v>9.5899999999999999E-2</v>
      </c>
      <c r="I30" s="8">
        <v>0.10249999999999999</v>
      </c>
      <c r="J30" s="8">
        <v>0.1003</v>
      </c>
      <c r="K30" s="8">
        <v>0.1065</v>
      </c>
    </row>
    <row r="31" spans="1:12">
      <c r="A31" s="7" t="s">
        <v>124</v>
      </c>
      <c r="B31" s="8">
        <v>0.1152</v>
      </c>
      <c r="C31" s="8">
        <v>0.1124</v>
      </c>
      <c r="D31" s="8">
        <v>0.12770000000000001</v>
      </c>
      <c r="E31" s="8">
        <v>0.12939999999999999</v>
      </c>
      <c r="F31" s="8">
        <v>0.1381</v>
      </c>
      <c r="G31" s="8">
        <v>0.14169999999999999</v>
      </c>
      <c r="H31" s="8">
        <v>0.1492</v>
      </c>
      <c r="I31" s="8">
        <v>0.15970000000000001</v>
      </c>
      <c r="J31" s="8">
        <v>0.16839999999999999</v>
      </c>
      <c r="K31" s="8">
        <v>0.1469</v>
      </c>
    </row>
    <row r="32" spans="1:12">
      <c r="A32" s="7" t="s">
        <v>59</v>
      </c>
      <c r="B32" s="8">
        <v>9.2399999999999996E-2</v>
      </c>
      <c r="C32" s="8">
        <v>9.1399999999999995E-2</v>
      </c>
      <c r="D32" s="8">
        <v>9.0999999999999998E-2</v>
      </c>
      <c r="E32" s="8">
        <v>9.0800000000000006E-2</v>
      </c>
      <c r="F32" s="8">
        <v>9.0800000000000006E-2</v>
      </c>
      <c r="G32" s="8">
        <v>9.4E-2</v>
      </c>
      <c r="H32" s="8">
        <v>9.9500000000000005E-2</v>
      </c>
      <c r="I32" s="8">
        <v>9.9400000000000002E-2</v>
      </c>
      <c r="J32" s="8">
        <v>0.1017</v>
      </c>
      <c r="K32" s="8">
        <v>9.8599999999999993E-2</v>
      </c>
      <c r="L32" s="6">
        <f>(K32/C32)^(1/4)-1</f>
        <v>1.9137259929586259E-2</v>
      </c>
    </row>
    <row r="33" spans="1:11">
      <c r="A33" s="7" t="s">
        <v>125</v>
      </c>
      <c r="B33" s="9"/>
      <c r="C33" s="9"/>
      <c r="D33" s="9"/>
      <c r="E33" s="9"/>
      <c r="F33" s="9"/>
      <c r="G33" s="9"/>
      <c r="H33" s="8">
        <v>0.13869999999999999</v>
      </c>
      <c r="I33" s="8">
        <v>0.13969999999999999</v>
      </c>
      <c r="J33" s="8">
        <v>0.14119999999999999</v>
      </c>
      <c r="K33" s="9"/>
    </row>
    <row r="34" spans="1:11">
      <c r="A34" s="7" t="s">
        <v>126</v>
      </c>
      <c r="B34" s="8">
        <v>0.13489999999999999</v>
      </c>
      <c r="C34" s="8">
        <v>0.15279999999999999</v>
      </c>
      <c r="D34" s="8">
        <v>0.1754</v>
      </c>
      <c r="E34" s="8">
        <v>0.1336</v>
      </c>
      <c r="F34" s="8">
        <v>0.1409</v>
      </c>
      <c r="G34" s="8">
        <v>0.15970000000000001</v>
      </c>
      <c r="H34" s="8">
        <v>0.16900000000000001</v>
      </c>
      <c r="I34" s="8">
        <v>0.1731</v>
      </c>
      <c r="J34" s="8">
        <v>0.20349999999999999</v>
      </c>
      <c r="K34" s="8">
        <v>0.23380000000000001</v>
      </c>
    </row>
    <row r="35" spans="1:11">
      <c r="A35" s="7" t="s">
        <v>127</v>
      </c>
      <c r="B35" s="8">
        <v>6.9500000000000006E-2</v>
      </c>
      <c r="C35" s="8">
        <v>8.0199999999999994E-2</v>
      </c>
      <c r="D35" s="8">
        <v>9.5500000000000002E-2</v>
      </c>
      <c r="E35" s="8">
        <v>9.5699999999999993E-2</v>
      </c>
      <c r="F35" s="8">
        <v>9.5899999999999999E-2</v>
      </c>
      <c r="G35" s="8">
        <v>9.5399999999999999E-2</v>
      </c>
      <c r="H35" s="8">
        <v>9.5299999999999996E-2</v>
      </c>
      <c r="I35" s="8">
        <v>9.5699999999999993E-2</v>
      </c>
      <c r="J35" s="8">
        <v>0.11</v>
      </c>
      <c r="K35" s="8">
        <v>0.1138</v>
      </c>
    </row>
    <row r="36" spans="1:11">
      <c r="A36" s="7" t="s">
        <v>128</v>
      </c>
      <c r="B36" s="8">
        <v>7.3700000000000002E-2</v>
      </c>
      <c r="C36" s="8">
        <v>7.2900000000000006E-2</v>
      </c>
      <c r="D36" s="8">
        <v>7.3200000000000001E-2</v>
      </c>
      <c r="E36" s="8">
        <v>7.9899999999999999E-2</v>
      </c>
      <c r="F36" s="8">
        <v>7.6799999999999993E-2</v>
      </c>
      <c r="G36" s="8">
        <v>9.5500000000000002E-2</v>
      </c>
      <c r="H36" s="8">
        <v>0.10050000000000001</v>
      </c>
      <c r="I36" s="8">
        <v>0.1004</v>
      </c>
      <c r="J36" s="8">
        <v>0.1009</v>
      </c>
      <c r="K36" s="8">
        <v>0.1042</v>
      </c>
    </row>
    <row r="37" spans="1:11">
      <c r="A37" s="7" t="s">
        <v>129</v>
      </c>
      <c r="B37" s="8">
        <v>0.14419999999999999</v>
      </c>
      <c r="C37" s="8">
        <v>0.14419999999999999</v>
      </c>
      <c r="D37" s="8">
        <v>0.1391</v>
      </c>
      <c r="E37" s="8">
        <v>0.16189999999999999</v>
      </c>
      <c r="F37" s="8">
        <v>0.1653</v>
      </c>
      <c r="G37" s="8">
        <v>0.14330000000000001</v>
      </c>
      <c r="H37" s="8">
        <v>0.1449</v>
      </c>
      <c r="I37" s="8">
        <v>0.14510000000000001</v>
      </c>
      <c r="J37" s="8">
        <v>0.14360000000000001</v>
      </c>
      <c r="K37" s="8">
        <v>0.14680000000000001</v>
      </c>
    </row>
    <row r="38" spans="1:11">
      <c r="A38" s="7" t="s">
        <v>130</v>
      </c>
      <c r="B38" s="8">
        <v>9.5699999999999993E-2</v>
      </c>
      <c r="C38" s="8">
        <v>0.12770000000000001</v>
      </c>
      <c r="D38" s="8">
        <v>0.12809999999999999</v>
      </c>
      <c r="E38" s="8">
        <v>0.1227</v>
      </c>
      <c r="F38" s="8">
        <v>0.13200000000000001</v>
      </c>
      <c r="G38" s="8">
        <v>0.13489999999999999</v>
      </c>
      <c r="H38" s="8">
        <v>0.12470000000000001</v>
      </c>
      <c r="I38" s="8">
        <v>0.1336</v>
      </c>
      <c r="J38" s="8">
        <v>0.1192</v>
      </c>
      <c r="K38" s="9"/>
    </row>
    <row r="39" spans="1:11">
      <c r="A39" s="7" t="s">
        <v>131</v>
      </c>
      <c r="B39" s="8">
        <v>8.7400000000000005E-2</v>
      </c>
      <c r="C39" s="8">
        <v>9.4500000000000001E-2</v>
      </c>
      <c r="D39" s="8">
        <v>0.14630000000000001</v>
      </c>
      <c r="E39" s="8">
        <v>0.16270000000000001</v>
      </c>
      <c r="F39" s="8">
        <v>0.14410000000000001</v>
      </c>
      <c r="G39" s="8">
        <v>0.1615</v>
      </c>
      <c r="H39" s="8">
        <v>0.1615</v>
      </c>
      <c r="I39" s="8">
        <v>0.1615</v>
      </c>
      <c r="J39" s="8">
        <v>0.1615</v>
      </c>
      <c r="K39" s="8">
        <v>0.1615</v>
      </c>
    </row>
    <row r="40" spans="1:11">
      <c r="A40" s="7" t="s">
        <v>132</v>
      </c>
      <c r="B40" s="8">
        <v>0.129</v>
      </c>
      <c r="C40" s="8">
        <v>0.127</v>
      </c>
      <c r="D40" s="8">
        <v>0.13200000000000001</v>
      </c>
      <c r="E40" s="8">
        <v>0.14399999999999999</v>
      </c>
      <c r="F40" s="8">
        <v>0.1386</v>
      </c>
      <c r="G40" s="8">
        <v>0.12659999999999999</v>
      </c>
      <c r="H40" s="8">
        <v>0.12590000000000001</v>
      </c>
      <c r="I40" s="8">
        <v>0.13</v>
      </c>
      <c r="J40" s="8">
        <v>0.1343</v>
      </c>
      <c r="K40" s="9"/>
    </row>
    <row r="41" spans="1:11">
      <c r="A41" s="7" t="s">
        <v>133</v>
      </c>
      <c r="B41" s="8">
        <v>0.1255</v>
      </c>
      <c r="C41" s="8">
        <v>0.12709999999999999</v>
      </c>
      <c r="D41" s="8">
        <v>0.1268</v>
      </c>
      <c r="E41" s="8">
        <v>0.13800000000000001</v>
      </c>
      <c r="F41" s="8">
        <v>0.13800000000000001</v>
      </c>
      <c r="G41" s="8">
        <v>0.14269999999999999</v>
      </c>
      <c r="H41" s="8">
        <v>0.1396</v>
      </c>
      <c r="I41" s="8">
        <v>0.14419999999999999</v>
      </c>
      <c r="J41" s="8">
        <v>0.1444</v>
      </c>
      <c r="K41" s="9"/>
    </row>
    <row r="42" spans="1:11">
      <c r="A42" s="7" t="s">
        <v>134</v>
      </c>
      <c r="B42" s="8">
        <v>0.1069</v>
      </c>
      <c r="C42" s="8">
        <v>9.6500000000000002E-2</v>
      </c>
      <c r="D42" s="8">
        <v>0.10050000000000001</v>
      </c>
      <c r="E42" s="8">
        <v>8.8300000000000003E-2</v>
      </c>
      <c r="F42" s="8">
        <v>0.10100000000000001</v>
      </c>
      <c r="G42" s="8">
        <v>0.10489999999999999</v>
      </c>
      <c r="H42" s="8">
        <v>0.1082</v>
      </c>
      <c r="I42" s="8">
        <v>0.1145</v>
      </c>
      <c r="J42" s="8">
        <v>0.1052</v>
      </c>
      <c r="K42" s="8">
        <v>0.1106</v>
      </c>
    </row>
    <row r="43" spans="1:11">
      <c r="A43" s="7" t="s">
        <v>135</v>
      </c>
      <c r="B43" s="8">
        <v>0.1206</v>
      </c>
      <c r="C43" s="8">
        <v>0.1074</v>
      </c>
      <c r="D43" s="8">
        <v>0.1066</v>
      </c>
      <c r="E43" s="8">
        <v>0.12640000000000001</v>
      </c>
      <c r="F43" s="8">
        <v>0.13830000000000001</v>
      </c>
      <c r="G43" s="8">
        <v>0.10929999999999999</v>
      </c>
      <c r="H43" s="8">
        <v>0.1061</v>
      </c>
      <c r="I43" s="8">
        <v>0.10150000000000001</v>
      </c>
      <c r="J43" s="8">
        <v>0.10680000000000001</v>
      </c>
      <c r="K43" s="8">
        <v>0.1105</v>
      </c>
    </row>
    <row r="44" spans="1:11">
      <c r="A44" s="7" t="s">
        <v>136</v>
      </c>
      <c r="B44" s="8">
        <v>9.5399999999999999E-2</v>
      </c>
      <c r="C44" s="8">
        <v>8.8499999999999995E-2</v>
      </c>
      <c r="D44" s="8">
        <v>9.1999999999999998E-2</v>
      </c>
      <c r="E44" s="8">
        <v>8.14E-2</v>
      </c>
      <c r="F44" s="8">
        <v>8.1500000000000003E-2</v>
      </c>
      <c r="G44" s="8">
        <v>8.5599999999999996E-2</v>
      </c>
      <c r="H44" s="8">
        <v>8.3900000000000002E-2</v>
      </c>
      <c r="I44" s="8">
        <v>8.48E-2</v>
      </c>
      <c r="J44" s="8">
        <v>8.2299999999999998E-2</v>
      </c>
      <c r="K44" s="8">
        <v>7.9500000000000001E-2</v>
      </c>
    </row>
    <row r="45" spans="1:11">
      <c r="A45" s="7" t="s">
        <v>137</v>
      </c>
      <c r="B45" s="8">
        <v>8.6099999999999996E-2</v>
      </c>
      <c r="C45" s="8">
        <v>9.11E-2</v>
      </c>
      <c r="D45" s="8">
        <v>9.1899999999999996E-2</v>
      </c>
      <c r="E45" s="8">
        <v>0.1056</v>
      </c>
      <c r="F45" s="8">
        <v>0.105</v>
      </c>
      <c r="G45" s="8">
        <v>0.1057</v>
      </c>
      <c r="H45" s="8">
        <v>0.10580000000000001</v>
      </c>
      <c r="I45" s="8">
        <v>0.1079</v>
      </c>
      <c r="J45" s="8">
        <v>0.1149</v>
      </c>
      <c r="K45" s="8">
        <v>0.1193</v>
      </c>
    </row>
    <row r="46" spans="1:11">
      <c r="A46" s="7" t="s">
        <v>138</v>
      </c>
      <c r="B46" s="8">
        <v>0.1152</v>
      </c>
      <c r="C46" s="8">
        <v>0.11940000000000001</v>
      </c>
      <c r="D46" s="8">
        <v>0.1283</v>
      </c>
      <c r="E46" s="8">
        <v>0.12939999999999999</v>
      </c>
      <c r="F46" s="8">
        <v>0.13109999999999999</v>
      </c>
      <c r="G46" s="8">
        <v>0.12770000000000001</v>
      </c>
      <c r="H46" s="8">
        <v>0.1376</v>
      </c>
      <c r="I46" s="8">
        <v>0.13719999999999999</v>
      </c>
      <c r="J46" s="8">
        <v>0.13950000000000001</v>
      </c>
      <c r="K46" s="8">
        <v>0.14000000000000001</v>
      </c>
    </row>
    <row r="47" spans="1:11">
      <c r="A47" s="7" t="s">
        <v>139</v>
      </c>
      <c r="B47" s="8">
        <v>8.6800000000000002E-2</v>
      </c>
      <c r="C47" s="8">
        <v>9.1499999999999998E-2</v>
      </c>
      <c r="D47" s="8">
        <v>9.5500000000000002E-2</v>
      </c>
      <c r="E47" s="8">
        <v>9.74E-2</v>
      </c>
      <c r="F47" s="8">
        <v>9.6799999999999997E-2</v>
      </c>
      <c r="G47" s="8">
        <v>9.98E-2</v>
      </c>
      <c r="H47" s="8">
        <v>0.1026</v>
      </c>
      <c r="I47" s="8">
        <v>0.1081</v>
      </c>
      <c r="J47" s="8">
        <v>0.1108</v>
      </c>
      <c r="K47" s="8">
        <v>0.1089</v>
      </c>
    </row>
    <row r="48" spans="1:11">
      <c r="A48" s="7" t="s">
        <v>140</v>
      </c>
      <c r="B48" s="8">
        <v>0.1013</v>
      </c>
      <c r="C48" s="8">
        <v>0.1085</v>
      </c>
      <c r="D48" s="8">
        <v>0.1137</v>
      </c>
      <c r="E48" s="8">
        <v>0.104</v>
      </c>
      <c r="F48" s="8">
        <v>0.10589999999999999</v>
      </c>
      <c r="G48" s="8">
        <v>0.1195</v>
      </c>
      <c r="H48" s="8">
        <v>0.128</v>
      </c>
      <c r="I48" s="8">
        <v>0.1376</v>
      </c>
      <c r="J48" s="8">
        <v>0.13400000000000001</v>
      </c>
      <c r="K48" s="8">
        <v>0.13120000000000001</v>
      </c>
    </row>
    <row r="49" spans="1:12">
      <c r="A49" s="7" t="s">
        <v>141</v>
      </c>
      <c r="B49" s="8">
        <v>0.1411</v>
      </c>
      <c r="C49" s="8">
        <v>0.1394</v>
      </c>
      <c r="D49" s="8">
        <v>0.153</v>
      </c>
      <c r="E49" s="8">
        <v>0.1399</v>
      </c>
      <c r="F49" s="8">
        <v>0.13400000000000001</v>
      </c>
      <c r="G49" s="8">
        <v>0.1321</v>
      </c>
      <c r="H49" s="8">
        <v>0.13800000000000001</v>
      </c>
      <c r="I49" s="8">
        <v>0.13650000000000001</v>
      </c>
      <c r="J49" s="8">
        <v>0.15090000000000001</v>
      </c>
      <c r="K49" s="8">
        <v>0.1603</v>
      </c>
      <c r="L49" s="6">
        <f>(K49/C49)^(1/4)-1</f>
        <v>3.5541926658177792E-2</v>
      </c>
    </row>
    <row r="50" spans="1:12">
      <c r="A50" s="7" t="s">
        <v>62</v>
      </c>
      <c r="B50" s="8">
        <v>0.1069</v>
      </c>
      <c r="C50" s="8">
        <v>0.1179</v>
      </c>
      <c r="D50" s="8">
        <v>0.1237</v>
      </c>
      <c r="E50" s="8">
        <v>0.11310000000000001</v>
      </c>
      <c r="F50" s="8">
        <v>0.1124</v>
      </c>
      <c r="G50" s="8">
        <v>0.1484</v>
      </c>
      <c r="H50" s="8">
        <v>0.13880000000000001</v>
      </c>
      <c r="I50" s="8">
        <v>0.15629999999999999</v>
      </c>
      <c r="J50" s="8">
        <v>0.1351</v>
      </c>
      <c r="K50" s="8">
        <v>0.13550000000000001</v>
      </c>
      <c r="L50" s="6">
        <f>(K50/C50)^(1/4)-1</f>
        <v>3.5395736965098568E-2</v>
      </c>
    </row>
    <row r="51" spans="1:12">
      <c r="A51" s="7" t="s">
        <v>142</v>
      </c>
      <c r="B51" s="9"/>
      <c r="C51" s="9"/>
      <c r="D51" s="9"/>
      <c r="E51" s="9"/>
      <c r="F51" s="9"/>
      <c r="G51" s="9"/>
      <c r="H51" s="9"/>
      <c r="I51" s="8">
        <v>7.4099999999999999E-2</v>
      </c>
      <c r="J51" s="8">
        <v>7.2900000000000006E-2</v>
      </c>
      <c r="K51" s="8">
        <v>7.7799999999999994E-2</v>
      </c>
    </row>
    <row r="52" spans="1:12">
      <c r="A52" s="7" t="s">
        <v>143</v>
      </c>
      <c r="B52" s="8">
        <v>7.9299999999999995E-2</v>
      </c>
      <c r="C52" s="8">
        <v>7.9799999999999996E-2</v>
      </c>
      <c r="D52" s="8">
        <v>9.6100000000000005E-2</v>
      </c>
      <c r="E52" s="8">
        <v>9.35E-2</v>
      </c>
      <c r="F52" s="8">
        <v>9.3200000000000005E-2</v>
      </c>
      <c r="G52" s="8">
        <v>9.3399999999999997E-2</v>
      </c>
      <c r="H52" s="8">
        <v>9.2999999999999999E-2</v>
      </c>
      <c r="I52" s="8">
        <v>9.1800000000000007E-2</v>
      </c>
      <c r="J52" s="8">
        <v>9.2499999999999999E-2</v>
      </c>
      <c r="K52" s="8">
        <v>9.6500000000000002E-2</v>
      </c>
    </row>
    <row r="53" spans="1:12">
      <c r="A53" s="7" t="s">
        <v>144</v>
      </c>
      <c r="B53" s="8">
        <v>7.0599999999999996E-2</v>
      </c>
      <c r="C53" s="8">
        <v>7.8200000000000006E-2</v>
      </c>
      <c r="D53" s="8">
        <v>9.69E-2</v>
      </c>
      <c r="E53" s="8">
        <v>9.0899999999999995E-2</v>
      </c>
      <c r="F53" s="8">
        <v>9.3600000000000003E-2</v>
      </c>
      <c r="G53" s="8">
        <v>0.1067</v>
      </c>
      <c r="H53" s="8">
        <v>0.10920000000000001</v>
      </c>
      <c r="I53" s="8">
        <v>9.7799999999999998E-2</v>
      </c>
      <c r="J53" s="8">
        <v>9.1899999999999996E-2</v>
      </c>
      <c r="K53" s="9"/>
    </row>
    <row r="54" spans="1:12">
      <c r="A54" s="7" t="s">
        <v>145</v>
      </c>
      <c r="B54" s="9"/>
      <c r="C54" s="9"/>
      <c r="D54" s="9"/>
      <c r="E54" s="9"/>
      <c r="F54" s="9"/>
      <c r="G54" s="9"/>
      <c r="H54" s="9"/>
      <c r="I54" s="8">
        <v>9.6000000000000002E-2</v>
      </c>
      <c r="J54" s="8">
        <v>9.64E-2</v>
      </c>
      <c r="K54" s="9"/>
    </row>
    <row r="55" spans="1:12">
      <c r="A55" s="7" t="s">
        <v>146</v>
      </c>
      <c r="B55" s="9"/>
      <c r="C55" s="9"/>
      <c r="D55" s="9"/>
      <c r="E55" s="9"/>
      <c r="F55" s="9"/>
      <c r="G55" s="8">
        <v>6.3399999999999998E-2</v>
      </c>
      <c r="H55" s="8">
        <v>6.2899999999999998E-2</v>
      </c>
      <c r="I55" s="8">
        <v>6.3700000000000007E-2</v>
      </c>
      <c r="J55" s="8">
        <v>6.7100000000000007E-2</v>
      </c>
      <c r="K55" s="9"/>
    </row>
    <row r="59" spans="1:12" ht="17" thickBot="1">
      <c r="A59" s="10" t="s">
        <v>164</v>
      </c>
      <c r="B59" s="11" t="s">
        <v>165</v>
      </c>
      <c r="C59" s="11" t="s">
        <v>166</v>
      </c>
      <c r="D59" s="12" t="s">
        <v>167</v>
      </c>
      <c r="E59" s="13" t="s">
        <v>168</v>
      </c>
      <c r="F59" s="12" t="s">
        <v>169</v>
      </c>
      <c r="G59" s="14" t="s">
        <v>170</v>
      </c>
      <c r="H59" s="12" t="s">
        <v>171</v>
      </c>
      <c r="I59" s="14" t="s">
        <v>172</v>
      </c>
    </row>
    <row r="60" spans="1:12" ht="16" thickTop="1">
      <c r="A60" s="15" t="s">
        <v>58</v>
      </c>
      <c r="B60" s="16">
        <v>0</v>
      </c>
      <c r="C60" s="17">
        <v>0</v>
      </c>
      <c r="D60" s="18" t="s">
        <v>173</v>
      </c>
      <c r="E60" s="19">
        <v>1</v>
      </c>
      <c r="F60" s="20" t="s">
        <v>174</v>
      </c>
      <c r="G60" s="21" t="s">
        <v>173</v>
      </c>
      <c r="H60" s="22" t="s">
        <v>173</v>
      </c>
      <c r="I60" s="23" t="s">
        <v>175</v>
      </c>
    </row>
    <row r="61" spans="1:12">
      <c r="A61" s="24" t="s">
        <v>59</v>
      </c>
      <c r="B61" s="25">
        <v>1</v>
      </c>
      <c r="C61" s="26">
        <v>5000</v>
      </c>
      <c r="D61" s="27" t="s">
        <v>176</v>
      </c>
      <c r="E61" s="25">
        <v>0</v>
      </c>
      <c r="F61" s="27" t="s">
        <v>173</v>
      </c>
      <c r="G61" s="28" t="s">
        <v>173</v>
      </c>
      <c r="H61" s="29" t="s">
        <v>177</v>
      </c>
      <c r="I61" s="30" t="s">
        <v>178</v>
      </c>
    </row>
    <row r="62" spans="1:12">
      <c r="A62" s="24"/>
      <c r="B62" s="25"/>
      <c r="C62" s="26">
        <v>2000</v>
      </c>
      <c r="D62" s="27" t="s">
        <v>176</v>
      </c>
      <c r="E62" s="25">
        <v>0</v>
      </c>
      <c r="F62" s="27" t="s">
        <v>173</v>
      </c>
      <c r="G62" s="28" t="s">
        <v>173</v>
      </c>
      <c r="H62" s="29" t="s">
        <v>179</v>
      </c>
      <c r="I62" s="30" t="s">
        <v>180</v>
      </c>
    </row>
    <row r="63" spans="1:12">
      <c r="A63" s="31" t="s">
        <v>125</v>
      </c>
      <c r="B63" s="19">
        <v>0</v>
      </c>
      <c r="C63" s="32">
        <v>0</v>
      </c>
      <c r="D63" s="18"/>
      <c r="E63" s="19">
        <v>1</v>
      </c>
      <c r="F63" s="18" t="s">
        <v>181</v>
      </c>
      <c r="G63" s="33" t="s">
        <v>173</v>
      </c>
      <c r="H63" s="22" t="s">
        <v>173</v>
      </c>
      <c r="I63" s="34" t="s">
        <v>180</v>
      </c>
    </row>
    <row r="64" spans="1:12" ht="17">
      <c r="A64" s="24" t="s">
        <v>182</v>
      </c>
      <c r="B64" s="25">
        <v>1</v>
      </c>
      <c r="C64" s="26">
        <v>5700</v>
      </c>
      <c r="D64" s="27" t="s">
        <v>183</v>
      </c>
      <c r="E64" s="25">
        <v>1</v>
      </c>
      <c r="F64" s="27" t="s">
        <v>184</v>
      </c>
      <c r="G64" s="28" t="s">
        <v>173</v>
      </c>
      <c r="H64" s="29" t="s">
        <v>185</v>
      </c>
      <c r="I64" s="35"/>
    </row>
    <row r="65" spans="1:9">
      <c r="A65" s="31" t="s">
        <v>132</v>
      </c>
      <c r="B65" s="19">
        <v>0</v>
      </c>
      <c r="C65" s="32">
        <v>0</v>
      </c>
      <c r="D65" s="18"/>
      <c r="E65" s="19">
        <v>1</v>
      </c>
      <c r="F65" s="18" t="s">
        <v>186</v>
      </c>
      <c r="G65" s="33">
        <v>6400</v>
      </c>
      <c r="H65" s="22" t="s">
        <v>173</v>
      </c>
      <c r="I65" s="34" t="s">
        <v>187</v>
      </c>
    </row>
    <row r="66" spans="1:9">
      <c r="A66" s="24" t="s">
        <v>117</v>
      </c>
      <c r="B66" s="25">
        <v>0</v>
      </c>
      <c r="C66" s="36">
        <v>0</v>
      </c>
      <c r="D66" s="27"/>
      <c r="E66" s="25">
        <v>1</v>
      </c>
      <c r="F66" s="27" t="s">
        <v>188</v>
      </c>
      <c r="G66" s="28">
        <v>9000</v>
      </c>
      <c r="H66" s="29" t="s">
        <v>173</v>
      </c>
      <c r="I66" s="30" t="s">
        <v>189</v>
      </c>
    </row>
    <row r="67" spans="1:9">
      <c r="A67" s="24"/>
      <c r="B67" s="25"/>
      <c r="C67" s="36"/>
      <c r="D67" s="27"/>
      <c r="E67" s="25"/>
      <c r="F67" s="27" t="s">
        <v>190</v>
      </c>
      <c r="G67" s="28">
        <v>3280</v>
      </c>
      <c r="H67" s="29" t="s">
        <v>191</v>
      </c>
      <c r="I67" s="35"/>
    </row>
    <row r="68" spans="1:9">
      <c r="A68" s="24"/>
      <c r="B68" s="25"/>
      <c r="C68" s="36"/>
      <c r="D68" s="27"/>
      <c r="E68" s="25"/>
      <c r="F68" s="27" t="s">
        <v>192</v>
      </c>
      <c r="G68" s="28">
        <v>615</v>
      </c>
      <c r="H68" s="29" t="s">
        <v>193</v>
      </c>
      <c r="I68" s="35"/>
    </row>
    <row r="69" spans="1:9">
      <c r="A69" s="31" t="s">
        <v>133</v>
      </c>
      <c r="B69" s="19">
        <v>1</v>
      </c>
      <c r="C69" s="33" t="s">
        <v>194</v>
      </c>
      <c r="D69" s="18" t="s">
        <v>195</v>
      </c>
      <c r="E69" s="19">
        <v>1</v>
      </c>
      <c r="F69" s="18" t="s">
        <v>196</v>
      </c>
      <c r="G69" s="33">
        <v>800</v>
      </c>
      <c r="H69" s="22" t="s">
        <v>197</v>
      </c>
      <c r="I69" s="37" t="s">
        <v>198</v>
      </c>
    </row>
    <row r="70" spans="1:9">
      <c r="A70" s="24" t="s">
        <v>124</v>
      </c>
      <c r="B70" s="25">
        <v>1</v>
      </c>
      <c r="C70" s="26">
        <v>6000</v>
      </c>
      <c r="D70" s="27" t="s">
        <v>199</v>
      </c>
      <c r="E70" s="25">
        <v>1</v>
      </c>
      <c r="F70" s="27" t="s">
        <v>200</v>
      </c>
      <c r="G70" s="28">
        <v>6000</v>
      </c>
      <c r="H70" s="29" t="s">
        <v>173</v>
      </c>
      <c r="I70" s="30" t="s">
        <v>201</v>
      </c>
    </row>
    <row r="71" spans="1:9">
      <c r="A71" s="31" t="s">
        <v>135</v>
      </c>
      <c r="B71" s="19">
        <v>1</v>
      </c>
      <c r="C71" s="32">
        <v>5000</v>
      </c>
      <c r="D71" s="18" t="s">
        <v>202</v>
      </c>
      <c r="E71" s="19">
        <v>1</v>
      </c>
      <c r="F71" s="18" t="s">
        <v>203</v>
      </c>
      <c r="G71" s="33" t="s">
        <v>173</v>
      </c>
      <c r="H71" s="22" t="s">
        <v>173</v>
      </c>
      <c r="I71" s="34" t="s">
        <v>204</v>
      </c>
    </row>
    <row r="72" spans="1:9">
      <c r="A72" s="24" t="s">
        <v>123</v>
      </c>
      <c r="B72" s="25">
        <v>0</v>
      </c>
      <c r="C72" s="26">
        <v>0</v>
      </c>
      <c r="D72" s="27"/>
      <c r="E72" s="25">
        <v>1</v>
      </c>
      <c r="F72" s="27" t="s">
        <v>203</v>
      </c>
      <c r="G72" s="28" t="s">
        <v>173</v>
      </c>
      <c r="H72" s="29" t="s">
        <v>173</v>
      </c>
      <c r="I72" s="30" t="s">
        <v>180</v>
      </c>
    </row>
    <row r="73" spans="1:9">
      <c r="A73" s="31" t="s">
        <v>120</v>
      </c>
      <c r="B73" s="19">
        <v>0</v>
      </c>
      <c r="C73" s="32">
        <v>0</v>
      </c>
      <c r="D73" s="18"/>
      <c r="E73" s="19">
        <v>1</v>
      </c>
      <c r="F73" s="18" t="s">
        <v>205</v>
      </c>
      <c r="G73" s="33">
        <v>17000</v>
      </c>
      <c r="H73" s="22" t="s">
        <v>173</v>
      </c>
      <c r="I73" s="34" t="s">
        <v>206</v>
      </c>
    </row>
    <row r="74" spans="1:9">
      <c r="A74" s="24" t="s">
        <v>140</v>
      </c>
      <c r="B74" s="25">
        <v>1</v>
      </c>
      <c r="C74" s="28" t="s">
        <v>207</v>
      </c>
      <c r="D74" s="27" t="s">
        <v>208</v>
      </c>
      <c r="E74" s="25">
        <v>1</v>
      </c>
      <c r="F74" s="27" t="s">
        <v>181</v>
      </c>
      <c r="G74" s="28">
        <v>1750</v>
      </c>
      <c r="H74" s="29" t="s">
        <v>209</v>
      </c>
      <c r="I74" s="35"/>
    </row>
    <row r="75" spans="1:9">
      <c r="A75" s="31" t="s">
        <v>62</v>
      </c>
      <c r="B75" s="19">
        <v>0</v>
      </c>
      <c r="C75" s="32">
        <v>0</v>
      </c>
      <c r="D75" s="18"/>
      <c r="E75" s="19">
        <v>1</v>
      </c>
      <c r="F75" s="18" t="s">
        <v>210</v>
      </c>
      <c r="G75" s="38" t="s">
        <v>173</v>
      </c>
      <c r="H75" s="22" t="s">
        <v>173</v>
      </c>
      <c r="I75" s="34" t="s">
        <v>211</v>
      </c>
    </row>
    <row r="76" spans="1:9">
      <c r="A76" s="24" t="s">
        <v>212</v>
      </c>
      <c r="B76" s="25">
        <v>0</v>
      </c>
      <c r="C76" s="26">
        <v>0</v>
      </c>
      <c r="D76" s="27"/>
      <c r="E76" s="25">
        <v>1</v>
      </c>
      <c r="F76" s="27" t="s">
        <v>213</v>
      </c>
      <c r="G76" s="28" t="s">
        <v>173</v>
      </c>
      <c r="H76" s="29" t="s">
        <v>173</v>
      </c>
      <c r="I76" s="35"/>
    </row>
    <row r="77" spans="1:9">
      <c r="A77" s="31" t="s">
        <v>129</v>
      </c>
      <c r="B77" s="19">
        <v>1</v>
      </c>
      <c r="C77" s="32">
        <v>3000</v>
      </c>
      <c r="D77" s="18" t="s">
        <v>214</v>
      </c>
      <c r="E77" s="19">
        <v>0</v>
      </c>
      <c r="F77" s="18" t="s">
        <v>173</v>
      </c>
      <c r="G77" s="33" t="s">
        <v>173</v>
      </c>
      <c r="H77" s="22" t="s">
        <v>177</v>
      </c>
      <c r="I77" s="37"/>
    </row>
    <row r="78" spans="1:9">
      <c r="A78" s="24" t="s">
        <v>215</v>
      </c>
      <c r="B78" s="25">
        <v>0</v>
      </c>
      <c r="C78" s="26">
        <v>0</v>
      </c>
      <c r="D78" s="27"/>
      <c r="E78" s="25">
        <v>0</v>
      </c>
      <c r="F78" s="27" t="s">
        <v>173</v>
      </c>
      <c r="G78" s="28" t="s">
        <v>173</v>
      </c>
      <c r="H78" s="29" t="s">
        <v>173</v>
      </c>
      <c r="I78" s="30" t="s">
        <v>180</v>
      </c>
    </row>
    <row r="79" spans="1:9">
      <c r="A79" s="31" t="s">
        <v>122</v>
      </c>
      <c r="B79" s="19">
        <v>0</v>
      </c>
      <c r="C79" s="32">
        <v>0</v>
      </c>
      <c r="D79" s="18"/>
      <c r="E79" s="19">
        <v>1</v>
      </c>
      <c r="F79" s="18" t="s">
        <v>216</v>
      </c>
      <c r="G79" s="33">
        <v>2500</v>
      </c>
      <c r="H79" s="22" t="s">
        <v>173</v>
      </c>
      <c r="I79" s="34" t="s">
        <v>217</v>
      </c>
    </row>
    <row r="80" spans="1:9">
      <c r="A80" s="24" t="s">
        <v>136</v>
      </c>
      <c r="B80" s="25">
        <v>1</v>
      </c>
      <c r="C80" s="26">
        <v>5000</v>
      </c>
      <c r="D80" s="27" t="s">
        <v>218</v>
      </c>
      <c r="E80" s="25">
        <v>0</v>
      </c>
      <c r="F80" s="27" t="s">
        <v>173</v>
      </c>
      <c r="G80" s="28" t="s">
        <v>173</v>
      </c>
      <c r="H80" s="29" t="s">
        <v>173</v>
      </c>
      <c r="I80" s="30" t="s">
        <v>219</v>
      </c>
    </row>
    <row r="81" spans="1:13" ht="16" thickBot="1">
      <c r="A81" s="39" t="s">
        <v>126</v>
      </c>
      <c r="B81" s="40">
        <v>1</v>
      </c>
      <c r="C81" s="41">
        <v>700</v>
      </c>
      <c r="D81" s="42" t="s">
        <v>220</v>
      </c>
      <c r="E81" s="40">
        <v>0</v>
      </c>
      <c r="F81" s="42" t="s">
        <v>173</v>
      </c>
      <c r="G81" s="43" t="s">
        <v>173</v>
      </c>
      <c r="H81" s="44" t="s">
        <v>173</v>
      </c>
      <c r="I81" s="45" t="s">
        <v>180</v>
      </c>
    </row>
    <row r="82" spans="1:13">
      <c r="A82" s="46" t="s">
        <v>221</v>
      </c>
      <c r="B82" s="47" t="s">
        <v>222</v>
      </c>
      <c r="C82" s="48"/>
      <c r="G82" s="48"/>
    </row>
    <row r="83" spans="1:13">
      <c r="A83" s="2" t="s">
        <v>223</v>
      </c>
      <c r="C83" s="48"/>
      <c r="G83" s="48"/>
    </row>
    <row r="84" spans="1:13">
      <c r="A84" s="2" t="s">
        <v>224</v>
      </c>
      <c r="B84" s="2"/>
      <c r="C84" s="48"/>
      <c r="G84" s="48"/>
    </row>
    <row r="85" spans="1:13">
      <c r="A85" s="2" t="s">
        <v>225</v>
      </c>
      <c r="B85" s="2"/>
      <c r="C85" s="48"/>
      <c r="G85" s="48"/>
    </row>
    <row r="86" spans="1:13">
      <c r="A86" s="49" t="s">
        <v>226</v>
      </c>
      <c r="B86" s="2"/>
      <c r="C86" s="48"/>
      <c r="G86" s="48"/>
    </row>
    <row r="87" spans="1:13">
      <c r="C87" s="48"/>
      <c r="G87" s="48"/>
    </row>
    <row r="90" spans="1:13">
      <c r="A90" s="55"/>
      <c r="B90" s="55" t="s">
        <v>329</v>
      </c>
      <c r="C90" s="55"/>
      <c r="D90" s="55"/>
      <c r="E90" s="55">
        <v>2010</v>
      </c>
      <c r="F90" s="55"/>
      <c r="G90" s="55"/>
      <c r="H90" s="55" t="s">
        <v>330</v>
      </c>
      <c r="I90" s="55"/>
      <c r="J90" s="55"/>
      <c r="K90" s="55"/>
      <c r="L90" s="55"/>
      <c r="M90" s="55"/>
    </row>
    <row r="91" spans="1:13">
      <c r="A91" s="55"/>
      <c r="B91" s="55" t="s">
        <v>322</v>
      </c>
      <c r="C91" s="55" t="s">
        <v>314</v>
      </c>
      <c r="D91" s="55" t="s">
        <v>315</v>
      </c>
      <c r="E91" s="55" t="s">
        <v>322</v>
      </c>
      <c r="F91" s="55" t="s">
        <v>314</v>
      </c>
      <c r="G91" s="55" t="s">
        <v>315</v>
      </c>
      <c r="H91" s="55" t="s">
        <v>322</v>
      </c>
      <c r="I91" s="55" t="s">
        <v>314</v>
      </c>
      <c r="J91" s="55" t="s">
        <v>315</v>
      </c>
      <c r="K91" s="55"/>
      <c r="L91" s="55"/>
      <c r="M91" s="55"/>
    </row>
    <row r="92" spans="1:13">
      <c r="A92" s="54" t="s">
        <v>326</v>
      </c>
      <c r="B92" s="75">
        <v>2.12E-2</v>
      </c>
      <c r="C92" s="55"/>
      <c r="D92" s="55"/>
      <c r="E92" s="74"/>
      <c r="F92" s="55"/>
      <c r="G92" s="55"/>
      <c r="H92" s="75">
        <v>0.1</v>
      </c>
      <c r="I92" s="55">
        <v>494.7</v>
      </c>
      <c r="J92" s="55">
        <v>213</v>
      </c>
      <c r="K92" s="55"/>
      <c r="L92" s="55" t="s">
        <v>324</v>
      </c>
      <c r="M92" s="55"/>
    </row>
    <row r="93" spans="1:13">
      <c r="A93" s="55" t="s">
        <v>327</v>
      </c>
      <c r="B93" s="75">
        <v>5.9999999999999995E-4</v>
      </c>
      <c r="C93" s="55"/>
      <c r="D93" s="55"/>
      <c r="E93" s="55"/>
      <c r="F93" s="55"/>
      <c r="G93" s="55"/>
      <c r="H93" s="75">
        <v>0.04</v>
      </c>
      <c r="I93" s="55"/>
      <c r="J93" s="55"/>
      <c r="K93" s="55"/>
      <c r="L93" s="55" t="s">
        <v>325</v>
      </c>
      <c r="M93" s="55"/>
    </row>
    <row r="94" spans="1:13">
      <c r="A94" s="54" t="s">
        <v>316</v>
      </c>
      <c r="B94" s="75">
        <v>0.106</v>
      </c>
      <c r="C94" s="55"/>
      <c r="D94" s="55"/>
      <c r="E94" s="74"/>
      <c r="F94" s="55"/>
      <c r="G94" s="55"/>
      <c r="H94" s="75">
        <v>0.1047</v>
      </c>
      <c r="I94" s="55">
        <v>370.3</v>
      </c>
      <c r="J94" s="55">
        <v>136</v>
      </c>
      <c r="K94" s="55"/>
      <c r="L94" s="55" t="s">
        <v>323</v>
      </c>
      <c r="M94" s="55"/>
    </row>
    <row r="95" spans="1:13">
      <c r="A95" s="54" t="s">
        <v>317</v>
      </c>
      <c r="B95" s="75">
        <v>2.1700000000000001E-2</v>
      </c>
      <c r="C95" s="55"/>
      <c r="D95" s="55"/>
      <c r="E95" s="74"/>
      <c r="F95" s="55"/>
      <c r="G95" s="55"/>
      <c r="H95" s="75">
        <v>6.5600000000000006E-2</v>
      </c>
      <c r="I95" s="55">
        <v>232</v>
      </c>
      <c r="J95" s="55">
        <v>43</v>
      </c>
      <c r="K95" s="55"/>
      <c r="L95" s="55"/>
      <c r="M95" s="55"/>
    </row>
    <row r="96" spans="1:13">
      <c r="A96" s="54" t="s">
        <v>318</v>
      </c>
      <c r="B96" s="75">
        <v>4.0000000000000002E-4</v>
      </c>
      <c r="C96" s="55"/>
      <c r="D96" s="55"/>
      <c r="E96" s="74"/>
      <c r="F96" s="55"/>
      <c r="G96" s="55"/>
      <c r="H96" s="75">
        <v>2.3599999999999999E-2</v>
      </c>
      <c r="I96" s="55">
        <v>83.3</v>
      </c>
      <c r="J96" s="55">
        <v>84</v>
      </c>
      <c r="K96" s="55"/>
      <c r="L96" s="55"/>
      <c r="M96" s="55"/>
    </row>
    <row r="97" spans="1:13">
      <c r="A97" s="54" t="s">
        <v>319</v>
      </c>
      <c r="B97" s="75">
        <v>0</v>
      </c>
      <c r="C97" s="55"/>
      <c r="D97" s="55"/>
      <c r="E97" s="74"/>
      <c r="F97" s="55"/>
      <c r="G97" s="55"/>
      <c r="H97" s="75">
        <v>5.7000000000000002E-3</v>
      </c>
      <c r="I97" s="55">
        <v>20</v>
      </c>
      <c r="J97" s="55">
        <v>7</v>
      </c>
      <c r="K97" s="55"/>
      <c r="L97" s="55"/>
      <c r="M97" s="55"/>
    </row>
    <row r="98" spans="1:13">
      <c r="A98" s="54" t="s">
        <v>320</v>
      </c>
      <c r="B98" s="75">
        <v>1.8E-3</v>
      </c>
      <c r="C98" s="55"/>
      <c r="D98" s="55"/>
      <c r="E98" s="74"/>
      <c r="F98" s="55"/>
      <c r="G98" s="55"/>
      <c r="H98" s="75">
        <v>3.0000000000000001E-3</v>
      </c>
      <c r="I98" s="55">
        <v>10.7</v>
      </c>
      <c r="J98" s="55">
        <v>1.6</v>
      </c>
      <c r="K98" s="55"/>
      <c r="L98" s="55"/>
      <c r="M98" s="55"/>
    </row>
    <row r="99" spans="1:13">
      <c r="A99" s="54" t="s">
        <v>321</v>
      </c>
      <c r="B99" s="75">
        <v>2.0000000000000001E-4</v>
      </c>
      <c r="C99" s="55"/>
      <c r="D99" s="55"/>
      <c r="E99" s="74"/>
      <c r="F99" s="55"/>
      <c r="G99" s="55"/>
      <c r="H99" s="75">
        <v>1.6000000000000001E-3</v>
      </c>
      <c r="I99" s="55">
        <v>5.8</v>
      </c>
      <c r="J99" s="55">
        <v>2</v>
      </c>
      <c r="K99" s="55"/>
      <c r="L99" s="55"/>
      <c r="M99" s="55"/>
    </row>
    <row r="100" spans="1:13">
      <c r="A100" s="55" t="s">
        <v>328</v>
      </c>
      <c r="B100" s="75">
        <v>0.84809999999999997</v>
      </c>
      <c r="C100" s="55"/>
      <c r="D100" s="55"/>
      <c r="E100" s="55"/>
      <c r="F100" s="55"/>
      <c r="G100" s="55"/>
      <c r="H100" s="75">
        <v>0.65580000000000005</v>
      </c>
      <c r="I100" s="55"/>
      <c r="J100" s="55"/>
      <c r="K100" s="55"/>
      <c r="L100" s="55"/>
      <c r="M100" s="55"/>
    </row>
    <row r="101" spans="1:13">
      <c r="A101" s="55"/>
      <c r="B101" s="55" t="s">
        <v>331</v>
      </c>
      <c r="C101" s="55"/>
      <c r="D101" s="55"/>
      <c r="E101" s="55"/>
      <c r="F101" s="55"/>
      <c r="G101" s="55"/>
      <c r="H101" s="55" t="s">
        <v>332</v>
      </c>
      <c r="I101" s="55"/>
      <c r="J101" s="55"/>
      <c r="K101" s="55"/>
      <c r="L101" s="55"/>
      <c r="M101" s="55"/>
    </row>
    <row r="102" spans="1:13">
      <c r="A102" s="55"/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</row>
    <row r="103" spans="1:13">
      <c r="A103" s="55"/>
      <c r="B103" s="55"/>
      <c r="C103" s="55"/>
      <c r="D103" s="55"/>
      <c r="E103" s="55"/>
      <c r="F103" s="55"/>
      <c r="G103" s="55"/>
      <c r="H103" s="55"/>
      <c r="I103" s="55"/>
      <c r="J103" s="55"/>
      <c r="K103" s="55"/>
      <c r="L103" s="55"/>
      <c r="M103" s="55"/>
    </row>
    <row r="104" spans="1:13">
      <c r="A104" s="87"/>
      <c r="B104" s="87" t="s">
        <v>370</v>
      </c>
      <c r="C104" s="68"/>
      <c r="D104" s="68"/>
      <c r="E104" s="68"/>
      <c r="F104" s="68"/>
      <c r="G104" s="68"/>
      <c r="H104" s="69"/>
    </row>
    <row r="105" spans="1:13">
      <c r="A105" s="64"/>
      <c r="B105" s="64" t="s">
        <v>42</v>
      </c>
      <c r="C105" s="58"/>
      <c r="D105" s="58"/>
      <c r="E105" s="58"/>
      <c r="F105" s="58"/>
      <c r="G105" s="58" t="s">
        <v>45</v>
      </c>
      <c r="H105" s="59"/>
    </row>
    <row r="106" spans="1:13">
      <c r="A106" s="64"/>
      <c r="B106" s="64" t="s">
        <v>43</v>
      </c>
      <c r="C106" s="58">
        <v>1</v>
      </c>
      <c r="D106" s="70">
        <v>10000</v>
      </c>
      <c r="E106" s="61">
        <v>102</v>
      </c>
      <c r="F106" s="58"/>
      <c r="G106" s="70">
        <v>0</v>
      </c>
      <c r="H106" s="62">
        <v>102</v>
      </c>
    </row>
    <row r="107" spans="1:13">
      <c r="A107" s="71"/>
      <c r="B107" s="71"/>
      <c r="C107" s="58">
        <v>1</v>
      </c>
      <c r="D107" s="70">
        <v>15000</v>
      </c>
      <c r="E107" s="61">
        <v>116</v>
      </c>
      <c r="F107" s="58"/>
      <c r="G107" s="70">
        <v>10001</v>
      </c>
      <c r="H107" s="62">
        <v>116</v>
      </c>
    </row>
    <row r="108" spans="1:13">
      <c r="A108" s="71"/>
      <c r="B108" s="71"/>
      <c r="C108" s="58">
        <v>1</v>
      </c>
      <c r="D108" s="70">
        <v>20000</v>
      </c>
      <c r="E108" s="61">
        <v>132</v>
      </c>
      <c r="F108" s="58"/>
      <c r="G108" s="70">
        <v>15001</v>
      </c>
      <c r="H108" s="62">
        <v>132</v>
      </c>
    </row>
    <row r="109" spans="1:13">
      <c r="A109" s="71"/>
      <c r="B109" s="71"/>
      <c r="C109" s="58">
        <v>1</v>
      </c>
      <c r="D109" s="70">
        <v>25000</v>
      </c>
      <c r="E109" s="61">
        <v>148</v>
      </c>
      <c r="F109" s="58"/>
      <c r="G109" s="70">
        <v>20001</v>
      </c>
      <c r="H109" s="62">
        <v>148</v>
      </c>
    </row>
    <row r="110" spans="1:13">
      <c r="A110" s="64"/>
      <c r="B110" s="64" t="s">
        <v>44</v>
      </c>
      <c r="C110" s="58">
        <v>1</v>
      </c>
      <c r="D110" s="70">
        <v>30000</v>
      </c>
      <c r="E110" s="61">
        <v>168</v>
      </c>
      <c r="F110" s="58"/>
      <c r="G110" s="70">
        <v>25001</v>
      </c>
      <c r="H110" s="62">
        <v>168</v>
      </c>
    </row>
    <row r="111" spans="1:13">
      <c r="A111" s="64"/>
      <c r="B111" s="64"/>
      <c r="C111" s="58">
        <v>2</v>
      </c>
      <c r="D111" s="70">
        <v>10000</v>
      </c>
      <c r="E111" s="61">
        <v>92</v>
      </c>
      <c r="F111" s="58"/>
      <c r="G111" s="58" t="e">
        <f>INDEX(G$56:$AH106,MATCH($D$12,$AG$52:$AG$56,1),2)</f>
        <v>#N/A</v>
      </c>
      <c r="H111" s="59" t="s">
        <v>46</v>
      </c>
    </row>
    <row r="112" spans="1:13">
      <c r="A112" s="64"/>
      <c r="B112" s="64"/>
      <c r="C112" s="58">
        <v>2</v>
      </c>
      <c r="D112" s="70">
        <v>15000</v>
      </c>
      <c r="E112" s="61">
        <v>106</v>
      </c>
      <c r="F112" s="58"/>
      <c r="G112" s="55"/>
      <c r="H112" s="59"/>
    </row>
    <row r="113" spans="1:15">
      <c r="A113" s="64"/>
      <c r="B113" s="64"/>
      <c r="C113" s="58">
        <v>2</v>
      </c>
      <c r="D113" s="70">
        <v>20000</v>
      </c>
      <c r="E113" s="61">
        <v>122</v>
      </c>
      <c r="F113" s="58"/>
      <c r="G113" s="58" t="s">
        <v>43</v>
      </c>
      <c r="H113" s="59"/>
    </row>
    <row r="114" spans="1:15">
      <c r="A114" s="64"/>
      <c r="B114" s="64"/>
      <c r="C114" s="58">
        <v>2</v>
      </c>
      <c r="D114" s="70">
        <v>25000</v>
      </c>
      <c r="E114" s="61">
        <v>138</v>
      </c>
      <c r="F114" s="58"/>
      <c r="G114" s="58">
        <v>1</v>
      </c>
      <c r="H114" s="59">
        <v>0</v>
      </c>
    </row>
    <row r="115" spans="1:15">
      <c r="A115" s="64"/>
      <c r="B115" s="64"/>
      <c r="C115" s="58">
        <v>2</v>
      </c>
      <c r="D115" s="70">
        <v>30000</v>
      </c>
      <c r="E115" s="61">
        <v>158</v>
      </c>
      <c r="F115" s="58"/>
      <c r="G115" s="58">
        <v>2</v>
      </c>
      <c r="H115" s="59">
        <v>-10</v>
      </c>
    </row>
    <row r="116" spans="1:15">
      <c r="A116" s="64"/>
      <c r="B116" s="64"/>
      <c r="C116" s="58">
        <v>3</v>
      </c>
      <c r="D116" s="70">
        <v>10000</v>
      </c>
      <c r="E116" s="61">
        <v>82</v>
      </c>
      <c r="F116" s="58"/>
      <c r="G116" s="58">
        <v>3</v>
      </c>
      <c r="H116" s="59">
        <v>-20</v>
      </c>
    </row>
    <row r="117" spans="1:15">
      <c r="A117" s="64"/>
      <c r="B117" s="64"/>
      <c r="C117" s="58">
        <v>3</v>
      </c>
      <c r="D117" s="70">
        <v>15000</v>
      </c>
      <c r="E117" s="61">
        <v>96</v>
      </c>
      <c r="F117" s="58"/>
      <c r="G117" s="58"/>
      <c r="H117" s="59"/>
    </row>
    <row r="118" spans="1:15">
      <c r="A118" s="64"/>
      <c r="B118" s="64"/>
      <c r="C118" s="58">
        <v>3</v>
      </c>
      <c r="D118" s="70">
        <v>20000</v>
      </c>
      <c r="E118" s="61">
        <v>112</v>
      </c>
      <c r="F118" s="58"/>
      <c r="G118" s="58" t="e">
        <f>VLOOKUP(#REF!,G114:H116,2)</f>
        <v>#REF!</v>
      </c>
      <c r="H118" s="59" t="s">
        <v>47</v>
      </c>
    </row>
    <row r="119" spans="1:15">
      <c r="A119" s="64"/>
      <c r="B119" s="64"/>
      <c r="C119" s="58">
        <v>3</v>
      </c>
      <c r="D119" s="70">
        <v>25000</v>
      </c>
      <c r="E119" s="61">
        <v>128</v>
      </c>
      <c r="F119" s="58"/>
      <c r="G119" s="58">
        <f>IF($D$3="small",-10,IF($D$3="big",10,0))</f>
        <v>0</v>
      </c>
      <c r="H119" s="59" t="s">
        <v>389</v>
      </c>
    </row>
    <row r="120" spans="1:15">
      <c r="A120" s="64"/>
      <c r="B120" s="64"/>
      <c r="C120" s="58">
        <v>3</v>
      </c>
      <c r="D120" s="70">
        <v>30000</v>
      </c>
      <c r="E120" s="61">
        <v>148</v>
      </c>
      <c r="F120" s="58"/>
      <c r="G120" s="55"/>
      <c r="H120" s="55"/>
    </row>
    <row r="121" spans="1:15">
      <c r="A121" s="64"/>
      <c r="B121" s="64"/>
      <c r="C121" s="58"/>
      <c r="D121" s="58"/>
      <c r="E121" s="58"/>
      <c r="F121" s="58"/>
      <c r="G121" s="58" t="e">
        <f>G111+G118</f>
        <v>#N/A</v>
      </c>
      <c r="H121" s="59" t="s">
        <v>390</v>
      </c>
    </row>
    <row r="122" spans="1:15">
      <c r="A122" s="67"/>
      <c r="B122" s="67" t="s">
        <v>261</v>
      </c>
      <c r="C122" s="60" t="s">
        <v>26</v>
      </c>
      <c r="D122" s="60" t="s">
        <v>27</v>
      </c>
      <c r="E122" s="58"/>
      <c r="F122" s="58"/>
      <c r="G122" s="58" t="e">
        <f>G121+G119</f>
        <v>#N/A</v>
      </c>
      <c r="H122" s="59" t="s">
        <v>391</v>
      </c>
    </row>
    <row r="123" spans="1:15">
      <c r="A123" s="67"/>
      <c r="B123" s="67" t="s">
        <v>25</v>
      </c>
      <c r="C123" s="60" t="s">
        <v>15</v>
      </c>
      <c r="D123" s="60" t="s">
        <v>13</v>
      </c>
      <c r="E123" s="58"/>
      <c r="F123" s="58"/>
      <c r="G123" s="58"/>
      <c r="H123" s="59"/>
    </row>
    <row r="124" spans="1:15">
      <c r="A124" s="72"/>
      <c r="B124" s="72">
        <v>15</v>
      </c>
      <c r="C124" s="73">
        <v>500</v>
      </c>
      <c r="D124" s="73">
        <v>500</v>
      </c>
      <c r="E124" s="63"/>
      <c r="F124" s="63"/>
      <c r="G124" s="63"/>
      <c r="H124" s="66"/>
    </row>
    <row r="126" spans="1:15">
      <c r="A126" s="79" t="s">
        <v>333</v>
      </c>
      <c r="B126" s="79" t="s">
        <v>334</v>
      </c>
      <c r="C126" s="79" t="s">
        <v>335</v>
      </c>
      <c r="D126" s="79" t="s">
        <v>336</v>
      </c>
      <c r="E126" s="79" t="s">
        <v>337</v>
      </c>
      <c r="F126" s="79" t="s">
        <v>338</v>
      </c>
      <c r="G126" s="79" t="s">
        <v>345</v>
      </c>
      <c r="H126" s="79" t="s">
        <v>339</v>
      </c>
      <c r="I126" s="79" t="s">
        <v>313</v>
      </c>
      <c r="J126" s="79" t="s">
        <v>340</v>
      </c>
      <c r="K126" s="79" t="s">
        <v>341</v>
      </c>
      <c r="L126" s="79" t="s">
        <v>342</v>
      </c>
      <c r="M126" s="80" t="s">
        <v>343</v>
      </c>
      <c r="N126" s="56"/>
      <c r="O126" s="57"/>
    </row>
    <row r="127" spans="1:15">
      <c r="A127" s="76">
        <v>929</v>
      </c>
      <c r="B127" s="76">
        <v>365</v>
      </c>
      <c r="C127" s="76">
        <v>642</v>
      </c>
      <c r="D127" s="76">
        <v>652</v>
      </c>
      <c r="E127" s="76">
        <v>105</v>
      </c>
      <c r="F127" s="76">
        <v>31</v>
      </c>
      <c r="G127" s="76">
        <v>63</v>
      </c>
      <c r="H127" s="76">
        <v>296</v>
      </c>
      <c r="I127" s="76">
        <v>119</v>
      </c>
      <c r="J127" s="76">
        <v>4</v>
      </c>
      <c r="K127" s="76">
        <v>7</v>
      </c>
      <c r="L127" s="76">
        <v>12</v>
      </c>
      <c r="M127" s="81">
        <v>74</v>
      </c>
      <c r="N127" s="64">
        <v>2007</v>
      </c>
      <c r="O127" s="58" t="s">
        <v>314</v>
      </c>
    </row>
    <row r="128" spans="1:15">
      <c r="A128" s="77">
        <v>0.28000000000000003</v>
      </c>
      <c r="B128" s="77">
        <v>0.11</v>
      </c>
      <c r="C128" s="77">
        <v>0.19</v>
      </c>
      <c r="D128" s="77">
        <v>0.2</v>
      </c>
      <c r="E128" s="77">
        <v>0.03</v>
      </c>
      <c r="F128" s="77">
        <v>0.01</v>
      </c>
      <c r="G128" s="77">
        <v>0.02</v>
      </c>
      <c r="H128" s="77">
        <v>0.09</v>
      </c>
      <c r="I128" s="78">
        <v>3.5000000000000003E-2</v>
      </c>
      <c r="J128" s="78">
        <v>5.0000000000000001E-3</v>
      </c>
      <c r="K128" s="78">
        <v>5.0000000000000001E-3</v>
      </c>
      <c r="L128" s="78">
        <v>5.0000000000000001E-3</v>
      </c>
      <c r="M128" s="82">
        <v>0.02</v>
      </c>
      <c r="N128" s="64"/>
      <c r="O128" s="58" t="s">
        <v>344</v>
      </c>
    </row>
    <row r="129" spans="1:15">
      <c r="A129" s="76">
        <v>754</v>
      </c>
      <c r="B129" s="76">
        <v>372</v>
      </c>
      <c r="C129" s="76">
        <v>405</v>
      </c>
      <c r="D129" s="76">
        <v>710</v>
      </c>
      <c r="E129" s="76">
        <v>102</v>
      </c>
      <c r="F129" s="76">
        <v>64</v>
      </c>
      <c r="G129" s="76">
        <v>59</v>
      </c>
      <c r="H129" s="76">
        <v>375</v>
      </c>
      <c r="I129" s="76">
        <v>536</v>
      </c>
      <c r="J129" s="76">
        <v>78</v>
      </c>
      <c r="K129" s="76">
        <v>26</v>
      </c>
      <c r="L129" s="76">
        <v>59</v>
      </c>
      <c r="M129" s="81">
        <v>108</v>
      </c>
      <c r="N129" s="64">
        <v>2020</v>
      </c>
      <c r="O129" s="58" t="s">
        <v>314</v>
      </c>
    </row>
    <row r="130" spans="1:15">
      <c r="A130" s="77">
        <v>0.21</v>
      </c>
      <c r="B130" s="77">
        <v>0.1</v>
      </c>
      <c r="C130" s="77">
        <v>0.11</v>
      </c>
      <c r="D130" s="77">
        <v>0.19</v>
      </c>
      <c r="E130" s="77">
        <v>0.03</v>
      </c>
      <c r="F130" s="77">
        <v>0.02</v>
      </c>
      <c r="G130" s="78">
        <v>1.4999999999999999E-2</v>
      </c>
      <c r="H130" s="77">
        <v>0.1</v>
      </c>
      <c r="I130" s="77">
        <v>0.15</v>
      </c>
      <c r="J130" s="77">
        <v>0.02</v>
      </c>
      <c r="K130" s="77">
        <v>0.01</v>
      </c>
      <c r="L130" s="78">
        <v>1.4999999999999999E-2</v>
      </c>
      <c r="M130" s="82">
        <v>0.03</v>
      </c>
      <c r="N130" s="64"/>
      <c r="O130" s="58" t="s">
        <v>344</v>
      </c>
    </row>
    <row r="131" spans="1:15">
      <c r="A131" s="76">
        <v>715</v>
      </c>
      <c r="B131" s="76">
        <v>285</v>
      </c>
      <c r="C131" s="76">
        <v>248</v>
      </c>
      <c r="D131" s="76">
        <v>465</v>
      </c>
      <c r="E131" s="76">
        <v>151</v>
      </c>
      <c r="F131" s="76">
        <v>32</v>
      </c>
      <c r="G131" s="76">
        <v>54</v>
      </c>
      <c r="H131" s="76">
        <v>432</v>
      </c>
      <c r="I131" s="76">
        <v>872</v>
      </c>
      <c r="J131" s="76">
        <v>182</v>
      </c>
      <c r="K131" s="76">
        <v>51</v>
      </c>
      <c r="L131" s="76">
        <v>90</v>
      </c>
      <c r="M131" s="81">
        <v>151</v>
      </c>
      <c r="N131" s="64">
        <v>2030</v>
      </c>
      <c r="O131" s="58" t="s">
        <v>314</v>
      </c>
    </row>
    <row r="132" spans="1:15">
      <c r="A132" s="77">
        <v>0.19</v>
      </c>
      <c r="B132" s="77">
        <v>0.08</v>
      </c>
      <c r="C132" s="78">
        <v>6.5000000000000002E-2</v>
      </c>
      <c r="D132" s="77">
        <v>0.12</v>
      </c>
      <c r="E132" s="77">
        <v>0.04</v>
      </c>
      <c r="F132" s="77">
        <v>0.01</v>
      </c>
      <c r="G132" s="78">
        <v>1.4999999999999999E-2</v>
      </c>
      <c r="H132" s="77">
        <v>0.12</v>
      </c>
      <c r="I132" s="77">
        <v>0.23</v>
      </c>
      <c r="J132" s="77">
        <v>0.05</v>
      </c>
      <c r="K132" s="78">
        <v>1.4999999999999999E-2</v>
      </c>
      <c r="L132" s="78">
        <v>2.5000000000000001E-2</v>
      </c>
      <c r="M132" s="82">
        <v>0.04</v>
      </c>
      <c r="N132" s="64"/>
      <c r="O132" s="58" t="s">
        <v>344</v>
      </c>
    </row>
    <row r="133" spans="1:15">
      <c r="A133" s="83">
        <f t="shared" ref="A133:M133" si="0">(A130/A128)^(1/13)-1</f>
        <v>-2.1886331448889629E-2</v>
      </c>
      <c r="B133" s="83">
        <f t="shared" si="0"/>
        <v>-7.3047420234382265E-3</v>
      </c>
      <c r="C133" s="83">
        <f t="shared" si="0"/>
        <v>-4.1170321943190369E-2</v>
      </c>
      <c r="D133" s="83">
        <f t="shared" si="0"/>
        <v>-3.9378642276444165E-3</v>
      </c>
      <c r="E133" s="83">
        <f t="shared" si="0"/>
        <v>0</v>
      </c>
      <c r="F133" s="83">
        <f t="shared" si="0"/>
        <v>5.4766076481646664E-2</v>
      </c>
      <c r="G133" s="83">
        <f t="shared" si="0"/>
        <v>-2.1886331448889629E-2</v>
      </c>
      <c r="H133" s="83">
        <f t="shared" si="0"/>
        <v>8.1375866737092295E-3</v>
      </c>
      <c r="I133" s="83">
        <f t="shared" si="0"/>
        <v>0.11845153621114779</v>
      </c>
      <c r="J133" s="83">
        <f t="shared" si="0"/>
        <v>0.11253147609648684</v>
      </c>
      <c r="K133" s="83">
        <f t="shared" si="0"/>
        <v>5.4766076481646664E-2</v>
      </c>
      <c r="L133" s="83">
        <f t="shared" si="0"/>
        <v>8.8182243463316823E-2</v>
      </c>
      <c r="M133" s="84">
        <f t="shared" si="0"/>
        <v>3.1681116530724474E-2</v>
      </c>
      <c r="N133" s="64"/>
      <c r="O133" s="58" t="s">
        <v>346</v>
      </c>
    </row>
    <row r="134" spans="1:15">
      <c r="A134" s="85">
        <f t="shared" ref="A134:M134" si="1">(A132/A130)^(1/10)-1</f>
        <v>-9.9584290293984745E-3</v>
      </c>
      <c r="B134" s="85">
        <f t="shared" si="1"/>
        <v>-2.2067231457071457E-2</v>
      </c>
      <c r="C134" s="85">
        <f t="shared" si="1"/>
        <v>-5.1249392152170059E-2</v>
      </c>
      <c r="D134" s="85">
        <f t="shared" si="1"/>
        <v>-4.4913372258047812E-2</v>
      </c>
      <c r="E134" s="85">
        <f t="shared" si="1"/>
        <v>2.9186008964760646E-2</v>
      </c>
      <c r="F134" s="85">
        <f t="shared" si="1"/>
        <v>-6.696700846319259E-2</v>
      </c>
      <c r="G134" s="85">
        <f t="shared" si="1"/>
        <v>0</v>
      </c>
      <c r="H134" s="85">
        <f t="shared" si="1"/>
        <v>1.8399376147024249E-2</v>
      </c>
      <c r="I134" s="85">
        <f t="shared" si="1"/>
        <v>4.3671099970169713E-2</v>
      </c>
      <c r="J134" s="85">
        <f t="shared" si="1"/>
        <v>9.5958226385217227E-2</v>
      </c>
      <c r="K134" s="85">
        <f t="shared" si="1"/>
        <v>4.1379743992410623E-2</v>
      </c>
      <c r="L134" s="85">
        <f t="shared" si="1"/>
        <v>5.2409779148925528E-2</v>
      </c>
      <c r="M134" s="86">
        <f t="shared" si="1"/>
        <v>2.9186008964760646E-2</v>
      </c>
      <c r="N134" s="65"/>
      <c r="O134" s="63" t="s">
        <v>347</v>
      </c>
    </row>
  </sheetData>
  <hyperlinks>
    <hyperlink ref="I66" r:id="rId1" display="http://www.going-electric.org/vehicules-electriques/nouvelles/cp100203-avantages-financiers-belgique.htm" xr:uid="{00000000-0004-0000-0E00-000000000000}"/>
    <hyperlink ref="I81" r:id="rId2" xr:uid="{00000000-0004-0000-0E00-000001000000}"/>
    <hyperlink ref="I78" r:id="rId3" xr:uid="{00000000-0004-0000-0E00-000002000000}"/>
    <hyperlink ref="I73" r:id="rId4" display="http://www.acea.be/images/uploads/files/20100420_EV_tax_overview.pdf" xr:uid="{00000000-0004-0000-0E00-000003000000}"/>
    <hyperlink ref="I61" r:id="rId5" xr:uid="{00000000-0004-0000-0E00-000004000000}"/>
    <hyperlink ref="I72" r:id="rId6" xr:uid="{00000000-0004-0000-0E00-000005000000}"/>
    <hyperlink ref="I79" r:id="rId7" xr:uid="{00000000-0004-0000-0E00-000006000000}"/>
    <hyperlink ref="I63" r:id="rId8" xr:uid="{00000000-0004-0000-0E00-000007000000}"/>
    <hyperlink ref="I65" r:id="rId9" display="http://green.autoblog.com/2010/05/17/nissan-announces-european-prices-for-leaf-under-30-000-after-i/" xr:uid="{00000000-0004-0000-0E00-000008000000}"/>
    <hyperlink ref="I75" r:id="rId10" xr:uid="{00000000-0004-0000-0E00-000009000000}"/>
    <hyperlink ref="I71" r:id="rId11" xr:uid="{00000000-0004-0000-0E00-00000A000000}"/>
    <hyperlink ref="I80" r:id="rId12" xr:uid="{00000000-0004-0000-0E00-00000B000000}"/>
    <hyperlink ref="I70" r:id="rId13" location="more" display="http://www.greencarcongress.com/2011/05/spain-20110510.html - more" xr:uid="{00000000-0004-0000-0E00-00000C000000}"/>
    <hyperlink ref="I62" r:id="rId14" xr:uid="{00000000-0004-0000-0E00-00000D000000}"/>
    <hyperlink ref="A86" r:id="rId15" xr:uid="{00000000-0004-0000-0E00-00000E000000}"/>
  </hyperlinks>
  <pageMargins left="0.7" right="0.7" top="0.78740157499999996" bottom="0.78740157499999996" header="0.3" footer="0.3"/>
  <drawing r:id="rId16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3:O26"/>
  <sheetViews>
    <sheetView workbookViewId="0">
      <selection activeCell="Q36" sqref="Q36"/>
    </sheetView>
  </sheetViews>
  <sheetFormatPr baseColWidth="10" defaultRowHeight="15"/>
  <cols>
    <col min="1" max="1" width="19" bestFit="1" customWidth="1"/>
    <col min="2" max="2" width="20.33203125" bestFit="1" customWidth="1"/>
    <col min="3" max="3" width="11.83203125" bestFit="1" customWidth="1"/>
    <col min="4" max="4" width="2.33203125" bestFit="1" customWidth="1"/>
    <col min="5" max="15" width="3" bestFit="1" customWidth="1"/>
  </cols>
  <sheetData>
    <row r="3" spans="1:15">
      <c r="A3" t="s">
        <v>838</v>
      </c>
      <c r="B3" t="s">
        <v>839</v>
      </c>
      <c r="E3">
        <v>0</v>
      </c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</row>
    <row r="4" spans="1:15">
      <c r="A4">
        <v>20</v>
      </c>
      <c r="B4">
        <v>5</v>
      </c>
      <c r="D4" t="s">
        <v>842</v>
      </c>
      <c r="E4">
        <f t="shared" ref="E4:O4" si="0">$A$4+$B$4*E3</f>
        <v>20</v>
      </c>
      <c r="F4">
        <f t="shared" si="0"/>
        <v>25</v>
      </c>
      <c r="G4">
        <f t="shared" si="0"/>
        <v>30</v>
      </c>
      <c r="H4">
        <f t="shared" si="0"/>
        <v>35</v>
      </c>
      <c r="I4">
        <f t="shared" si="0"/>
        <v>40</v>
      </c>
      <c r="J4">
        <f t="shared" si="0"/>
        <v>45</v>
      </c>
      <c r="K4">
        <f t="shared" si="0"/>
        <v>50</v>
      </c>
      <c r="L4">
        <f t="shared" si="0"/>
        <v>55</v>
      </c>
      <c r="M4">
        <f t="shared" si="0"/>
        <v>60</v>
      </c>
      <c r="N4">
        <f t="shared" si="0"/>
        <v>65</v>
      </c>
      <c r="O4">
        <f t="shared" si="0"/>
        <v>70</v>
      </c>
    </row>
    <row r="5" spans="1:15">
      <c r="A5">
        <v>30</v>
      </c>
      <c r="B5">
        <v>1</v>
      </c>
      <c r="D5" t="s">
        <v>843</v>
      </c>
      <c r="E5">
        <f t="shared" ref="E5:O5" si="1">$A$5+$B$5*E3</f>
        <v>30</v>
      </c>
      <c r="F5">
        <f t="shared" si="1"/>
        <v>31</v>
      </c>
      <c r="G5">
        <f t="shared" si="1"/>
        <v>32</v>
      </c>
      <c r="H5">
        <f t="shared" si="1"/>
        <v>33</v>
      </c>
      <c r="I5">
        <f t="shared" si="1"/>
        <v>34</v>
      </c>
      <c r="J5">
        <f t="shared" si="1"/>
        <v>35</v>
      </c>
      <c r="K5">
        <f t="shared" si="1"/>
        <v>36</v>
      </c>
      <c r="L5">
        <f t="shared" si="1"/>
        <v>37</v>
      </c>
      <c r="M5">
        <f t="shared" si="1"/>
        <v>38</v>
      </c>
      <c r="N5">
        <f t="shared" si="1"/>
        <v>39</v>
      </c>
      <c r="O5">
        <f t="shared" si="1"/>
        <v>40</v>
      </c>
    </row>
    <row r="6" spans="1:15">
      <c r="D6" t="s">
        <v>840</v>
      </c>
      <c r="E6">
        <f t="shared" ref="E6:J7" si="2">E4</f>
        <v>20</v>
      </c>
      <c r="F6">
        <f t="shared" si="2"/>
        <v>25</v>
      </c>
      <c r="G6">
        <f t="shared" si="2"/>
        <v>30</v>
      </c>
      <c r="H6">
        <f t="shared" si="2"/>
        <v>35</v>
      </c>
      <c r="I6">
        <f t="shared" si="2"/>
        <v>40</v>
      </c>
      <c r="J6">
        <f t="shared" si="2"/>
        <v>45</v>
      </c>
    </row>
    <row r="7" spans="1:15">
      <c r="D7" t="s">
        <v>841</v>
      </c>
      <c r="E7">
        <f t="shared" si="2"/>
        <v>30</v>
      </c>
      <c r="F7">
        <f t="shared" si="2"/>
        <v>31</v>
      </c>
      <c r="G7">
        <f t="shared" si="2"/>
        <v>32</v>
      </c>
      <c r="H7">
        <f t="shared" si="2"/>
        <v>33</v>
      </c>
      <c r="I7">
        <f t="shared" si="2"/>
        <v>34</v>
      </c>
      <c r="J7">
        <f t="shared" si="2"/>
        <v>35</v>
      </c>
    </row>
    <row r="8" spans="1:15">
      <c r="A8">
        <v>20</v>
      </c>
      <c r="B8">
        <v>2.5</v>
      </c>
      <c r="E8">
        <f>A8</f>
        <v>20</v>
      </c>
      <c r="F8">
        <f>$A$8+F3*$B$8</f>
        <v>22.5</v>
      </c>
      <c r="G8">
        <f>$A$8+G3*$B$8</f>
        <v>25</v>
      </c>
      <c r="H8">
        <f>$A$8+H3*$B$8</f>
        <v>27.5</v>
      </c>
      <c r="I8">
        <f>$A$8+I3*$B$8</f>
        <v>30</v>
      </c>
      <c r="J8">
        <f>$A$8+J3*$B$8</f>
        <v>32.5</v>
      </c>
    </row>
    <row r="10" spans="1:15">
      <c r="D10" t="s">
        <v>842</v>
      </c>
      <c r="E10">
        <f t="shared" ref="E10:O10" si="3">E4</f>
        <v>20</v>
      </c>
      <c r="F10">
        <f t="shared" si="3"/>
        <v>25</v>
      </c>
      <c r="G10">
        <f t="shared" si="3"/>
        <v>30</v>
      </c>
      <c r="H10">
        <f t="shared" si="3"/>
        <v>35</v>
      </c>
      <c r="I10">
        <f t="shared" si="3"/>
        <v>40</v>
      </c>
      <c r="J10">
        <f t="shared" si="3"/>
        <v>45</v>
      </c>
      <c r="K10">
        <f t="shared" si="3"/>
        <v>50</v>
      </c>
      <c r="L10">
        <f t="shared" si="3"/>
        <v>55</v>
      </c>
      <c r="M10">
        <f t="shared" si="3"/>
        <v>60</v>
      </c>
      <c r="N10">
        <f t="shared" si="3"/>
        <v>65</v>
      </c>
      <c r="O10">
        <f t="shared" si="3"/>
        <v>70</v>
      </c>
    </row>
    <row r="11" spans="1:15">
      <c r="D11" t="s">
        <v>843</v>
      </c>
      <c r="E11">
        <f t="shared" ref="E11:O11" si="4">E5</f>
        <v>30</v>
      </c>
      <c r="F11">
        <f t="shared" si="4"/>
        <v>31</v>
      </c>
      <c r="G11">
        <f t="shared" si="4"/>
        <v>32</v>
      </c>
      <c r="H11">
        <f t="shared" si="4"/>
        <v>33</v>
      </c>
      <c r="I11">
        <f t="shared" si="4"/>
        <v>34</v>
      </c>
      <c r="J11">
        <f t="shared" si="4"/>
        <v>35</v>
      </c>
      <c r="K11">
        <f t="shared" si="4"/>
        <v>36</v>
      </c>
      <c r="L11">
        <f t="shared" si="4"/>
        <v>37</v>
      </c>
      <c r="M11">
        <f t="shared" si="4"/>
        <v>38</v>
      </c>
      <c r="N11">
        <f t="shared" si="4"/>
        <v>39</v>
      </c>
      <c r="O11">
        <f t="shared" si="4"/>
        <v>40</v>
      </c>
    </row>
    <row r="18" spans="1:15">
      <c r="A18" t="s">
        <v>838</v>
      </c>
      <c r="B18" t="s">
        <v>839</v>
      </c>
      <c r="E18">
        <v>0</v>
      </c>
      <c r="F18">
        <v>1</v>
      </c>
      <c r="G18">
        <v>2</v>
      </c>
      <c r="H18">
        <v>3</v>
      </c>
      <c r="I18">
        <v>4</v>
      </c>
      <c r="J18">
        <v>5</v>
      </c>
      <c r="K18">
        <v>6</v>
      </c>
      <c r="L18">
        <v>7</v>
      </c>
      <c r="M18">
        <v>8</v>
      </c>
      <c r="N18">
        <v>9</v>
      </c>
      <c r="O18">
        <v>10</v>
      </c>
    </row>
    <row r="19" spans="1:15">
      <c r="A19">
        <v>20</v>
      </c>
      <c r="B19">
        <v>2</v>
      </c>
      <c r="D19" t="s">
        <v>842</v>
      </c>
      <c r="E19">
        <f>$A$19+$B$19*E18</f>
        <v>20</v>
      </c>
      <c r="F19">
        <f t="shared" ref="F19:O19" si="5">$A$19+$B$19*F18</f>
        <v>22</v>
      </c>
      <c r="G19">
        <f t="shared" si="5"/>
        <v>24</v>
      </c>
      <c r="H19">
        <f t="shared" si="5"/>
        <v>26</v>
      </c>
      <c r="I19">
        <f t="shared" si="5"/>
        <v>28</v>
      </c>
      <c r="J19">
        <f t="shared" si="5"/>
        <v>30</v>
      </c>
      <c r="K19">
        <f t="shared" si="5"/>
        <v>32</v>
      </c>
      <c r="L19">
        <f t="shared" si="5"/>
        <v>34</v>
      </c>
      <c r="M19">
        <f t="shared" si="5"/>
        <v>36</v>
      </c>
      <c r="N19">
        <f t="shared" si="5"/>
        <v>38</v>
      </c>
      <c r="O19">
        <f t="shared" si="5"/>
        <v>40</v>
      </c>
    </row>
    <row r="20" spans="1:15">
      <c r="A20">
        <v>30</v>
      </c>
      <c r="B20">
        <v>1</v>
      </c>
      <c r="D20" t="s">
        <v>843</v>
      </c>
      <c r="E20">
        <f>$A$20+$B$20*E18</f>
        <v>30</v>
      </c>
      <c r="F20">
        <f t="shared" ref="F20:O20" si="6">$A$20+$B$20*F18</f>
        <v>31</v>
      </c>
      <c r="G20">
        <f t="shared" si="6"/>
        <v>32</v>
      </c>
      <c r="H20">
        <f t="shared" si="6"/>
        <v>33</v>
      </c>
      <c r="I20">
        <f t="shared" si="6"/>
        <v>34</v>
      </c>
      <c r="J20">
        <f t="shared" si="6"/>
        <v>35</v>
      </c>
      <c r="K20">
        <f t="shared" si="6"/>
        <v>36</v>
      </c>
      <c r="L20">
        <f t="shared" si="6"/>
        <v>37</v>
      </c>
      <c r="M20">
        <f t="shared" si="6"/>
        <v>38</v>
      </c>
      <c r="N20">
        <f t="shared" si="6"/>
        <v>39</v>
      </c>
      <c r="O20">
        <f t="shared" si="6"/>
        <v>40</v>
      </c>
    </row>
    <row r="21" spans="1:15">
      <c r="D21" t="s">
        <v>840</v>
      </c>
      <c r="E21">
        <f>E19</f>
        <v>20</v>
      </c>
      <c r="F21">
        <f t="shared" ref="F21:J21" si="7">F19</f>
        <v>22</v>
      </c>
      <c r="G21">
        <f t="shared" si="7"/>
        <v>24</v>
      </c>
      <c r="H21">
        <f t="shared" si="7"/>
        <v>26</v>
      </c>
      <c r="I21">
        <f t="shared" si="7"/>
        <v>28</v>
      </c>
      <c r="J21">
        <f t="shared" si="7"/>
        <v>30</v>
      </c>
      <c r="K21">
        <f>K19</f>
        <v>32</v>
      </c>
      <c r="L21">
        <f t="shared" ref="L21:O21" si="8">L19</f>
        <v>34</v>
      </c>
      <c r="M21">
        <f t="shared" si="8"/>
        <v>36</v>
      </c>
      <c r="N21">
        <f t="shared" si="8"/>
        <v>38</v>
      </c>
      <c r="O21">
        <f t="shared" si="8"/>
        <v>40</v>
      </c>
    </row>
    <row r="22" spans="1:15">
      <c r="D22" t="s">
        <v>841</v>
      </c>
      <c r="E22">
        <f t="shared" ref="E22:J22" si="9">E20</f>
        <v>30</v>
      </c>
      <c r="F22">
        <f t="shared" si="9"/>
        <v>31</v>
      </c>
      <c r="G22">
        <f t="shared" si="9"/>
        <v>32</v>
      </c>
      <c r="H22">
        <f t="shared" si="9"/>
        <v>33</v>
      </c>
      <c r="I22">
        <f t="shared" si="9"/>
        <v>34</v>
      </c>
      <c r="J22">
        <f t="shared" si="9"/>
        <v>35</v>
      </c>
      <c r="K22">
        <f t="shared" ref="K22:O22" si="10">K20</f>
        <v>36</v>
      </c>
      <c r="L22">
        <f t="shared" si="10"/>
        <v>37</v>
      </c>
      <c r="M22">
        <f t="shared" si="10"/>
        <v>38</v>
      </c>
      <c r="N22">
        <f t="shared" si="10"/>
        <v>39</v>
      </c>
      <c r="O22">
        <f t="shared" si="10"/>
        <v>40</v>
      </c>
    </row>
    <row r="23" spans="1:15">
      <c r="A23">
        <v>20</v>
      </c>
      <c r="B23">
        <v>2.5</v>
      </c>
      <c r="E23">
        <f>A23</f>
        <v>20</v>
      </c>
      <c r="F23">
        <f>$A$8+F18*$B$8</f>
        <v>22.5</v>
      </c>
      <c r="G23">
        <f>$A$8+G18*$B$8</f>
        <v>25</v>
      </c>
      <c r="H23">
        <f>$A$8+H18*$B$8</f>
        <v>27.5</v>
      </c>
      <c r="I23">
        <f>$A$8+I18*$B$8</f>
        <v>30</v>
      </c>
      <c r="J23">
        <f>$A$8+J18*$B$8</f>
        <v>32.5</v>
      </c>
    </row>
    <row r="25" spans="1:15">
      <c r="D25" t="s">
        <v>842</v>
      </c>
      <c r="E25">
        <f t="shared" ref="E25:O25" si="11">E19</f>
        <v>20</v>
      </c>
      <c r="F25">
        <f t="shared" si="11"/>
        <v>22</v>
      </c>
      <c r="G25">
        <f t="shared" si="11"/>
        <v>24</v>
      </c>
      <c r="H25">
        <f t="shared" si="11"/>
        <v>26</v>
      </c>
      <c r="I25">
        <f t="shared" si="11"/>
        <v>28</v>
      </c>
      <c r="J25">
        <f t="shared" si="11"/>
        <v>30</v>
      </c>
      <c r="K25">
        <f t="shared" si="11"/>
        <v>32</v>
      </c>
      <c r="L25">
        <f t="shared" si="11"/>
        <v>34</v>
      </c>
      <c r="M25">
        <f t="shared" si="11"/>
        <v>36</v>
      </c>
      <c r="N25">
        <f t="shared" si="11"/>
        <v>38</v>
      </c>
      <c r="O25">
        <f t="shared" si="11"/>
        <v>40</v>
      </c>
    </row>
    <row r="26" spans="1:15">
      <c r="D26" t="s">
        <v>843</v>
      </c>
      <c r="E26">
        <f t="shared" ref="E26:O26" si="12">E20</f>
        <v>30</v>
      </c>
      <c r="F26">
        <f t="shared" si="12"/>
        <v>31</v>
      </c>
      <c r="G26">
        <f t="shared" si="12"/>
        <v>32</v>
      </c>
      <c r="H26">
        <f t="shared" si="12"/>
        <v>33</v>
      </c>
      <c r="I26">
        <f t="shared" si="12"/>
        <v>34</v>
      </c>
      <c r="J26">
        <f t="shared" si="12"/>
        <v>35</v>
      </c>
      <c r="K26">
        <f t="shared" si="12"/>
        <v>36</v>
      </c>
      <c r="L26">
        <f t="shared" si="12"/>
        <v>37</v>
      </c>
      <c r="M26">
        <f t="shared" si="12"/>
        <v>38</v>
      </c>
      <c r="N26">
        <f t="shared" si="12"/>
        <v>39</v>
      </c>
      <c r="O26">
        <f t="shared" si="12"/>
        <v>40</v>
      </c>
    </row>
  </sheetData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19"/>
  <sheetViews>
    <sheetView topLeftCell="F103" workbookViewId="0">
      <selection activeCell="D14" sqref="D14"/>
    </sheetView>
  </sheetViews>
  <sheetFormatPr baseColWidth="10" defaultRowHeight="15"/>
  <cols>
    <col min="2" max="2" width="5" bestFit="1" customWidth="1"/>
    <col min="3" max="3" width="4.83203125" bestFit="1" customWidth="1"/>
    <col min="4" max="4" width="10.1640625" bestFit="1" customWidth="1"/>
    <col min="5" max="6" width="11" bestFit="1" customWidth="1"/>
    <col min="7" max="7" width="10.5" bestFit="1" customWidth="1"/>
    <col min="8" max="8" width="10.5" customWidth="1"/>
    <col min="14" max="14" width="10.83203125" bestFit="1" customWidth="1"/>
  </cols>
  <sheetData>
    <row r="1" spans="1:14" ht="26">
      <c r="C1" s="437"/>
      <c r="D1" s="433" t="s">
        <v>844</v>
      </c>
      <c r="E1" s="433" t="s">
        <v>860</v>
      </c>
      <c r="F1" s="434" t="s">
        <v>861</v>
      </c>
      <c r="G1" s="433" t="s">
        <v>858</v>
      </c>
      <c r="H1" s="433" t="s">
        <v>857</v>
      </c>
      <c r="I1" s="433" t="s">
        <v>859</v>
      </c>
      <c r="J1" s="433">
        <v>2009</v>
      </c>
      <c r="K1" s="433">
        <v>2010</v>
      </c>
      <c r="L1" s="433">
        <v>2011</v>
      </c>
      <c r="M1" s="433">
        <v>2012</v>
      </c>
      <c r="N1" s="433" t="s">
        <v>276</v>
      </c>
    </row>
    <row r="2" spans="1:14">
      <c r="A2">
        <v>1</v>
      </c>
      <c r="B2">
        <v>2005</v>
      </c>
      <c r="C2" s="435" t="s">
        <v>845</v>
      </c>
      <c r="D2" s="438">
        <f t="shared" ref="D2:D49" si="0">E2+F2</f>
        <v>29.200000000000003</v>
      </c>
      <c r="E2" s="438">
        <v>23.1</v>
      </c>
      <c r="F2" s="438">
        <v>6.1</v>
      </c>
      <c r="G2" s="438">
        <v>65.5</v>
      </c>
      <c r="H2" s="438">
        <f t="shared" ref="H2:H44" si="1">0.19*(D2+G2)</f>
        <v>17.993000000000002</v>
      </c>
      <c r="I2" s="438">
        <f>D2+G2+H2</f>
        <v>112.69300000000001</v>
      </c>
      <c r="N2" s="438">
        <v>160</v>
      </c>
    </row>
    <row r="3" spans="1:14">
      <c r="A3">
        <v>2</v>
      </c>
      <c r="B3">
        <v>2005</v>
      </c>
      <c r="C3" s="435" t="s">
        <v>846</v>
      </c>
      <c r="D3" s="438">
        <f t="shared" si="0"/>
        <v>30.7</v>
      </c>
      <c r="E3" s="438">
        <v>24.5</v>
      </c>
      <c r="F3" s="438">
        <v>6.2</v>
      </c>
      <c r="G3" s="438">
        <v>65.5</v>
      </c>
      <c r="H3" s="438">
        <f t="shared" si="1"/>
        <v>18.278000000000002</v>
      </c>
      <c r="I3" s="438">
        <f t="shared" ref="I3:I44" si="2">D3+G3+H3</f>
        <v>114.47800000000001</v>
      </c>
      <c r="N3" s="438">
        <v>160</v>
      </c>
    </row>
    <row r="4" spans="1:14">
      <c r="A4">
        <v>3</v>
      </c>
      <c r="B4">
        <v>2005</v>
      </c>
      <c r="C4" s="435" t="s">
        <v>847</v>
      </c>
      <c r="D4" s="438">
        <f t="shared" si="0"/>
        <v>33.700000000000003</v>
      </c>
      <c r="E4" s="438">
        <v>27</v>
      </c>
      <c r="F4" s="438">
        <v>6.7</v>
      </c>
      <c r="G4" s="438">
        <v>65.5</v>
      </c>
      <c r="H4" s="438">
        <f t="shared" si="1"/>
        <v>18.848000000000003</v>
      </c>
      <c r="I4" s="438">
        <f t="shared" si="2"/>
        <v>118.048</v>
      </c>
      <c r="N4" s="438">
        <v>160</v>
      </c>
    </row>
    <row r="5" spans="1:14">
      <c r="A5">
        <v>4</v>
      </c>
      <c r="B5">
        <v>2005</v>
      </c>
      <c r="C5" s="435" t="s">
        <v>848</v>
      </c>
      <c r="D5" s="438">
        <f t="shared" si="0"/>
        <v>37.700000000000003</v>
      </c>
      <c r="E5" s="438">
        <v>30.3</v>
      </c>
      <c r="F5" s="438">
        <v>7.4</v>
      </c>
      <c r="G5" s="438">
        <v>65.5</v>
      </c>
      <c r="H5" s="438">
        <f t="shared" si="1"/>
        <v>19.608000000000001</v>
      </c>
      <c r="I5" s="438">
        <f t="shared" si="2"/>
        <v>122.80800000000001</v>
      </c>
      <c r="N5" s="438">
        <v>160</v>
      </c>
    </row>
    <row r="6" spans="1:14">
      <c r="A6">
        <v>5</v>
      </c>
      <c r="B6">
        <v>2005</v>
      </c>
      <c r="C6" s="435" t="s">
        <v>849</v>
      </c>
      <c r="D6" s="438">
        <f t="shared" si="0"/>
        <v>37.5</v>
      </c>
      <c r="E6" s="438">
        <v>28.4</v>
      </c>
      <c r="F6" s="438">
        <v>9.1</v>
      </c>
      <c r="G6" s="438">
        <v>65.5</v>
      </c>
      <c r="H6" s="438">
        <f t="shared" si="1"/>
        <v>19.57</v>
      </c>
      <c r="I6" s="438">
        <f t="shared" si="2"/>
        <v>122.57</v>
      </c>
      <c r="N6" s="438">
        <v>160</v>
      </c>
    </row>
    <row r="7" spans="1:14">
      <c r="A7">
        <v>6</v>
      </c>
      <c r="B7">
        <v>2005</v>
      </c>
      <c r="C7" s="435" t="s">
        <v>850</v>
      </c>
      <c r="D7" s="438">
        <f t="shared" si="0"/>
        <v>39.5</v>
      </c>
      <c r="E7" s="438">
        <v>32.5</v>
      </c>
      <c r="F7" s="438">
        <v>7</v>
      </c>
      <c r="G7" s="438">
        <v>65.5</v>
      </c>
      <c r="H7" s="438">
        <f t="shared" si="1"/>
        <v>19.95</v>
      </c>
      <c r="I7" s="438">
        <f t="shared" si="2"/>
        <v>124.95</v>
      </c>
      <c r="N7" s="438">
        <v>160</v>
      </c>
    </row>
    <row r="8" spans="1:14">
      <c r="A8">
        <v>7</v>
      </c>
      <c r="B8">
        <v>2005</v>
      </c>
      <c r="C8" s="435" t="s">
        <v>851</v>
      </c>
      <c r="D8" s="438">
        <f t="shared" si="0"/>
        <v>43.6</v>
      </c>
      <c r="E8" s="438">
        <v>36.200000000000003</v>
      </c>
      <c r="F8" s="438">
        <v>7.4</v>
      </c>
      <c r="G8" s="438">
        <v>65.5</v>
      </c>
      <c r="H8" s="438">
        <f t="shared" si="1"/>
        <v>20.728999999999999</v>
      </c>
      <c r="I8" s="438">
        <f t="shared" si="2"/>
        <v>129.82900000000001</v>
      </c>
      <c r="N8" s="438">
        <v>160</v>
      </c>
    </row>
    <row r="9" spans="1:14">
      <c r="A9">
        <v>8</v>
      </c>
      <c r="B9">
        <v>2005</v>
      </c>
      <c r="C9" s="435" t="s">
        <v>852</v>
      </c>
      <c r="D9" s="438">
        <f t="shared" si="0"/>
        <v>45.699999999999996</v>
      </c>
      <c r="E9" s="438">
        <v>39.4</v>
      </c>
      <c r="F9" s="438">
        <v>6.3</v>
      </c>
      <c r="G9" s="438">
        <v>65.5</v>
      </c>
      <c r="H9" s="438">
        <f t="shared" si="1"/>
        <v>21.127999999999997</v>
      </c>
      <c r="I9" s="438">
        <f t="shared" si="2"/>
        <v>132.32799999999997</v>
      </c>
      <c r="N9" s="438">
        <v>160</v>
      </c>
    </row>
    <row r="10" spans="1:14">
      <c r="A10">
        <v>9</v>
      </c>
      <c r="B10">
        <v>2005</v>
      </c>
      <c r="C10" s="435" t="s">
        <v>853</v>
      </c>
      <c r="D10" s="438">
        <f t="shared" si="0"/>
        <v>51.900000000000006</v>
      </c>
      <c r="E10" s="438">
        <v>43.1</v>
      </c>
      <c r="F10" s="438">
        <v>8.8000000000000007</v>
      </c>
      <c r="G10" s="438">
        <v>65.5</v>
      </c>
      <c r="H10" s="438">
        <f t="shared" si="1"/>
        <v>22.306000000000001</v>
      </c>
      <c r="I10" s="438">
        <f t="shared" si="2"/>
        <v>139.70600000000002</v>
      </c>
      <c r="N10" s="438">
        <v>160</v>
      </c>
    </row>
    <row r="11" spans="1:14">
      <c r="A11">
        <v>10</v>
      </c>
      <c r="B11">
        <v>2005</v>
      </c>
      <c r="C11" s="435" t="s">
        <v>854</v>
      </c>
      <c r="D11" s="438">
        <f t="shared" si="0"/>
        <v>47</v>
      </c>
      <c r="E11" s="438">
        <v>36.5</v>
      </c>
      <c r="F11" s="438">
        <v>10.5</v>
      </c>
      <c r="G11" s="438">
        <v>65.5</v>
      </c>
      <c r="H11" s="438">
        <f t="shared" si="1"/>
        <v>21.375</v>
      </c>
      <c r="I11" s="438">
        <f t="shared" si="2"/>
        <v>133.875</v>
      </c>
      <c r="N11" s="438">
        <v>160</v>
      </c>
    </row>
    <row r="12" spans="1:14">
      <c r="A12">
        <v>11</v>
      </c>
      <c r="B12">
        <v>2005</v>
      </c>
      <c r="C12" s="435" t="s">
        <v>855</v>
      </c>
      <c r="D12" s="438">
        <f t="shared" si="0"/>
        <v>41</v>
      </c>
      <c r="E12" s="438">
        <v>32.4</v>
      </c>
      <c r="F12" s="438">
        <v>8.6</v>
      </c>
      <c r="G12" s="438">
        <v>65.5</v>
      </c>
      <c r="H12" s="438">
        <f t="shared" si="1"/>
        <v>20.234999999999999</v>
      </c>
      <c r="I12" s="438">
        <f t="shared" si="2"/>
        <v>126.735</v>
      </c>
      <c r="N12" s="438">
        <v>160</v>
      </c>
    </row>
    <row r="13" spans="1:14">
      <c r="A13">
        <v>12</v>
      </c>
      <c r="B13">
        <v>2005</v>
      </c>
      <c r="C13" s="435" t="s">
        <v>856</v>
      </c>
      <c r="D13" s="438">
        <f t="shared" si="0"/>
        <v>41.2</v>
      </c>
      <c r="E13" s="438">
        <v>32.6</v>
      </c>
      <c r="F13" s="438">
        <v>8.6</v>
      </c>
      <c r="G13" s="438">
        <v>65.5</v>
      </c>
      <c r="H13" s="438">
        <f t="shared" si="1"/>
        <v>20.273</v>
      </c>
      <c r="I13" s="438">
        <f t="shared" si="2"/>
        <v>126.973</v>
      </c>
      <c r="N13" s="438">
        <v>160</v>
      </c>
    </row>
    <row r="14" spans="1:14">
      <c r="A14">
        <v>13</v>
      </c>
      <c r="B14">
        <v>2006</v>
      </c>
      <c r="C14" s="435" t="s">
        <v>845</v>
      </c>
      <c r="D14" s="438">
        <f t="shared" si="0"/>
        <v>43.9</v>
      </c>
      <c r="E14" s="438">
        <v>35.9</v>
      </c>
      <c r="F14" s="438">
        <v>8</v>
      </c>
      <c r="G14" s="438">
        <v>65.5</v>
      </c>
      <c r="H14" s="438">
        <f t="shared" si="1"/>
        <v>20.786000000000001</v>
      </c>
      <c r="I14" s="438">
        <f t="shared" si="2"/>
        <v>130.18600000000001</v>
      </c>
      <c r="N14" s="438">
        <v>160</v>
      </c>
    </row>
    <row r="15" spans="1:14">
      <c r="A15">
        <v>14</v>
      </c>
      <c r="B15">
        <v>2006</v>
      </c>
      <c r="C15" s="435" t="s">
        <v>846</v>
      </c>
      <c r="D15" s="438">
        <f t="shared" si="0"/>
        <v>43.2</v>
      </c>
      <c r="E15" s="438">
        <v>33.5</v>
      </c>
      <c r="F15" s="438">
        <v>9.6999999999999993</v>
      </c>
      <c r="G15" s="438">
        <v>65.5</v>
      </c>
      <c r="H15" s="438">
        <f t="shared" si="1"/>
        <v>20.653000000000002</v>
      </c>
      <c r="I15" s="438">
        <f t="shared" si="2"/>
        <v>129.35300000000001</v>
      </c>
      <c r="N15" s="438">
        <v>160</v>
      </c>
    </row>
    <row r="16" spans="1:14">
      <c r="A16">
        <v>15</v>
      </c>
      <c r="B16">
        <v>2006</v>
      </c>
      <c r="C16" s="435" t="s">
        <v>847</v>
      </c>
      <c r="D16" s="438">
        <f t="shared" si="0"/>
        <v>23.8</v>
      </c>
      <c r="E16" s="438">
        <v>16.3</v>
      </c>
      <c r="F16" s="438">
        <v>7.5</v>
      </c>
      <c r="G16" s="438">
        <v>65.5</v>
      </c>
      <c r="H16" s="438">
        <f t="shared" si="1"/>
        <v>16.966999999999999</v>
      </c>
      <c r="I16" s="438">
        <f t="shared" si="2"/>
        <v>106.267</v>
      </c>
      <c r="N16" s="438">
        <v>160</v>
      </c>
    </row>
    <row r="17" spans="1:14">
      <c r="A17">
        <v>16</v>
      </c>
      <c r="B17">
        <v>2006</v>
      </c>
      <c r="C17" s="435" t="s">
        <v>848</v>
      </c>
      <c r="D17" s="438">
        <f t="shared" si="0"/>
        <v>50.1</v>
      </c>
      <c r="E17" s="438">
        <v>42.2</v>
      </c>
      <c r="F17" s="438">
        <v>7.9</v>
      </c>
      <c r="G17" s="438">
        <v>65.5</v>
      </c>
      <c r="H17" s="438">
        <f t="shared" si="1"/>
        <v>21.963999999999999</v>
      </c>
      <c r="I17" s="438">
        <f t="shared" si="2"/>
        <v>137.56399999999999</v>
      </c>
      <c r="N17" s="438">
        <v>160</v>
      </c>
    </row>
    <row r="18" spans="1:14">
      <c r="A18">
        <v>17</v>
      </c>
      <c r="B18">
        <v>2006</v>
      </c>
      <c r="C18" s="435" t="s">
        <v>849</v>
      </c>
      <c r="D18" s="438">
        <f t="shared" si="0"/>
        <v>50.9</v>
      </c>
      <c r="E18" s="438">
        <v>41.8</v>
      </c>
      <c r="F18" s="438">
        <v>9.1</v>
      </c>
      <c r="G18" s="438">
        <v>65.5</v>
      </c>
      <c r="H18" s="438">
        <f t="shared" si="1"/>
        <v>22.116</v>
      </c>
      <c r="I18" s="438">
        <f t="shared" si="2"/>
        <v>138.51600000000002</v>
      </c>
      <c r="N18" s="438">
        <v>160</v>
      </c>
    </row>
    <row r="19" spans="1:14">
      <c r="A19">
        <v>18</v>
      </c>
      <c r="B19">
        <v>2006</v>
      </c>
      <c r="C19" s="435" t="s">
        <v>850</v>
      </c>
      <c r="D19" s="438">
        <f t="shared" si="0"/>
        <v>51.1</v>
      </c>
      <c r="E19" s="438">
        <v>43</v>
      </c>
      <c r="F19" s="438">
        <v>8.1</v>
      </c>
      <c r="G19" s="438">
        <v>65.5</v>
      </c>
      <c r="H19" s="438">
        <f t="shared" si="1"/>
        <v>22.154</v>
      </c>
      <c r="I19" s="438">
        <f t="shared" si="2"/>
        <v>138.75399999999999</v>
      </c>
      <c r="N19" s="438">
        <v>160</v>
      </c>
    </row>
    <row r="20" spans="1:14">
      <c r="A20">
        <v>19</v>
      </c>
      <c r="B20">
        <v>2006</v>
      </c>
      <c r="C20" s="435" t="s">
        <v>851</v>
      </c>
      <c r="D20" s="438">
        <f t="shared" si="0"/>
        <v>53.7</v>
      </c>
      <c r="E20" s="438">
        <v>46</v>
      </c>
      <c r="F20" s="438">
        <v>7.7</v>
      </c>
      <c r="G20" s="438">
        <v>65.5</v>
      </c>
      <c r="H20" s="438">
        <f t="shared" si="1"/>
        <v>22.648</v>
      </c>
      <c r="I20" s="438">
        <f t="shared" si="2"/>
        <v>141.84800000000001</v>
      </c>
      <c r="N20" s="438">
        <v>160</v>
      </c>
    </row>
    <row r="21" spans="1:14">
      <c r="A21">
        <v>20</v>
      </c>
      <c r="B21">
        <v>2006</v>
      </c>
      <c r="C21" s="435" t="s">
        <v>852</v>
      </c>
      <c r="D21" s="438">
        <f t="shared" si="0"/>
        <v>51</v>
      </c>
      <c r="E21" s="438">
        <v>41.2</v>
      </c>
      <c r="F21" s="438">
        <v>9.8000000000000007</v>
      </c>
      <c r="G21" s="438">
        <v>65.5</v>
      </c>
      <c r="H21" s="438">
        <f t="shared" si="1"/>
        <v>22.135000000000002</v>
      </c>
      <c r="I21" s="438">
        <f t="shared" si="2"/>
        <v>138.63499999999999</v>
      </c>
      <c r="N21" s="438">
        <v>160</v>
      </c>
    </row>
    <row r="22" spans="1:14">
      <c r="A22">
        <v>21</v>
      </c>
      <c r="B22">
        <v>2006</v>
      </c>
      <c r="C22" s="435" t="s">
        <v>853</v>
      </c>
      <c r="D22" s="438">
        <f t="shared" si="0"/>
        <v>41.9</v>
      </c>
      <c r="E22" s="438">
        <v>32.5</v>
      </c>
      <c r="F22" s="438">
        <v>9.4</v>
      </c>
      <c r="G22" s="438">
        <v>65.5</v>
      </c>
      <c r="H22" s="438">
        <f t="shared" si="1"/>
        <v>20.406000000000002</v>
      </c>
      <c r="I22" s="438">
        <f t="shared" si="2"/>
        <v>127.80600000000001</v>
      </c>
      <c r="N22" s="438">
        <v>160</v>
      </c>
    </row>
    <row r="23" spans="1:14">
      <c r="A23">
        <v>22</v>
      </c>
      <c r="B23">
        <v>2006</v>
      </c>
      <c r="C23" s="435" t="s">
        <v>854</v>
      </c>
      <c r="D23" s="438">
        <f t="shared" si="0"/>
        <v>39.200000000000003</v>
      </c>
      <c r="E23" s="438">
        <v>30.4</v>
      </c>
      <c r="F23" s="438">
        <v>8.8000000000000007</v>
      </c>
      <c r="G23" s="438">
        <v>65.5</v>
      </c>
      <c r="H23" s="438">
        <f t="shared" si="1"/>
        <v>19.893000000000001</v>
      </c>
      <c r="I23" s="438">
        <f t="shared" si="2"/>
        <v>124.593</v>
      </c>
      <c r="N23" s="438">
        <v>160</v>
      </c>
    </row>
    <row r="24" spans="1:14">
      <c r="A24">
        <v>23</v>
      </c>
      <c r="B24">
        <v>2006</v>
      </c>
      <c r="C24" s="435" t="s">
        <v>855</v>
      </c>
      <c r="D24" s="438">
        <f t="shared" si="0"/>
        <v>38.700000000000003</v>
      </c>
      <c r="E24" s="438">
        <v>30.5</v>
      </c>
      <c r="F24" s="438">
        <v>8.1999999999999993</v>
      </c>
      <c r="G24" s="438">
        <v>65.5</v>
      </c>
      <c r="H24" s="438">
        <f t="shared" si="1"/>
        <v>19.798000000000002</v>
      </c>
      <c r="I24" s="438">
        <f t="shared" si="2"/>
        <v>123.998</v>
      </c>
      <c r="N24" s="438">
        <v>160</v>
      </c>
    </row>
    <row r="25" spans="1:14">
      <c r="A25">
        <v>24</v>
      </c>
      <c r="B25">
        <v>2006</v>
      </c>
      <c r="C25" s="435" t="s">
        <v>856</v>
      </c>
      <c r="D25" s="438">
        <f t="shared" si="0"/>
        <v>39.9</v>
      </c>
      <c r="E25" s="438">
        <v>31.3</v>
      </c>
      <c r="F25" s="438">
        <v>8.6</v>
      </c>
      <c r="G25" s="438">
        <v>65.5</v>
      </c>
      <c r="H25" s="438">
        <f t="shared" si="1"/>
        <v>20.026</v>
      </c>
      <c r="I25" s="438">
        <f t="shared" si="2"/>
        <v>125.426</v>
      </c>
      <c r="N25" s="438">
        <v>160</v>
      </c>
    </row>
    <row r="26" spans="1:14">
      <c r="A26">
        <v>25</v>
      </c>
      <c r="B26">
        <v>2007</v>
      </c>
      <c r="C26" s="435" t="s">
        <v>845</v>
      </c>
      <c r="D26" s="438">
        <f t="shared" si="0"/>
        <v>38.5</v>
      </c>
      <c r="E26" s="438">
        <v>28.5</v>
      </c>
      <c r="F26" s="438">
        <v>10</v>
      </c>
      <c r="G26" s="438">
        <v>65.5</v>
      </c>
      <c r="H26" s="438">
        <f t="shared" si="1"/>
        <v>19.760000000000002</v>
      </c>
      <c r="I26" s="438">
        <f t="shared" si="2"/>
        <v>123.76</v>
      </c>
      <c r="N26" s="438">
        <v>160</v>
      </c>
    </row>
    <row r="27" spans="1:14">
      <c r="A27">
        <v>26</v>
      </c>
      <c r="B27">
        <v>2007</v>
      </c>
      <c r="C27" s="435" t="s">
        <v>846</v>
      </c>
      <c r="D27" s="438">
        <f t="shared" si="0"/>
        <v>39.5</v>
      </c>
      <c r="E27" s="438">
        <v>31.2</v>
      </c>
      <c r="F27" s="438">
        <v>8.3000000000000007</v>
      </c>
      <c r="G27" s="438">
        <v>65.5</v>
      </c>
      <c r="H27" s="438">
        <f t="shared" si="1"/>
        <v>19.95</v>
      </c>
      <c r="I27" s="438">
        <f t="shared" si="2"/>
        <v>124.95</v>
      </c>
      <c r="N27" s="438">
        <v>160</v>
      </c>
    </row>
    <row r="28" spans="1:14">
      <c r="A28">
        <v>27</v>
      </c>
      <c r="B28">
        <v>2007</v>
      </c>
      <c r="C28" s="435" t="s">
        <v>847</v>
      </c>
      <c r="D28" s="438">
        <f t="shared" si="0"/>
        <v>43.8</v>
      </c>
      <c r="E28" s="438">
        <v>35.5</v>
      </c>
      <c r="F28" s="438">
        <v>8.3000000000000007</v>
      </c>
      <c r="G28" s="438">
        <v>65.5</v>
      </c>
      <c r="H28" s="438">
        <f t="shared" si="1"/>
        <v>20.766999999999999</v>
      </c>
      <c r="I28" s="438">
        <f t="shared" si="2"/>
        <v>130.06700000000001</v>
      </c>
      <c r="N28" s="438">
        <v>160</v>
      </c>
    </row>
    <row r="29" spans="1:14">
      <c r="A29">
        <v>28</v>
      </c>
      <c r="B29">
        <v>2007</v>
      </c>
      <c r="C29" s="435" t="s">
        <v>848</v>
      </c>
      <c r="D29" s="438">
        <f t="shared" si="0"/>
        <v>47.400000000000006</v>
      </c>
      <c r="E29" s="438">
        <v>39.700000000000003</v>
      </c>
      <c r="F29" s="438">
        <v>7.7</v>
      </c>
      <c r="G29" s="438">
        <v>65.5</v>
      </c>
      <c r="H29" s="438">
        <f t="shared" si="1"/>
        <v>21.451000000000001</v>
      </c>
      <c r="I29" s="438">
        <f t="shared" si="2"/>
        <v>134.351</v>
      </c>
      <c r="N29" s="438">
        <v>160</v>
      </c>
    </row>
    <row r="30" spans="1:14">
      <c r="A30">
        <v>29</v>
      </c>
      <c r="B30">
        <v>2007</v>
      </c>
      <c r="C30" s="435" t="s">
        <v>849</v>
      </c>
      <c r="D30" s="438">
        <f t="shared" si="0"/>
        <v>51.3</v>
      </c>
      <c r="E30" s="438">
        <v>42.3</v>
      </c>
      <c r="F30" s="438">
        <v>9</v>
      </c>
      <c r="G30" s="438">
        <v>65.5</v>
      </c>
      <c r="H30" s="438">
        <f t="shared" si="1"/>
        <v>22.192</v>
      </c>
      <c r="I30" s="438">
        <f t="shared" si="2"/>
        <v>138.99199999999999</v>
      </c>
      <c r="N30" s="438">
        <v>160</v>
      </c>
    </row>
    <row r="31" spans="1:14">
      <c r="A31">
        <v>30</v>
      </c>
      <c r="B31">
        <v>2007</v>
      </c>
      <c r="C31" s="435" t="s">
        <v>850</v>
      </c>
      <c r="D31" s="438">
        <f t="shared" si="0"/>
        <v>50.7</v>
      </c>
      <c r="E31" s="438">
        <v>41.7</v>
      </c>
      <c r="F31" s="438">
        <v>9</v>
      </c>
      <c r="G31" s="438">
        <v>65.5</v>
      </c>
      <c r="H31" s="438">
        <f t="shared" si="1"/>
        <v>22.077999999999999</v>
      </c>
      <c r="I31" s="438">
        <f t="shared" si="2"/>
        <v>138.27799999999999</v>
      </c>
      <c r="N31" s="438">
        <v>160</v>
      </c>
    </row>
    <row r="32" spans="1:14">
      <c r="A32">
        <v>31</v>
      </c>
      <c r="B32">
        <v>2007</v>
      </c>
      <c r="C32" s="435" t="s">
        <v>851</v>
      </c>
      <c r="D32" s="438">
        <f t="shared" si="0"/>
        <v>50.6</v>
      </c>
      <c r="E32" s="438">
        <v>40</v>
      </c>
      <c r="F32" s="438">
        <v>10.6</v>
      </c>
      <c r="G32" s="438">
        <v>65.5</v>
      </c>
      <c r="H32" s="438">
        <f t="shared" si="1"/>
        <v>22.058999999999997</v>
      </c>
      <c r="I32" s="438">
        <f t="shared" si="2"/>
        <v>138.15899999999999</v>
      </c>
      <c r="N32" s="438">
        <v>160</v>
      </c>
    </row>
    <row r="33" spans="1:14">
      <c r="A33">
        <v>32</v>
      </c>
      <c r="B33">
        <v>2007</v>
      </c>
      <c r="C33" s="435" t="s">
        <v>852</v>
      </c>
      <c r="D33" s="438">
        <f t="shared" si="0"/>
        <v>47.8</v>
      </c>
      <c r="E33" s="438">
        <v>37.6</v>
      </c>
      <c r="F33" s="438">
        <v>10.199999999999999</v>
      </c>
      <c r="G33" s="438">
        <v>65.5</v>
      </c>
      <c r="H33" s="438">
        <f t="shared" si="1"/>
        <v>21.527000000000001</v>
      </c>
      <c r="I33" s="438">
        <f t="shared" si="2"/>
        <v>134.827</v>
      </c>
      <c r="N33" s="438">
        <v>160</v>
      </c>
    </row>
    <row r="34" spans="1:14">
      <c r="A34">
        <v>33</v>
      </c>
      <c r="B34">
        <v>2007</v>
      </c>
      <c r="C34" s="435" t="s">
        <v>853</v>
      </c>
      <c r="D34" s="438">
        <f t="shared" si="0"/>
        <v>49.3</v>
      </c>
      <c r="E34" s="438">
        <v>38.799999999999997</v>
      </c>
      <c r="F34" s="438">
        <v>10.5</v>
      </c>
      <c r="G34" s="438">
        <v>65.5</v>
      </c>
      <c r="H34" s="438">
        <f t="shared" si="1"/>
        <v>21.812000000000001</v>
      </c>
      <c r="I34" s="438">
        <f t="shared" si="2"/>
        <v>136.61199999999999</v>
      </c>
      <c r="N34" s="438">
        <v>160</v>
      </c>
    </row>
    <row r="35" spans="1:14">
      <c r="A35">
        <v>34</v>
      </c>
      <c r="B35">
        <v>2007</v>
      </c>
      <c r="C35" s="435" t="s">
        <v>854</v>
      </c>
      <c r="D35" s="438">
        <f t="shared" si="0"/>
        <v>48.3</v>
      </c>
      <c r="E35" s="438">
        <v>38.9</v>
      </c>
      <c r="F35" s="438">
        <v>9.4</v>
      </c>
      <c r="G35" s="438">
        <v>65.5</v>
      </c>
      <c r="H35" s="438">
        <f t="shared" si="1"/>
        <v>21.622</v>
      </c>
      <c r="I35" s="438">
        <f t="shared" si="2"/>
        <v>135.422</v>
      </c>
      <c r="N35" s="438">
        <v>160</v>
      </c>
    </row>
    <row r="36" spans="1:14">
      <c r="A36">
        <v>35</v>
      </c>
      <c r="B36">
        <v>2007</v>
      </c>
      <c r="C36" s="435" t="s">
        <v>855</v>
      </c>
      <c r="D36" s="438">
        <f t="shared" si="0"/>
        <v>53.800000000000004</v>
      </c>
      <c r="E36" s="438">
        <v>42.2</v>
      </c>
      <c r="F36" s="438">
        <v>11.6</v>
      </c>
      <c r="G36" s="438">
        <v>65.5</v>
      </c>
      <c r="H36" s="438">
        <f t="shared" si="1"/>
        <v>22.667000000000002</v>
      </c>
      <c r="I36" s="438">
        <f t="shared" si="2"/>
        <v>141.96700000000001</v>
      </c>
      <c r="N36" s="438">
        <v>160</v>
      </c>
    </row>
    <row r="37" spans="1:14">
      <c r="A37">
        <v>36</v>
      </c>
      <c r="B37">
        <v>2007</v>
      </c>
      <c r="C37" s="435" t="s">
        <v>856</v>
      </c>
      <c r="D37" s="438">
        <f t="shared" si="0"/>
        <v>48.3</v>
      </c>
      <c r="E37" s="438">
        <v>41.3</v>
      </c>
      <c r="F37" s="438">
        <v>7</v>
      </c>
      <c r="G37" s="438">
        <v>65.5</v>
      </c>
      <c r="H37" s="438">
        <f t="shared" si="1"/>
        <v>21.622</v>
      </c>
      <c r="I37" s="438">
        <f t="shared" si="2"/>
        <v>135.422</v>
      </c>
      <c r="N37" s="438">
        <v>160</v>
      </c>
    </row>
    <row r="38" spans="1:14">
      <c r="A38">
        <v>37</v>
      </c>
      <c r="B38">
        <v>2008</v>
      </c>
      <c r="C38" s="435" t="s">
        <v>845</v>
      </c>
      <c r="D38" s="438">
        <f t="shared" si="0"/>
        <v>50</v>
      </c>
      <c r="E38" s="438">
        <v>40.799999999999997</v>
      </c>
      <c r="F38" s="438">
        <v>9.1999999999999993</v>
      </c>
      <c r="G38" s="438">
        <v>65.5</v>
      </c>
      <c r="H38" s="438">
        <f t="shared" si="1"/>
        <v>21.945</v>
      </c>
      <c r="I38" s="438">
        <f t="shared" si="2"/>
        <v>137.44499999999999</v>
      </c>
      <c r="N38" s="438">
        <v>160</v>
      </c>
    </row>
    <row r="39" spans="1:14">
      <c r="A39">
        <v>38</v>
      </c>
      <c r="B39">
        <v>2008</v>
      </c>
      <c r="C39" s="435" t="s">
        <v>846</v>
      </c>
      <c r="D39" s="438">
        <f t="shared" si="0"/>
        <v>51.2</v>
      </c>
      <c r="E39" s="438">
        <v>42.6</v>
      </c>
      <c r="F39" s="438">
        <v>8.6</v>
      </c>
      <c r="G39" s="438">
        <v>65.5</v>
      </c>
      <c r="H39" s="438">
        <f t="shared" si="1"/>
        <v>22.173000000000002</v>
      </c>
      <c r="I39" s="438">
        <f t="shared" si="2"/>
        <v>138.87299999999999</v>
      </c>
      <c r="N39" s="438">
        <v>160</v>
      </c>
    </row>
    <row r="40" spans="1:14">
      <c r="A40">
        <v>39</v>
      </c>
      <c r="B40">
        <v>2008</v>
      </c>
      <c r="C40" s="435" t="s">
        <v>847</v>
      </c>
      <c r="D40" s="438">
        <f t="shared" si="0"/>
        <v>53.7</v>
      </c>
      <c r="E40" s="438">
        <v>42.4</v>
      </c>
      <c r="F40" s="438">
        <v>11.3</v>
      </c>
      <c r="G40" s="438">
        <v>65.5</v>
      </c>
      <c r="H40" s="438">
        <f t="shared" si="1"/>
        <v>22.648</v>
      </c>
      <c r="I40" s="438">
        <f t="shared" si="2"/>
        <v>141.84800000000001</v>
      </c>
      <c r="N40" s="438">
        <v>160</v>
      </c>
    </row>
    <row r="41" spans="1:14">
      <c r="A41">
        <v>40</v>
      </c>
      <c r="B41">
        <v>2008</v>
      </c>
      <c r="C41" s="435" t="s">
        <v>848</v>
      </c>
      <c r="D41" s="438">
        <f t="shared" si="0"/>
        <v>54.599999999999994</v>
      </c>
      <c r="E41" s="438">
        <v>45.8</v>
      </c>
      <c r="F41" s="438">
        <v>8.8000000000000007</v>
      </c>
      <c r="G41" s="438">
        <v>65.5</v>
      </c>
      <c r="H41" s="438">
        <f t="shared" si="1"/>
        <v>22.818999999999999</v>
      </c>
      <c r="I41" s="438">
        <f t="shared" si="2"/>
        <v>142.91899999999998</v>
      </c>
      <c r="N41" s="438">
        <v>160</v>
      </c>
    </row>
    <row r="42" spans="1:14">
      <c r="A42">
        <v>41</v>
      </c>
      <c r="B42">
        <v>2008</v>
      </c>
      <c r="C42" s="435" t="s">
        <v>849</v>
      </c>
      <c r="D42" s="438">
        <f t="shared" si="0"/>
        <v>59.3</v>
      </c>
      <c r="E42" s="438">
        <v>51.4</v>
      </c>
      <c r="F42" s="438">
        <v>7.9</v>
      </c>
      <c r="G42" s="438">
        <v>65.5</v>
      </c>
      <c r="H42" s="438">
        <f t="shared" si="1"/>
        <v>23.712</v>
      </c>
      <c r="I42" s="438">
        <f t="shared" si="2"/>
        <v>148.512</v>
      </c>
      <c r="N42" s="438">
        <v>160</v>
      </c>
    </row>
    <row r="43" spans="1:14">
      <c r="A43">
        <v>42</v>
      </c>
      <c r="B43">
        <v>2008</v>
      </c>
      <c r="C43" s="435" t="s">
        <v>850</v>
      </c>
      <c r="D43" s="438">
        <f t="shared" si="0"/>
        <v>62.5</v>
      </c>
      <c r="E43" s="438">
        <v>54.6</v>
      </c>
      <c r="F43" s="438">
        <v>7.9</v>
      </c>
      <c r="G43" s="438">
        <v>65.5</v>
      </c>
      <c r="H43" s="438">
        <f t="shared" si="1"/>
        <v>24.32</v>
      </c>
      <c r="I43" s="438">
        <f t="shared" si="2"/>
        <v>152.32</v>
      </c>
      <c r="N43" s="438">
        <v>160</v>
      </c>
    </row>
    <row r="44" spans="1:14">
      <c r="A44">
        <v>43</v>
      </c>
      <c r="B44">
        <v>2008</v>
      </c>
      <c r="C44" s="435" t="s">
        <v>851</v>
      </c>
      <c r="D44" s="438">
        <f t="shared" si="0"/>
        <v>63</v>
      </c>
      <c r="E44" s="438">
        <v>52.6</v>
      </c>
      <c r="F44" s="438">
        <v>10.4</v>
      </c>
      <c r="G44" s="438">
        <v>65.5</v>
      </c>
      <c r="H44" s="438">
        <f t="shared" si="1"/>
        <v>24.414999999999999</v>
      </c>
      <c r="I44" s="438">
        <f t="shared" si="2"/>
        <v>152.91499999999999</v>
      </c>
      <c r="N44" s="438">
        <v>160</v>
      </c>
    </row>
    <row r="45" spans="1:14">
      <c r="A45">
        <v>44</v>
      </c>
      <c r="B45">
        <v>2008</v>
      </c>
      <c r="C45" s="435" t="s">
        <v>852</v>
      </c>
      <c r="D45" s="438">
        <f t="shared" si="0"/>
        <v>57.1</v>
      </c>
      <c r="E45" s="438">
        <v>49.1</v>
      </c>
      <c r="F45" s="438">
        <v>8</v>
      </c>
      <c r="G45" s="438">
        <v>65.5</v>
      </c>
      <c r="H45" s="438">
        <f>0.19*(D45+G45)</f>
        <v>23.294</v>
      </c>
      <c r="I45" s="438">
        <f>D45+G45+H45</f>
        <v>145.89400000000001</v>
      </c>
      <c r="N45" s="438">
        <v>160</v>
      </c>
    </row>
    <row r="46" spans="1:14">
      <c r="A46">
        <v>45</v>
      </c>
      <c r="B46">
        <v>2008</v>
      </c>
      <c r="C46" s="435" t="s">
        <v>853</v>
      </c>
      <c r="D46" s="438">
        <f t="shared" si="0"/>
        <v>57.7</v>
      </c>
      <c r="E46" s="438">
        <v>47.5</v>
      </c>
      <c r="F46" s="438">
        <v>10.199999999999999</v>
      </c>
      <c r="G46" s="438">
        <v>65.5</v>
      </c>
      <c r="H46" s="438">
        <f>0.19*(D46+G46)</f>
        <v>23.408000000000001</v>
      </c>
      <c r="I46" s="438">
        <f>D46+G46+H46</f>
        <v>146.608</v>
      </c>
      <c r="N46" s="438">
        <v>160</v>
      </c>
    </row>
    <row r="47" spans="1:14">
      <c r="A47">
        <v>46</v>
      </c>
      <c r="B47">
        <v>2008</v>
      </c>
      <c r="C47" s="435" t="s">
        <v>854</v>
      </c>
      <c r="D47" s="438">
        <f t="shared" si="0"/>
        <v>47.8</v>
      </c>
      <c r="E47" s="438">
        <v>34.9</v>
      </c>
      <c r="F47" s="438">
        <v>12.9</v>
      </c>
      <c r="G47" s="438">
        <v>65.5</v>
      </c>
      <c r="H47" s="438">
        <f>0.19*(D47+G47)</f>
        <v>21.527000000000001</v>
      </c>
      <c r="I47" s="438">
        <f>D47+G47+H47</f>
        <v>134.827</v>
      </c>
      <c r="N47" s="438">
        <v>160</v>
      </c>
    </row>
    <row r="48" spans="1:14">
      <c r="A48">
        <v>47</v>
      </c>
      <c r="B48">
        <v>2008</v>
      </c>
      <c r="C48" s="435" t="s">
        <v>855</v>
      </c>
      <c r="D48" s="438">
        <f t="shared" si="0"/>
        <v>36.9</v>
      </c>
      <c r="E48" s="438">
        <v>24.8</v>
      </c>
      <c r="F48" s="438">
        <v>12.1</v>
      </c>
      <c r="G48" s="438">
        <v>65.5</v>
      </c>
      <c r="H48" s="438">
        <f>0.19*(D48+G48)</f>
        <v>19.456000000000003</v>
      </c>
      <c r="I48" s="438">
        <f>D48+G48+H48</f>
        <v>121.85600000000001</v>
      </c>
      <c r="N48" s="438">
        <v>160</v>
      </c>
    </row>
    <row r="49" spans="1:14">
      <c r="A49">
        <v>48</v>
      </c>
      <c r="B49">
        <v>2008</v>
      </c>
      <c r="C49" s="435" t="s">
        <v>856</v>
      </c>
      <c r="D49" s="438">
        <f t="shared" si="0"/>
        <v>30.299999999999997</v>
      </c>
      <c r="E49" s="438">
        <v>18.7</v>
      </c>
      <c r="F49" s="438">
        <v>11.6</v>
      </c>
      <c r="G49" s="438">
        <v>65.5</v>
      </c>
      <c r="H49" s="438">
        <f>0.19*(D49+G49)</f>
        <v>18.201999999999998</v>
      </c>
      <c r="I49" s="438">
        <f>D49+G49+H49</f>
        <v>114.002</v>
      </c>
      <c r="N49" s="438">
        <v>160</v>
      </c>
    </row>
    <row r="50" spans="1:14">
      <c r="A50">
        <v>49</v>
      </c>
      <c r="B50">
        <v>2009</v>
      </c>
      <c r="C50" s="435" t="s">
        <v>845</v>
      </c>
      <c r="D50" s="438">
        <f>E50+F50</f>
        <v>33</v>
      </c>
      <c r="E50" s="438">
        <v>22</v>
      </c>
      <c r="F50" s="438">
        <v>11</v>
      </c>
      <c r="G50" s="438">
        <v>65.5</v>
      </c>
      <c r="H50" s="438">
        <f t="shared" ref="H50:H81" si="3">0.19*(D50+G50)</f>
        <v>18.715</v>
      </c>
      <c r="I50" s="438">
        <f t="shared" ref="I50:I81" si="4">D50+G50+H50</f>
        <v>117.215</v>
      </c>
      <c r="J50" s="438" t="e">
        <v>#N/A</v>
      </c>
      <c r="K50" s="438" t="e">
        <v>#N/A</v>
      </c>
      <c r="L50" s="438" t="e">
        <v>#N/A</v>
      </c>
      <c r="M50" s="438" t="e">
        <v>#N/A</v>
      </c>
      <c r="N50" s="438">
        <v>160</v>
      </c>
    </row>
    <row r="51" spans="1:14">
      <c r="A51">
        <v>50</v>
      </c>
      <c r="B51">
        <v>2009</v>
      </c>
      <c r="C51" s="435" t="s">
        <v>846</v>
      </c>
      <c r="D51" s="438">
        <f t="shared" ref="D51:D100" si="5">E51+F51</f>
        <v>36.200000000000003</v>
      </c>
      <c r="E51" s="438">
        <v>23.9</v>
      </c>
      <c r="F51" s="438">
        <v>12.3</v>
      </c>
      <c r="G51" s="438">
        <f t="shared" ref="G51:G82" si="6">G$50</f>
        <v>65.5</v>
      </c>
      <c r="H51" s="438">
        <f t="shared" si="3"/>
        <v>19.323</v>
      </c>
      <c r="I51" s="438">
        <f t="shared" si="4"/>
        <v>121.023</v>
      </c>
      <c r="J51" s="438" t="e">
        <v>#N/A</v>
      </c>
      <c r="K51" s="438" t="e">
        <v>#N/A</v>
      </c>
      <c r="L51" s="438" t="e">
        <v>#N/A</v>
      </c>
      <c r="M51" s="438" t="e">
        <v>#N/A</v>
      </c>
      <c r="N51" s="438">
        <v>160</v>
      </c>
    </row>
    <row r="52" spans="1:14">
      <c r="A52">
        <v>51</v>
      </c>
      <c r="B52">
        <v>2009</v>
      </c>
      <c r="C52" s="435" t="s">
        <v>847</v>
      </c>
      <c r="D52" s="438">
        <f t="shared" si="5"/>
        <v>34.900000000000006</v>
      </c>
      <c r="E52" s="438">
        <v>25.1</v>
      </c>
      <c r="F52" s="438">
        <v>9.8000000000000007</v>
      </c>
      <c r="G52" s="438">
        <f t="shared" si="6"/>
        <v>65.5</v>
      </c>
      <c r="H52" s="438">
        <f t="shared" si="3"/>
        <v>19.076000000000001</v>
      </c>
      <c r="I52" s="438">
        <f t="shared" si="4"/>
        <v>119.476</v>
      </c>
      <c r="J52" s="438">
        <f>I52</f>
        <v>119.476</v>
      </c>
      <c r="K52" s="438" t="e">
        <v>#N/A</v>
      </c>
      <c r="L52" s="438" t="e">
        <v>#N/A</v>
      </c>
      <c r="M52" s="438" t="e">
        <v>#N/A</v>
      </c>
      <c r="N52" s="438">
        <v>160</v>
      </c>
    </row>
    <row r="53" spans="1:14">
      <c r="A53">
        <v>52</v>
      </c>
      <c r="B53">
        <v>2009</v>
      </c>
      <c r="C53" s="435" t="s">
        <v>848</v>
      </c>
      <c r="D53" s="438">
        <f t="shared" si="5"/>
        <v>39.200000000000003</v>
      </c>
      <c r="E53" s="438">
        <v>27.5</v>
      </c>
      <c r="F53" s="438">
        <v>11.7</v>
      </c>
      <c r="G53" s="438">
        <f t="shared" si="6"/>
        <v>65.5</v>
      </c>
      <c r="H53" s="438">
        <f t="shared" si="3"/>
        <v>19.893000000000001</v>
      </c>
      <c r="I53" s="438">
        <f t="shared" si="4"/>
        <v>124.593</v>
      </c>
      <c r="J53" s="438">
        <f t="shared" ref="J53:J99" si="7">J52*(1+$T$119/12)</f>
        <v>120.1890175059104</v>
      </c>
      <c r="K53" s="438" t="e">
        <v>#N/A</v>
      </c>
      <c r="L53" s="438" t="e">
        <v>#N/A</v>
      </c>
      <c r="M53" s="438" t="e">
        <v>#N/A</v>
      </c>
      <c r="N53" s="438">
        <v>160</v>
      </c>
    </row>
    <row r="54" spans="1:14">
      <c r="A54">
        <v>53</v>
      </c>
      <c r="B54">
        <v>2009</v>
      </c>
      <c r="C54" s="435" t="s">
        <v>849</v>
      </c>
      <c r="D54" s="438">
        <f t="shared" si="5"/>
        <v>42</v>
      </c>
      <c r="E54" s="438">
        <v>32.299999999999997</v>
      </c>
      <c r="F54" s="438">
        <v>9.6999999999999993</v>
      </c>
      <c r="G54" s="438">
        <f t="shared" si="6"/>
        <v>65.5</v>
      </c>
      <c r="H54" s="438">
        <f t="shared" si="3"/>
        <v>20.425000000000001</v>
      </c>
      <c r="I54" s="438">
        <f t="shared" si="4"/>
        <v>127.925</v>
      </c>
      <c r="J54" s="438">
        <f t="shared" si="7"/>
        <v>120.90629020921388</v>
      </c>
      <c r="K54" s="438" t="e">
        <v>#N/A</v>
      </c>
      <c r="L54" s="438" t="e">
        <v>#N/A</v>
      </c>
      <c r="M54" s="438" t="e">
        <v>#N/A</v>
      </c>
      <c r="N54" s="438">
        <v>160</v>
      </c>
    </row>
    <row r="55" spans="1:14">
      <c r="A55">
        <v>54</v>
      </c>
      <c r="B55">
        <v>2009</v>
      </c>
      <c r="C55" s="435" t="s">
        <v>850</v>
      </c>
      <c r="D55" s="438">
        <f t="shared" si="5"/>
        <v>47.5</v>
      </c>
      <c r="E55" s="438">
        <v>36.1</v>
      </c>
      <c r="F55" s="438">
        <v>11.4</v>
      </c>
      <c r="G55" s="438">
        <f t="shared" si="6"/>
        <v>65.5</v>
      </c>
      <c r="H55" s="438">
        <f t="shared" si="3"/>
        <v>21.47</v>
      </c>
      <c r="I55" s="438">
        <f t="shared" si="4"/>
        <v>134.47</v>
      </c>
      <c r="J55" s="438">
        <f t="shared" si="7"/>
        <v>121.6278435043849</v>
      </c>
      <c r="K55" s="438" t="e">
        <v>#N/A</v>
      </c>
      <c r="L55" s="438" t="e">
        <v>#N/A</v>
      </c>
      <c r="M55" s="438" t="e">
        <v>#N/A</v>
      </c>
      <c r="N55" s="438">
        <v>160</v>
      </c>
    </row>
    <row r="56" spans="1:14">
      <c r="A56">
        <v>55</v>
      </c>
      <c r="B56">
        <v>2009</v>
      </c>
      <c r="C56" s="435" t="s">
        <v>851</v>
      </c>
      <c r="D56" s="438">
        <f t="shared" si="5"/>
        <v>42.4</v>
      </c>
      <c r="E56" s="438">
        <v>32.299999999999997</v>
      </c>
      <c r="F56" s="438">
        <v>10.1</v>
      </c>
      <c r="G56" s="438">
        <f t="shared" si="6"/>
        <v>65.5</v>
      </c>
      <c r="H56" s="438">
        <f t="shared" si="3"/>
        <v>20.501000000000001</v>
      </c>
      <c r="I56" s="438">
        <f t="shared" si="4"/>
        <v>128.40100000000001</v>
      </c>
      <c r="J56" s="438">
        <f t="shared" si="7"/>
        <v>122.35370293744893</v>
      </c>
      <c r="K56" s="438" t="e">
        <v>#N/A</v>
      </c>
      <c r="L56" s="438" t="e">
        <v>#N/A</v>
      </c>
      <c r="M56" s="438" t="e">
        <v>#N/A</v>
      </c>
      <c r="N56" s="438">
        <v>160</v>
      </c>
    </row>
    <row r="57" spans="1:14">
      <c r="A57">
        <v>56</v>
      </c>
      <c r="B57">
        <v>2009</v>
      </c>
      <c r="C57" s="435" t="s">
        <v>852</v>
      </c>
      <c r="D57" s="438">
        <f t="shared" si="5"/>
        <v>47.400000000000006</v>
      </c>
      <c r="E57" s="438">
        <v>36.1</v>
      </c>
      <c r="F57" s="438">
        <v>11.3</v>
      </c>
      <c r="G57" s="438">
        <f t="shared" si="6"/>
        <v>65.5</v>
      </c>
      <c r="H57" s="438">
        <f t="shared" si="3"/>
        <v>21.451000000000001</v>
      </c>
      <c r="I57" s="438">
        <f t="shared" si="4"/>
        <v>134.351</v>
      </c>
      <c r="J57" s="438">
        <f t="shared" si="7"/>
        <v>123.08389420688682</v>
      </c>
      <c r="K57" s="438" t="e">
        <v>#N/A</v>
      </c>
      <c r="L57" s="438" t="e">
        <v>#N/A</v>
      </c>
      <c r="M57" s="438" t="e">
        <v>#N/A</v>
      </c>
      <c r="N57" s="438">
        <v>160</v>
      </c>
    </row>
    <row r="58" spans="1:14">
      <c r="A58">
        <v>57</v>
      </c>
      <c r="B58">
        <v>2009</v>
      </c>
      <c r="C58" s="435" t="s">
        <v>853</v>
      </c>
      <c r="D58" s="438">
        <f t="shared" si="5"/>
        <v>44.2</v>
      </c>
      <c r="E58" s="438">
        <v>32</v>
      </c>
      <c r="F58" s="438">
        <v>12.2</v>
      </c>
      <c r="G58" s="438">
        <f t="shared" si="6"/>
        <v>65.5</v>
      </c>
      <c r="H58" s="438">
        <f t="shared" si="3"/>
        <v>20.843</v>
      </c>
      <c r="I58" s="438">
        <f t="shared" si="4"/>
        <v>130.54300000000001</v>
      </c>
      <c r="J58" s="438">
        <f t="shared" si="7"/>
        <v>123.81844316454472</v>
      </c>
      <c r="K58" s="438" t="e">
        <v>#N/A</v>
      </c>
      <c r="L58" s="438" t="e">
        <v>#N/A</v>
      </c>
      <c r="M58" s="438" t="e">
        <v>#N/A</v>
      </c>
      <c r="N58" s="438">
        <v>160</v>
      </c>
    </row>
    <row r="59" spans="1:14">
      <c r="A59">
        <v>58</v>
      </c>
      <c r="B59">
        <v>2009</v>
      </c>
      <c r="C59" s="435" t="s">
        <v>854</v>
      </c>
      <c r="D59" s="438">
        <f t="shared" si="5"/>
        <v>43.8</v>
      </c>
      <c r="E59" s="438">
        <v>33.1</v>
      </c>
      <c r="F59" s="438">
        <v>10.7</v>
      </c>
      <c r="G59" s="438">
        <f t="shared" si="6"/>
        <v>65.5</v>
      </c>
      <c r="H59" s="438">
        <f t="shared" si="3"/>
        <v>20.766999999999999</v>
      </c>
      <c r="I59" s="438">
        <f t="shared" si="4"/>
        <v>130.06700000000001</v>
      </c>
      <c r="J59" s="438">
        <f t="shared" si="7"/>
        <v>124.55737581654924</v>
      </c>
      <c r="K59" s="438" t="e">
        <v>#N/A</v>
      </c>
      <c r="L59" s="438" t="e">
        <v>#N/A</v>
      </c>
      <c r="M59" s="438" t="e">
        <v>#N/A</v>
      </c>
      <c r="N59" s="438">
        <v>160</v>
      </c>
    </row>
    <row r="60" spans="1:14">
      <c r="A60">
        <v>59</v>
      </c>
      <c r="B60">
        <v>2009</v>
      </c>
      <c r="C60" s="435" t="s">
        <v>855</v>
      </c>
      <c r="D60" s="438">
        <f t="shared" si="5"/>
        <v>46.800000000000004</v>
      </c>
      <c r="E60" s="438">
        <v>34.700000000000003</v>
      </c>
      <c r="F60" s="438">
        <v>12.1</v>
      </c>
      <c r="G60" s="438">
        <f t="shared" si="6"/>
        <v>65.5</v>
      </c>
      <c r="H60" s="438">
        <f t="shared" si="3"/>
        <v>21.337000000000003</v>
      </c>
      <c r="I60" s="438">
        <f t="shared" si="4"/>
        <v>133.637</v>
      </c>
      <c r="J60" s="438">
        <f t="shared" si="7"/>
        <v>125.30071832422827</v>
      </c>
      <c r="K60" s="438" t="e">
        <v>#N/A</v>
      </c>
      <c r="L60" s="438" t="e">
        <v>#N/A</v>
      </c>
      <c r="M60" s="438" t="e">
        <v>#N/A</v>
      </c>
      <c r="N60" s="438">
        <v>160</v>
      </c>
    </row>
    <row r="61" spans="1:14">
      <c r="A61">
        <v>60</v>
      </c>
      <c r="B61">
        <v>2009</v>
      </c>
      <c r="C61" s="435" t="s">
        <v>856</v>
      </c>
      <c r="D61" s="438">
        <f t="shared" si="5"/>
        <v>45.599999999999994</v>
      </c>
      <c r="E61" s="438">
        <v>33.9</v>
      </c>
      <c r="F61" s="438">
        <v>11.7</v>
      </c>
      <c r="G61" s="438">
        <f t="shared" si="6"/>
        <v>65.5</v>
      </c>
      <c r="H61" s="438">
        <f t="shared" si="3"/>
        <v>21.108999999999998</v>
      </c>
      <c r="I61" s="438">
        <f t="shared" si="4"/>
        <v>132.209</v>
      </c>
      <c r="J61" s="438">
        <f t="shared" si="7"/>
        <v>126.04849700503716</v>
      </c>
      <c r="K61" s="438" t="e">
        <v>#N/A</v>
      </c>
      <c r="L61" s="438" t="e">
        <v>#N/A</v>
      </c>
      <c r="M61" s="438" t="e">
        <v>#N/A</v>
      </c>
      <c r="N61" s="438">
        <v>160</v>
      </c>
    </row>
    <row r="62" spans="1:14">
      <c r="A62">
        <v>61</v>
      </c>
      <c r="B62">
        <v>2010</v>
      </c>
      <c r="C62" s="435" t="s">
        <v>845</v>
      </c>
      <c r="D62" s="438">
        <f t="shared" si="5"/>
        <v>49.599999999999994</v>
      </c>
      <c r="E62" s="438">
        <v>36.799999999999997</v>
      </c>
      <c r="F62" s="438">
        <v>12.8</v>
      </c>
      <c r="G62" s="438">
        <f t="shared" si="6"/>
        <v>65.5</v>
      </c>
      <c r="H62" s="438">
        <f t="shared" si="3"/>
        <v>21.869</v>
      </c>
      <c r="I62" s="438">
        <f t="shared" si="4"/>
        <v>136.96899999999999</v>
      </c>
      <c r="J62" s="438">
        <f t="shared" si="7"/>
        <v>126.80073833349046</v>
      </c>
      <c r="K62" s="438" t="e">
        <v>#N/A</v>
      </c>
      <c r="L62" s="438" t="e">
        <v>#N/A</v>
      </c>
      <c r="M62" s="438" t="e">
        <v>#N/A</v>
      </c>
      <c r="N62" s="438">
        <v>160</v>
      </c>
    </row>
    <row r="63" spans="1:14">
      <c r="A63">
        <v>62</v>
      </c>
      <c r="B63">
        <v>2010</v>
      </c>
      <c r="C63" s="435" t="s">
        <v>846</v>
      </c>
      <c r="D63" s="438">
        <f t="shared" si="5"/>
        <v>47.900000000000006</v>
      </c>
      <c r="E63" s="438">
        <v>37.700000000000003</v>
      </c>
      <c r="F63" s="438">
        <v>10.199999999999999</v>
      </c>
      <c r="G63" s="438">
        <f t="shared" si="6"/>
        <v>65.5</v>
      </c>
      <c r="H63" s="438">
        <f t="shared" si="3"/>
        <v>21.546000000000003</v>
      </c>
      <c r="I63" s="438">
        <f t="shared" si="4"/>
        <v>134.946</v>
      </c>
      <c r="J63" s="438">
        <f t="shared" si="7"/>
        <v>127.55746894209923</v>
      </c>
      <c r="K63" s="438" t="e">
        <v>#N/A</v>
      </c>
      <c r="L63" s="438" t="e">
        <v>#N/A</v>
      </c>
      <c r="M63" s="438" t="e">
        <v>#N/A</v>
      </c>
      <c r="N63" s="438">
        <v>160</v>
      </c>
    </row>
    <row r="64" spans="1:14">
      <c r="A64">
        <v>63</v>
      </c>
      <c r="B64">
        <v>2010</v>
      </c>
      <c r="C64" s="435" t="s">
        <v>847</v>
      </c>
      <c r="D64" s="438">
        <f t="shared" si="5"/>
        <v>54.300000000000004</v>
      </c>
      <c r="E64" s="438">
        <v>42.2</v>
      </c>
      <c r="F64" s="438">
        <v>12.1</v>
      </c>
      <c r="G64" s="438">
        <f t="shared" si="6"/>
        <v>65.5</v>
      </c>
      <c r="H64" s="438">
        <f t="shared" si="3"/>
        <v>22.762000000000004</v>
      </c>
      <c r="I64" s="438">
        <f t="shared" si="4"/>
        <v>142.56200000000001</v>
      </c>
      <c r="J64" s="438">
        <f t="shared" si="7"/>
        <v>128.31871562231399</v>
      </c>
      <c r="K64" s="438">
        <f>I64</f>
        <v>142.56200000000001</v>
      </c>
      <c r="L64" s="438" t="e">
        <v>#N/A</v>
      </c>
      <c r="M64" s="438" t="e">
        <v>#N/A</v>
      </c>
      <c r="N64" s="438">
        <v>160</v>
      </c>
    </row>
    <row r="65" spans="1:14">
      <c r="A65">
        <v>64</v>
      </c>
      <c r="B65">
        <v>2010</v>
      </c>
      <c r="C65" s="435" t="s">
        <v>848</v>
      </c>
      <c r="D65" s="438">
        <f t="shared" si="5"/>
        <v>56.1</v>
      </c>
      <c r="E65" s="438">
        <v>44</v>
      </c>
      <c r="F65" s="438">
        <v>12.1</v>
      </c>
      <c r="G65" s="438">
        <f t="shared" si="6"/>
        <v>65.5</v>
      </c>
      <c r="H65" s="438">
        <f t="shared" si="3"/>
        <v>23.103999999999999</v>
      </c>
      <c r="I65" s="438">
        <f t="shared" si="4"/>
        <v>144.70400000000001</v>
      </c>
      <c r="J65" s="438">
        <f t="shared" si="7"/>
        <v>129.0845053254732</v>
      </c>
      <c r="K65" s="438">
        <f t="shared" ref="K65:K99" si="8">K64*(1+$U$119/12)</f>
        <v>142.96469580217544</v>
      </c>
      <c r="L65" s="438" t="e">
        <v>#N/A</v>
      </c>
      <c r="M65" s="438" t="e">
        <v>#N/A</v>
      </c>
      <c r="N65" s="438">
        <v>160</v>
      </c>
    </row>
    <row r="66" spans="1:14">
      <c r="A66">
        <v>65</v>
      </c>
      <c r="B66">
        <v>2010</v>
      </c>
      <c r="C66" s="435" t="s">
        <v>849</v>
      </c>
      <c r="D66" s="438">
        <f t="shared" si="5"/>
        <v>55.8</v>
      </c>
      <c r="E66" s="438">
        <v>42.4</v>
      </c>
      <c r="F66" s="438">
        <v>13.4</v>
      </c>
      <c r="G66" s="438">
        <f t="shared" si="6"/>
        <v>65.5</v>
      </c>
      <c r="H66" s="438">
        <f t="shared" si="3"/>
        <v>23.047000000000001</v>
      </c>
      <c r="I66" s="438">
        <f t="shared" si="4"/>
        <v>144.34700000000001</v>
      </c>
      <c r="J66" s="438">
        <f t="shared" si="7"/>
        <v>129.85486516375744</v>
      </c>
      <c r="K66" s="438">
        <f t="shared" si="8"/>
        <v>143.36852910178419</v>
      </c>
      <c r="L66" s="438" t="e">
        <v>#N/A</v>
      </c>
      <c r="M66" s="438" t="e">
        <v>#N/A</v>
      </c>
      <c r="N66" s="438">
        <v>160</v>
      </c>
    </row>
    <row r="67" spans="1:14">
      <c r="A67">
        <v>66</v>
      </c>
      <c r="B67">
        <v>2010</v>
      </c>
      <c r="C67" s="435" t="s">
        <v>850</v>
      </c>
      <c r="D67" s="438">
        <f t="shared" si="5"/>
        <v>55.3</v>
      </c>
      <c r="E67" s="438">
        <v>42.6</v>
      </c>
      <c r="F67" s="438">
        <v>12.7</v>
      </c>
      <c r="G67" s="438">
        <f t="shared" si="6"/>
        <v>65.5</v>
      </c>
      <c r="H67" s="438">
        <f t="shared" si="3"/>
        <v>22.951999999999998</v>
      </c>
      <c r="I67" s="438">
        <f t="shared" si="4"/>
        <v>143.75200000000001</v>
      </c>
      <c r="J67" s="438">
        <f t="shared" si="7"/>
        <v>130.62982241114932</v>
      </c>
      <c r="K67" s="438">
        <f t="shared" si="8"/>
        <v>143.77350311192262</v>
      </c>
      <c r="L67" s="438" t="e">
        <v>#N/A</v>
      </c>
      <c r="M67" s="438" t="e">
        <v>#N/A</v>
      </c>
      <c r="N67" s="438">
        <v>160</v>
      </c>
    </row>
    <row r="68" spans="1:14">
      <c r="A68">
        <v>67</v>
      </c>
      <c r="B68">
        <v>2010</v>
      </c>
      <c r="C68" s="435" t="s">
        <v>851</v>
      </c>
      <c r="D68" s="438">
        <f t="shared" si="5"/>
        <v>53.400000000000006</v>
      </c>
      <c r="E68" s="438">
        <v>40.200000000000003</v>
      </c>
      <c r="F68" s="438">
        <v>13.2</v>
      </c>
      <c r="G68" s="438">
        <f t="shared" si="6"/>
        <v>65.5</v>
      </c>
      <c r="H68" s="438">
        <f t="shared" si="3"/>
        <v>22.591000000000001</v>
      </c>
      <c r="I68" s="438">
        <f t="shared" si="4"/>
        <v>141.49100000000001</v>
      </c>
      <c r="J68" s="438">
        <f t="shared" si="7"/>
        <v>131.40940450439916</v>
      </c>
      <c r="K68" s="438">
        <f t="shared" si="8"/>
        <v>144.17962105476312</v>
      </c>
      <c r="L68" s="438" t="e">
        <v>#N/A</v>
      </c>
      <c r="M68" s="438" t="e">
        <v>#N/A</v>
      </c>
      <c r="N68" s="438">
        <v>160</v>
      </c>
    </row>
    <row r="69" spans="1:14">
      <c r="A69">
        <v>68</v>
      </c>
      <c r="B69">
        <v>2010</v>
      </c>
      <c r="C69" s="435" t="s">
        <v>852</v>
      </c>
      <c r="D69" s="438">
        <f t="shared" si="5"/>
        <v>52.3</v>
      </c>
      <c r="E69" s="438">
        <v>39.799999999999997</v>
      </c>
      <c r="F69" s="438">
        <v>12.5</v>
      </c>
      <c r="G69" s="438">
        <f t="shared" si="6"/>
        <v>65.5</v>
      </c>
      <c r="H69" s="438">
        <f t="shared" si="3"/>
        <v>22.382000000000001</v>
      </c>
      <c r="I69" s="438">
        <f t="shared" si="4"/>
        <v>140.18199999999999</v>
      </c>
      <c r="J69" s="438">
        <f t="shared" si="7"/>
        <v>132.19363904399623</v>
      </c>
      <c r="K69" s="438">
        <f t="shared" si="8"/>
        <v>144.5868861615798</v>
      </c>
      <c r="L69" s="438" t="e">
        <v>#N/A</v>
      </c>
      <c r="M69" s="438" t="e">
        <v>#N/A</v>
      </c>
      <c r="N69" s="438">
        <v>160</v>
      </c>
    </row>
    <row r="70" spans="1:14">
      <c r="A70">
        <v>69</v>
      </c>
      <c r="B70">
        <v>2010</v>
      </c>
      <c r="C70" s="435" t="s">
        <v>853</v>
      </c>
      <c r="D70" s="438">
        <f t="shared" si="5"/>
        <v>52.5</v>
      </c>
      <c r="E70" s="438">
        <v>39.9</v>
      </c>
      <c r="F70" s="438">
        <v>12.6</v>
      </c>
      <c r="G70" s="438">
        <f t="shared" si="6"/>
        <v>65.5</v>
      </c>
      <c r="H70" s="438">
        <f t="shared" si="3"/>
        <v>22.42</v>
      </c>
      <c r="I70" s="438">
        <f t="shared" si="4"/>
        <v>140.42000000000002</v>
      </c>
      <c r="J70" s="438">
        <f t="shared" si="7"/>
        <v>132.982553795146</v>
      </c>
      <c r="K70" s="438">
        <f t="shared" si="8"/>
        <v>144.99530167277413</v>
      </c>
      <c r="L70" s="438" t="e">
        <v>#N/A</v>
      </c>
      <c r="M70" s="438" t="e">
        <v>#N/A</v>
      </c>
      <c r="N70" s="438">
        <v>160</v>
      </c>
    </row>
    <row r="71" spans="1:14">
      <c r="A71">
        <v>70</v>
      </c>
      <c r="B71">
        <v>2010</v>
      </c>
      <c r="C71" s="435" t="s">
        <v>854</v>
      </c>
      <c r="D71" s="438">
        <f t="shared" si="5"/>
        <v>52.400000000000006</v>
      </c>
      <c r="E71" s="438">
        <v>40.700000000000003</v>
      </c>
      <c r="F71" s="438">
        <v>11.7</v>
      </c>
      <c r="G71" s="438">
        <f t="shared" si="6"/>
        <v>65.5</v>
      </c>
      <c r="H71" s="438">
        <f t="shared" si="3"/>
        <v>22.401</v>
      </c>
      <c r="I71" s="438">
        <f t="shared" si="4"/>
        <v>140.30100000000002</v>
      </c>
      <c r="J71" s="438">
        <f t="shared" si="7"/>
        <v>133.77617668875317</v>
      </c>
      <c r="K71" s="438">
        <f t="shared" si="8"/>
        <v>145.4048708379008</v>
      </c>
      <c r="L71" s="438" t="e">
        <v>#N/A</v>
      </c>
      <c r="M71" s="438" t="e">
        <v>#N/A</v>
      </c>
      <c r="N71" s="438">
        <v>160</v>
      </c>
    </row>
    <row r="72" spans="1:14">
      <c r="A72">
        <v>71</v>
      </c>
      <c r="B72">
        <v>2010</v>
      </c>
      <c r="C72" s="435" t="s">
        <v>855</v>
      </c>
      <c r="D72" s="438">
        <f t="shared" si="5"/>
        <v>53.2</v>
      </c>
      <c r="E72" s="438">
        <v>42</v>
      </c>
      <c r="F72" s="438">
        <v>11.2</v>
      </c>
      <c r="G72" s="438">
        <f t="shared" si="6"/>
        <v>65.5</v>
      </c>
      <c r="H72" s="438">
        <f t="shared" si="3"/>
        <v>22.553000000000001</v>
      </c>
      <c r="I72" s="438">
        <f t="shared" si="4"/>
        <v>141.25300000000001</v>
      </c>
      <c r="J72" s="438">
        <f t="shared" si="7"/>
        <v>134.5745358224105</v>
      </c>
      <c r="K72" s="438">
        <f t="shared" si="8"/>
        <v>145.8155969156935</v>
      </c>
      <c r="L72" s="438" t="e">
        <v>#N/A</v>
      </c>
      <c r="M72" s="438" t="e">
        <v>#N/A</v>
      </c>
      <c r="N72" s="438">
        <v>160</v>
      </c>
    </row>
    <row r="73" spans="1:14">
      <c r="A73">
        <v>72</v>
      </c>
      <c r="B73">
        <v>2010</v>
      </c>
      <c r="C73" s="435" t="s">
        <v>856</v>
      </c>
      <c r="D73" s="438">
        <f t="shared" si="5"/>
        <v>58.1</v>
      </c>
      <c r="E73" s="438">
        <v>47</v>
      </c>
      <c r="F73" s="438">
        <v>11.1</v>
      </c>
      <c r="G73" s="438">
        <f t="shared" si="6"/>
        <v>65.5</v>
      </c>
      <c r="H73" s="438">
        <f t="shared" si="3"/>
        <v>23.483999999999998</v>
      </c>
      <c r="I73" s="438">
        <f t="shared" si="4"/>
        <v>147.084</v>
      </c>
      <c r="J73" s="438">
        <f t="shared" si="7"/>
        <v>135.37765946139359</v>
      </c>
      <c r="K73" s="438">
        <f t="shared" si="8"/>
        <v>146.22748317409093</v>
      </c>
      <c r="L73" s="438" t="e">
        <v>#N/A</v>
      </c>
      <c r="M73" s="438" t="e">
        <v>#N/A</v>
      </c>
      <c r="N73" s="438">
        <v>160</v>
      </c>
    </row>
    <row r="74" spans="1:14">
      <c r="A74">
        <v>73</v>
      </c>
      <c r="B74">
        <v>2011</v>
      </c>
      <c r="C74" s="435" t="s">
        <v>845</v>
      </c>
      <c r="D74" s="438">
        <f t="shared" si="5"/>
        <v>59.9</v>
      </c>
      <c r="E74" s="438">
        <v>48</v>
      </c>
      <c r="F74" s="438">
        <v>11.9</v>
      </c>
      <c r="G74" s="438">
        <f t="shared" si="6"/>
        <v>65.5</v>
      </c>
      <c r="H74" s="438">
        <f t="shared" si="3"/>
        <v>23.826000000000001</v>
      </c>
      <c r="I74" s="438">
        <f t="shared" si="4"/>
        <v>149.226</v>
      </c>
      <c r="J74" s="438">
        <f t="shared" si="7"/>
        <v>136.18557603966161</v>
      </c>
      <c r="K74" s="438">
        <f t="shared" si="8"/>
        <v>146.64053289026273</v>
      </c>
      <c r="L74" s="438" t="e">
        <v>#N/A</v>
      </c>
      <c r="M74" s="438" t="e">
        <v>#N/A</v>
      </c>
      <c r="N74" s="438">
        <v>160</v>
      </c>
    </row>
    <row r="75" spans="1:14">
      <c r="A75">
        <v>74</v>
      </c>
      <c r="B75">
        <v>2011</v>
      </c>
      <c r="C75" s="435" t="s">
        <v>846</v>
      </c>
      <c r="D75" s="438">
        <f t="shared" si="5"/>
        <v>58.6</v>
      </c>
      <c r="E75" s="438">
        <v>49.1</v>
      </c>
      <c r="F75" s="438">
        <v>9.5</v>
      </c>
      <c r="G75" s="438">
        <f t="shared" si="6"/>
        <v>65.5</v>
      </c>
      <c r="H75" s="438">
        <f t="shared" si="3"/>
        <v>23.579000000000001</v>
      </c>
      <c r="I75" s="438">
        <f t="shared" si="4"/>
        <v>147.679</v>
      </c>
      <c r="J75" s="438">
        <f t="shared" si="7"/>
        <v>136.99831416086394</v>
      </c>
      <c r="K75" s="438">
        <f t="shared" si="8"/>
        <v>147.0547493506356</v>
      </c>
      <c r="L75" s="438" t="e">
        <v>#N/A</v>
      </c>
      <c r="M75" s="438" t="e">
        <v>#N/A</v>
      </c>
      <c r="N75" s="438">
        <v>160</v>
      </c>
    </row>
    <row r="76" spans="1:14">
      <c r="A76">
        <v>75</v>
      </c>
      <c r="B76">
        <v>2011</v>
      </c>
      <c r="C76" s="435" t="s">
        <v>847</v>
      </c>
      <c r="D76" s="438">
        <f t="shared" si="5"/>
        <v>65.3</v>
      </c>
      <c r="E76" s="438">
        <v>52.8</v>
      </c>
      <c r="F76" s="438">
        <v>12.5</v>
      </c>
      <c r="G76" s="438">
        <f t="shared" si="6"/>
        <v>65.5</v>
      </c>
      <c r="H76" s="438">
        <f t="shared" si="3"/>
        <v>24.852000000000004</v>
      </c>
      <c r="I76" s="438">
        <f t="shared" si="4"/>
        <v>155.65200000000002</v>
      </c>
      <c r="J76" s="438">
        <f t="shared" si="7"/>
        <v>137.81590259935291</v>
      </c>
      <c r="K76" s="438">
        <f t="shared" si="8"/>
        <v>147.47013585091943</v>
      </c>
      <c r="L76" s="438">
        <f>I76</f>
        <v>155.65200000000002</v>
      </c>
      <c r="M76" s="438" t="e">
        <v>#N/A</v>
      </c>
      <c r="N76" s="438">
        <v>160</v>
      </c>
    </row>
    <row r="77" spans="1:14">
      <c r="A77">
        <v>76</v>
      </c>
      <c r="B77">
        <v>2011</v>
      </c>
      <c r="C77" s="435" t="s">
        <v>848</v>
      </c>
      <c r="D77" s="438">
        <f t="shared" si="5"/>
        <v>69</v>
      </c>
      <c r="E77" s="438">
        <v>57.3</v>
      </c>
      <c r="F77" s="438">
        <v>11.7</v>
      </c>
      <c r="G77" s="438">
        <f t="shared" si="6"/>
        <v>65.5</v>
      </c>
      <c r="H77" s="438">
        <f t="shared" si="3"/>
        <v>25.555</v>
      </c>
      <c r="I77" s="438">
        <f t="shared" si="4"/>
        <v>160.05500000000001</v>
      </c>
      <c r="J77" s="438">
        <f t="shared" si="7"/>
        <v>138.63837030120251</v>
      </c>
      <c r="K77" s="438">
        <f t="shared" si="8"/>
        <v>147.8866956961335</v>
      </c>
      <c r="L77" s="438">
        <f t="shared" ref="L77:L99" si="9">L76*(1+$V$119/12)</f>
        <v>155.73109219635376</v>
      </c>
      <c r="M77" s="438" t="e">
        <v>#N/A</v>
      </c>
      <c r="N77" s="438">
        <v>160</v>
      </c>
    </row>
    <row r="78" spans="1:14">
      <c r="A78">
        <v>77</v>
      </c>
      <c r="B78">
        <v>2011</v>
      </c>
      <c r="C78" s="435" t="s">
        <v>849</v>
      </c>
      <c r="D78" s="438">
        <f t="shared" si="5"/>
        <v>69.5</v>
      </c>
      <c r="E78" s="438">
        <v>55.6</v>
      </c>
      <c r="F78" s="438">
        <v>13.9</v>
      </c>
      <c r="G78" s="438">
        <f t="shared" si="6"/>
        <v>65.5</v>
      </c>
      <c r="H78" s="438">
        <f t="shared" si="3"/>
        <v>25.65</v>
      </c>
      <c r="I78" s="438">
        <f t="shared" si="4"/>
        <v>160.65</v>
      </c>
      <c r="J78" s="438">
        <f t="shared" si="7"/>
        <v>139.46574638523316</v>
      </c>
      <c r="K78" s="438">
        <f t="shared" si="8"/>
        <v>148.30443220063279</v>
      </c>
      <c r="L78" s="438">
        <f t="shared" si="9"/>
        <v>155.81022458220411</v>
      </c>
      <c r="M78" s="438" t="e">
        <v>#N/A</v>
      </c>
      <c r="N78" s="438">
        <v>160</v>
      </c>
    </row>
    <row r="79" spans="1:14">
      <c r="A79">
        <v>78</v>
      </c>
      <c r="B79">
        <v>2011</v>
      </c>
      <c r="C79" s="435" t="s">
        <v>850</v>
      </c>
      <c r="D79" s="438">
        <f t="shared" si="5"/>
        <v>65.8</v>
      </c>
      <c r="E79" s="438">
        <v>52.1</v>
      </c>
      <c r="F79" s="438">
        <v>13.7</v>
      </c>
      <c r="G79" s="438">
        <f t="shared" si="6"/>
        <v>65.5</v>
      </c>
      <c r="H79" s="438">
        <f t="shared" si="3"/>
        <v>24.947000000000003</v>
      </c>
      <c r="I79" s="438">
        <f t="shared" si="4"/>
        <v>156.24700000000001</v>
      </c>
      <c r="J79" s="438">
        <f t="shared" si="7"/>
        <v>140.29806014404272</v>
      </c>
      <c r="K79" s="438">
        <f t="shared" si="8"/>
        <v>148.72334868813442</v>
      </c>
      <c r="L79" s="438">
        <f t="shared" si="9"/>
        <v>155.88939717797274</v>
      </c>
      <c r="M79" s="438" t="e">
        <v>#N/A</v>
      </c>
      <c r="N79" s="438">
        <v>160</v>
      </c>
    </row>
    <row r="80" spans="1:14">
      <c r="A80">
        <v>79</v>
      </c>
      <c r="B80">
        <v>2011</v>
      </c>
      <c r="C80" s="435" t="s">
        <v>851</v>
      </c>
      <c r="D80" s="438">
        <f t="shared" si="5"/>
        <v>66.900000000000006</v>
      </c>
      <c r="E80" s="438">
        <v>55.1</v>
      </c>
      <c r="F80" s="438">
        <v>11.8</v>
      </c>
      <c r="G80" s="438">
        <f t="shared" si="6"/>
        <v>65.5</v>
      </c>
      <c r="H80" s="438">
        <f t="shared" si="3"/>
        <v>25.156000000000002</v>
      </c>
      <c r="I80" s="438">
        <f t="shared" si="4"/>
        <v>157.55600000000001</v>
      </c>
      <c r="J80" s="438">
        <f t="shared" si="7"/>
        <v>141.13534104504353</v>
      </c>
      <c r="K80" s="438">
        <f t="shared" si="8"/>
        <v>149.14344849174398</v>
      </c>
      <c r="L80" s="438">
        <f t="shared" si="9"/>
        <v>155.96861000409169</v>
      </c>
      <c r="M80" s="438" t="e">
        <v>#N/A</v>
      </c>
      <c r="N80" s="438">
        <v>160</v>
      </c>
    </row>
    <row r="81" spans="1:14">
      <c r="A81">
        <v>80</v>
      </c>
      <c r="B81">
        <v>2011</v>
      </c>
      <c r="C81" s="435" t="s">
        <v>852</v>
      </c>
      <c r="D81" s="438">
        <f t="shared" si="5"/>
        <v>64.400000000000006</v>
      </c>
      <c r="E81" s="438">
        <v>52.4</v>
      </c>
      <c r="F81" s="438">
        <v>12</v>
      </c>
      <c r="G81" s="438">
        <f t="shared" si="6"/>
        <v>65.5</v>
      </c>
      <c r="H81" s="438">
        <f t="shared" si="3"/>
        <v>24.681000000000001</v>
      </c>
      <c r="I81" s="438">
        <f t="shared" si="4"/>
        <v>154.58100000000002</v>
      </c>
      <c r="J81" s="438">
        <f t="shared" si="7"/>
        <v>141.97761873150569</v>
      </c>
      <c r="K81" s="438">
        <f t="shared" si="8"/>
        <v>149.56473495398211</v>
      </c>
      <c r="L81" s="438">
        <f t="shared" si="9"/>
        <v>156.04786308100341</v>
      </c>
      <c r="M81" s="438" t="e">
        <v>#N/A</v>
      </c>
      <c r="N81" s="438">
        <v>160</v>
      </c>
    </row>
    <row r="82" spans="1:14">
      <c r="A82">
        <v>81</v>
      </c>
      <c r="B82">
        <v>2011</v>
      </c>
      <c r="C82" s="435" t="s">
        <v>853</v>
      </c>
      <c r="D82" s="438">
        <f t="shared" si="5"/>
        <v>68</v>
      </c>
      <c r="E82" s="438">
        <v>55</v>
      </c>
      <c r="F82" s="438">
        <v>13</v>
      </c>
      <c r="G82" s="438">
        <f t="shared" si="6"/>
        <v>65.5</v>
      </c>
      <c r="H82" s="438">
        <f t="shared" ref="H82:H100" si="10">0.19*(D82+G82)</f>
        <v>25.365000000000002</v>
      </c>
      <c r="I82" s="438">
        <f t="shared" ref="I82:I100" si="11">D82+G82+H82</f>
        <v>158.86500000000001</v>
      </c>
      <c r="J82" s="438">
        <f t="shared" si="7"/>
        <v>142.82492302360649</v>
      </c>
      <c r="K82" s="438">
        <f t="shared" si="8"/>
        <v>149.98721142681111</v>
      </c>
      <c r="L82" s="438">
        <f t="shared" si="9"/>
        <v>156.12715642916075</v>
      </c>
      <c r="M82" s="438" t="e">
        <v>#N/A</v>
      </c>
      <c r="N82" s="438">
        <v>160</v>
      </c>
    </row>
    <row r="83" spans="1:14">
      <c r="A83">
        <v>82</v>
      </c>
      <c r="B83">
        <v>2011</v>
      </c>
      <c r="C83" s="435" t="s">
        <v>854</v>
      </c>
      <c r="D83" s="438">
        <f t="shared" si="5"/>
        <v>66.2</v>
      </c>
      <c r="E83" s="438">
        <v>52</v>
      </c>
      <c r="F83" s="438">
        <v>14.2</v>
      </c>
      <c r="G83" s="438">
        <f t="shared" ref="G83:G100" si="12">G$50</f>
        <v>65.5</v>
      </c>
      <c r="H83" s="438">
        <f t="shared" si="10"/>
        <v>25.023</v>
      </c>
      <c r="I83" s="438">
        <f t="shared" si="11"/>
        <v>156.72299999999998</v>
      </c>
      <c r="J83" s="438">
        <f t="shared" si="7"/>
        <v>143.67728391948631</v>
      </c>
      <c r="K83" s="438">
        <f t="shared" si="8"/>
        <v>150.41088127166162</v>
      </c>
      <c r="L83" s="438">
        <f t="shared" si="9"/>
        <v>156.2064900690269</v>
      </c>
      <c r="M83" s="438" t="e">
        <v>#N/A</v>
      </c>
      <c r="N83" s="438">
        <v>160</v>
      </c>
    </row>
    <row r="84" spans="1:14">
      <c r="A84">
        <v>83</v>
      </c>
      <c r="B84">
        <v>2011</v>
      </c>
      <c r="C84" s="435" t="s">
        <v>855</v>
      </c>
      <c r="D84" s="438">
        <f t="shared" si="5"/>
        <v>64.900000000000006</v>
      </c>
      <c r="E84" s="438">
        <v>50.6</v>
      </c>
      <c r="F84" s="438">
        <v>14.3</v>
      </c>
      <c r="G84" s="438">
        <f t="shared" si="12"/>
        <v>65.5</v>
      </c>
      <c r="H84" s="438">
        <f t="shared" si="10"/>
        <v>24.776</v>
      </c>
      <c r="I84" s="438">
        <f t="shared" si="11"/>
        <v>155.17600000000002</v>
      </c>
      <c r="J84" s="438">
        <f t="shared" si="7"/>
        <v>144.53473159631056</v>
      </c>
      <c r="K84" s="438">
        <f t="shared" si="8"/>
        <v>150.83574785945925</v>
      </c>
      <c r="L84" s="438">
        <f t="shared" si="9"/>
        <v>156.2858640210755</v>
      </c>
      <c r="M84" s="438" t="e">
        <v>#N/A</v>
      </c>
      <c r="N84" s="438">
        <v>160</v>
      </c>
    </row>
    <row r="85" spans="1:14">
      <c r="A85">
        <v>84</v>
      </c>
      <c r="B85">
        <v>2011</v>
      </c>
      <c r="C85" s="435" t="s">
        <v>856</v>
      </c>
      <c r="D85" s="438">
        <f t="shared" si="5"/>
        <v>63.099999999999994</v>
      </c>
      <c r="E85" s="438">
        <v>51.9</v>
      </c>
      <c r="F85" s="438">
        <v>11.2</v>
      </c>
      <c r="G85" s="438">
        <f t="shared" si="12"/>
        <v>65.5</v>
      </c>
      <c r="H85" s="438">
        <f t="shared" si="10"/>
        <v>24.433999999999997</v>
      </c>
      <c r="I85" s="438">
        <f t="shared" si="11"/>
        <v>153.03399999999999</v>
      </c>
      <c r="J85" s="438">
        <f t="shared" si="7"/>
        <v>145.39729641133812</v>
      </c>
      <c r="K85" s="438">
        <f t="shared" si="8"/>
        <v>151.26181457065155</v>
      </c>
      <c r="L85" s="438">
        <f t="shared" si="9"/>
        <v>156.36527830579055</v>
      </c>
      <c r="M85" s="438" t="e">
        <v>#N/A</v>
      </c>
      <c r="N85" s="438">
        <v>160</v>
      </c>
    </row>
    <row r="86" spans="1:14">
      <c r="A86">
        <v>85</v>
      </c>
      <c r="B86">
        <v>2012</v>
      </c>
      <c r="C86" s="435" t="s">
        <v>845</v>
      </c>
      <c r="D86" s="438">
        <f t="shared" si="5"/>
        <v>66.990000000000009</v>
      </c>
      <c r="E86" s="438">
        <v>56.1</v>
      </c>
      <c r="F86" s="438">
        <v>10.89</v>
      </c>
      <c r="G86" s="438">
        <f t="shared" si="12"/>
        <v>65.5</v>
      </c>
      <c r="H86" s="438">
        <f t="shared" si="10"/>
        <v>25.173100000000002</v>
      </c>
      <c r="I86" s="438">
        <f t="shared" si="11"/>
        <v>157.66310000000001</v>
      </c>
      <c r="J86" s="438">
        <f t="shared" si="7"/>
        <v>146.2650089029961</v>
      </c>
      <c r="K86" s="438">
        <f t="shared" si="8"/>
        <v>151.68908479523483</v>
      </c>
      <c r="L86" s="438">
        <f t="shared" si="9"/>
        <v>156.44473294366651</v>
      </c>
      <c r="M86" s="438" t="e">
        <v>#N/A</v>
      </c>
      <c r="N86" s="438">
        <v>160</v>
      </c>
    </row>
    <row r="87" spans="1:14">
      <c r="A87">
        <v>86</v>
      </c>
      <c r="B87">
        <v>2012</v>
      </c>
      <c r="C87" s="435" t="s">
        <v>846</v>
      </c>
      <c r="D87" s="438">
        <f t="shared" si="5"/>
        <v>70.31</v>
      </c>
      <c r="E87" s="438">
        <v>59.23</v>
      </c>
      <c r="F87" s="438">
        <v>11.08</v>
      </c>
      <c r="G87" s="438">
        <f t="shared" si="12"/>
        <v>65.5</v>
      </c>
      <c r="H87" s="438">
        <f t="shared" si="10"/>
        <v>25.803900000000002</v>
      </c>
      <c r="I87" s="438">
        <f t="shared" si="11"/>
        <v>161.6139</v>
      </c>
      <c r="J87" s="438">
        <f t="shared" si="7"/>
        <v>147.13789979196105</v>
      </c>
      <c r="K87" s="438">
        <f t="shared" si="8"/>
        <v>152.11756193278111</v>
      </c>
      <c r="L87" s="438">
        <f t="shared" si="9"/>
        <v>156.52422795520823</v>
      </c>
      <c r="M87" s="438" t="e">
        <v>#N/A</v>
      </c>
      <c r="N87" s="438">
        <v>160</v>
      </c>
    </row>
    <row r="88" spans="1:14">
      <c r="A88">
        <v>87</v>
      </c>
      <c r="B88">
        <v>2012</v>
      </c>
      <c r="C88" s="435" t="s">
        <v>847</v>
      </c>
      <c r="D88" s="438">
        <f t="shared" si="5"/>
        <v>75.89</v>
      </c>
      <c r="E88" s="438">
        <v>64.89</v>
      </c>
      <c r="F88" s="438">
        <v>11</v>
      </c>
      <c r="G88" s="438">
        <f t="shared" si="12"/>
        <v>65.5</v>
      </c>
      <c r="H88" s="438">
        <f t="shared" si="10"/>
        <v>26.864099999999997</v>
      </c>
      <c r="I88" s="438">
        <f t="shared" si="11"/>
        <v>168.25409999999999</v>
      </c>
      <c r="J88" s="438">
        <f t="shared" si="7"/>
        <v>148.01599998224663</v>
      </c>
      <c r="K88" s="438">
        <f t="shared" si="8"/>
        <v>152.54724939246526</v>
      </c>
      <c r="L88" s="438">
        <f t="shared" si="9"/>
        <v>156.60376336093094</v>
      </c>
      <c r="M88" s="438">
        <f>I88</f>
        <v>168.25409999999999</v>
      </c>
      <c r="N88" s="438">
        <v>160</v>
      </c>
    </row>
    <row r="89" spans="1:14">
      <c r="A89">
        <v>88</v>
      </c>
      <c r="B89">
        <v>2012</v>
      </c>
      <c r="C89" s="435" t="s">
        <v>848</v>
      </c>
      <c r="D89" s="438">
        <f t="shared" si="5"/>
        <v>78.33</v>
      </c>
      <c r="E89" s="438">
        <v>65.16</v>
      </c>
      <c r="F89" s="438">
        <v>13.17</v>
      </c>
      <c r="G89" s="438">
        <f t="shared" si="12"/>
        <v>65.5</v>
      </c>
      <c r="H89" s="438">
        <f t="shared" si="10"/>
        <v>27.327699999999997</v>
      </c>
      <c r="I89" s="438">
        <f t="shared" si="11"/>
        <v>171.15769999999998</v>
      </c>
      <c r="J89" s="438">
        <f t="shared" si="7"/>
        <v>148.89934056229765</v>
      </c>
      <c r="K89" s="438">
        <f t="shared" si="8"/>
        <v>152.97815059309204</v>
      </c>
      <c r="L89" s="438">
        <f t="shared" si="9"/>
        <v>156.68333918136034</v>
      </c>
      <c r="M89" s="438">
        <f t="shared" ref="M89:M99" si="13">M88*(1+$W$119/12)</f>
        <v>167.36259166666665</v>
      </c>
      <c r="N89" s="438">
        <v>160</v>
      </c>
    </row>
    <row r="90" spans="1:14">
      <c r="A90">
        <v>89</v>
      </c>
      <c r="B90">
        <v>2012</v>
      </c>
      <c r="C90" s="435" t="s">
        <v>849</v>
      </c>
      <c r="D90" s="438">
        <f t="shared" si="5"/>
        <v>73.400000000000006</v>
      </c>
      <c r="E90" s="438">
        <v>59.34</v>
      </c>
      <c r="F90" s="438">
        <v>14.06</v>
      </c>
      <c r="G90" s="438">
        <f t="shared" si="12"/>
        <v>65.5</v>
      </c>
      <c r="H90" s="438">
        <f t="shared" si="10"/>
        <v>26.391000000000002</v>
      </c>
      <c r="I90" s="438">
        <f t="shared" si="11"/>
        <v>165.291</v>
      </c>
      <c r="J90" s="438">
        <f t="shared" si="7"/>
        <v>149.78795280609083</v>
      </c>
      <c r="K90" s="438">
        <f t="shared" si="8"/>
        <v>153.41026896312331</v>
      </c>
      <c r="L90" s="438">
        <f t="shared" si="9"/>
        <v>156.76295543703256</v>
      </c>
      <c r="M90" s="438">
        <f t="shared" si="13"/>
        <v>166.47580706433541</v>
      </c>
      <c r="N90" s="438">
        <v>160</v>
      </c>
    </row>
    <row r="91" spans="1:14">
      <c r="A91">
        <v>90</v>
      </c>
      <c r="B91">
        <v>2012</v>
      </c>
      <c r="C91" s="435" t="s">
        <v>850</v>
      </c>
      <c r="D91" s="438">
        <f t="shared" si="5"/>
        <v>69.489999999999995</v>
      </c>
      <c r="E91" s="438">
        <v>54.9</v>
      </c>
      <c r="F91" s="438">
        <v>14.59</v>
      </c>
      <c r="G91" s="438">
        <f t="shared" si="12"/>
        <v>65.5</v>
      </c>
      <c r="H91" s="438">
        <f t="shared" si="10"/>
        <v>25.648100000000003</v>
      </c>
      <c r="I91" s="438">
        <f t="shared" si="11"/>
        <v>160.63810000000001</v>
      </c>
      <c r="J91" s="438">
        <f t="shared" si="7"/>
        <v>150.68186817424197</v>
      </c>
      <c r="K91" s="438">
        <f t="shared" si="8"/>
        <v>153.84360794070537</v>
      </c>
      <c r="L91" s="438">
        <f t="shared" si="9"/>
        <v>156.84261214849414</v>
      </c>
      <c r="M91" s="438">
        <f t="shared" si="13"/>
        <v>165.59372116392498</v>
      </c>
      <c r="N91" s="438">
        <v>160</v>
      </c>
    </row>
    <row r="92" spans="1:14">
      <c r="A92">
        <v>91</v>
      </c>
      <c r="B92">
        <v>2012</v>
      </c>
      <c r="C92" s="435" t="s">
        <v>851</v>
      </c>
      <c r="D92" s="438">
        <f t="shared" si="5"/>
        <v>71.14</v>
      </c>
      <c r="E92" s="438">
        <v>59.77</v>
      </c>
      <c r="F92" s="438">
        <v>11.37</v>
      </c>
      <c r="G92" s="438">
        <f t="shared" si="12"/>
        <v>65.5</v>
      </c>
      <c r="H92" s="438">
        <f t="shared" si="10"/>
        <v>25.961599999999997</v>
      </c>
      <c r="I92" s="438">
        <f t="shared" si="11"/>
        <v>162.60159999999999</v>
      </c>
      <c r="J92" s="438">
        <f t="shared" si="7"/>
        <v>151.5811183151198</v>
      </c>
      <c r="K92" s="438">
        <f t="shared" si="8"/>
        <v>154.27817097369623</v>
      </c>
      <c r="L92" s="438">
        <f t="shared" si="9"/>
        <v>156.92230933630211</v>
      </c>
      <c r="M92" s="438">
        <f t="shared" si="13"/>
        <v>164.71630906897266</v>
      </c>
      <c r="N92" s="438">
        <v>160</v>
      </c>
    </row>
    <row r="93" spans="1:14">
      <c r="A93">
        <v>92</v>
      </c>
      <c r="B93">
        <v>2012</v>
      </c>
      <c r="C93" s="435" t="s">
        <v>852</v>
      </c>
      <c r="D93" s="438">
        <f t="shared" si="5"/>
        <v>76.89</v>
      </c>
      <c r="E93" s="438">
        <v>65.290000000000006</v>
      </c>
      <c r="F93" s="438">
        <v>11.6</v>
      </c>
      <c r="G93" s="438">
        <f t="shared" si="12"/>
        <v>65.5</v>
      </c>
      <c r="H93" s="438">
        <f t="shared" si="10"/>
        <v>27.054099999999998</v>
      </c>
      <c r="I93" s="438">
        <f t="shared" si="11"/>
        <v>169.44409999999999</v>
      </c>
      <c r="J93" s="438">
        <f t="shared" si="7"/>
        <v>152.48573506596645</v>
      </c>
      <c r="K93" s="438">
        <f t="shared" si="8"/>
        <v>154.71396151969316</v>
      </c>
      <c r="L93" s="438">
        <f t="shared" si="9"/>
        <v>157.00204702102386</v>
      </c>
      <c r="M93" s="438">
        <f t="shared" si="13"/>
        <v>163.84354601493177</v>
      </c>
      <c r="N93" s="438">
        <v>160</v>
      </c>
    </row>
    <row r="94" spans="1:14">
      <c r="A94">
        <v>93</v>
      </c>
      <c r="B94">
        <v>2012</v>
      </c>
      <c r="C94" s="435" t="s">
        <v>853</v>
      </c>
      <c r="D94" s="438">
        <f t="shared" si="5"/>
        <v>80.490000000000009</v>
      </c>
      <c r="E94" s="438">
        <v>65.06</v>
      </c>
      <c r="F94" s="438">
        <v>15.43</v>
      </c>
      <c r="G94" s="438">
        <f t="shared" si="12"/>
        <v>65.5</v>
      </c>
      <c r="H94" s="438">
        <f t="shared" si="10"/>
        <v>27.738100000000003</v>
      </c>
      <c r="I94" s="438">
        <f t="shared" si="11"/>
        <v>173.72810000000001</v>
      </c>
      <c r="J94" s="438">
        <f t="shared" si="7"/>
        <v>153.39575045402472</v>
      </c>
      <c r="K94" s="438">
        <f t="shared" si="8"/>
        <v>155.15098304606002</v>
      </c>
      <c r="L94" s="438">
        <f t="shared" si="9"/>
        <v>157.0818252232373</v>
      </c>
      <c r="M94" s="438">
        <f t="shared" si="13"/>
        <v>162.97540736847267</v>
      </c>
      <c r="N94" s="438">
        <v>160</v>
      </c>
    </row>
    <row r="95" spans="1:14">
      <c r="A95">
        <v>94</v>
      </c>
      <c r="B95">
        <v>2012</v>
      </c>
      <c r="C95" s="435" t="s">
        <v>854</v>
      </c>
      <c r="D95" s="438">
        <f t="shared" si="5"/>
        <v>73.91</v>
      </c>
      <c r="E95" s="438">
        <v>59.26</v>
      </c>
      <c r="F95" s="438">
        <v>14.65</v>
      </c>
      <c r="G95" s="438">
        <f t="shared" si="12"/>
        <v>65.5</v>
      </c>
      <c r="H95" s="438">
        <f t="shared" si="10"/>
        <v>26.4879</v>
      </c>
      <c r="I95" s="438">
        <f t="shared" si="11"/>
        <v>165.89789999999999</v>
      </c>
      <c r="J95" s="438">
        <f t="shared" si="7"/>
        <v>154.31119669767185</v>
      </c>
      <c r="K95" s="438">
        <f t="shared" si="8"/>
        <v>155.58923902995502</v>
      </c>
      <c r="L95" s="438">
        <f t="shared" si="9"/>
        <v>157.16164396353079</v>
      </c>
      <c r="M95" s="438">
        <f t="shared" si="13"/>
        <v>162.11186862678738</v>
      </c>
      <c r="N95" s="438">
        <v>160</v>
      </c>
    </row>
    <row r="96" spans="1:14">
      <c r="A96">
        <v>95</v>
      </c>
      <c r="B96">
        <v>2012</v>
      </c>
      <c r="C96" s="435" t="s">
        <v>855</v>
      </c>
      <c r="D96" s="438">
        <f t="shared" si="5"/>
        <v>69.180000000000007</v>
      </c>
      <c r="E96" s="438">
        <v>55.54</v>
      </c>
      <c r="F96" s="438">
        <v>13.64</v>
      </c>
      <c r="G96" s="438">
        <f t="shared" si="12"/>
        <v>65.5</v>
      </c>
      <c r="H96" s="438">
        <f t="shared" si="10"/>
        <v>25.589200000000002</v>
      </c>
      <c r="I96" s="438">
        <f t="shared" si="11"/>
        <v>160.26920000000001</v>
      </c>
      <c r="J96" s="438">
        <f t="shared" si="7"/>
        <v>155.23210620756024</v>
      </c>
      <c r="K96" s="438">
        <f t="shared" si="8"/>
        <v>156.02873295835835</v>
      </c>
      <c r="L96" s="438">
        <f t="shared" si="9"/>
        <v>157.24150326250313</v>
      </c>
      <c r="M96" s="438">
        <f t="shared" si="13"/>
        <v>161.25290541689816</v>
      </c>
      <c r="N96" s="438">
        <v>160</v>
      </c>
    </row>
    <row r="97" spans="1:14">
      <c r="A97">
        <v>96</v>
      </c>
      <c r="B97">
        <v>2012</v>
      </c>
      <c r="C97" s="435" t="s">
        <v>856</v>
      </c>
      <c r="D97" s="438">
        <f t="shared" si="5"/>
        <v>67.739999999999995</v>
      </c>
      <c r="E97" s="438">
        <v>55.47</v>
      </c>
      <c r="F97" s="438">
        <v>12.27</v>
      </c>
      <c r="G97" s="438">
        <f t="shared" si="12"/>
        <v>65.5</v>
      </c>
      <c r="H97" s="438">
        <f t="shared" si="10"/>
        <v>25.315600000000003</v>
      </c>
      <c r="I97" s="438">
        <f t="shared" si="11"/>
        <v>158.55560000000003</v>
      </c>
      <c r="J97" s="438">
        <f t="shared" si="7"/>
        <v>156.15851158776491</v>
      </c>
      <c r="K97" s="438">
        <f t="shared" si="8"/>
        <v>156.46946832809982</v>
      </c>
      <c r="L97" s="438">
        <f t="shared" si="9"/>
        <v>157.32140314076358</v>
      </c>
      <c r="M97" s="438">
        <f t="shared" si="13"/>
        <v>160.3984934949695</v>
      </c>
      <c r="N97" s="438">
        <v>160</v>
      </c>
    </row>
    <row r="98" spans="1:14">
      <c r="A98">
        <v>97</v>
      </c>
      <c r="B98">
        <v>2013</v>
      </c>
      <c r="C98" s="435" t="s">
        <v>845</v>
      </c>
      <c r="D98" s="438">
        <f t="shared" si="5"/>
        <v>67.849999999999994</v>
      </c>
      <c r="E98" s="438">
        <v>57.3</v>
      </c>
      <c r="F98" s="438">
        <v>10.55</v>
      </c>
      <c r="G98" s="438">
        <f t="shared" si="12"/>
        <v>65.5</v>
      </c>
      <c r="H98" s="438">
        <f t="shared" si="10"/>
        <v>25.336500000000001</v>
      </c>
      <c r="I98" s="438">
        <f t="shared" si="11"/>
        <v>158.6865</v>
      </c>
      <c r="J98" s="438">
        <f t="shared" si="7"/>
        <v>157.09044563693786</v>
      </c>
      <c r="K98" s="438">
        <f t="shared" si="8"/>
        <v>156.91144864588679</v>
      </c>
      <c r="L98" s="438">
        <f t="shared" si="9"/>
        <v>157.40134361893192</v>
      </c>
      <c r="M98" s="438">
        <f t="shared" si="13"/>
        <v>159.54860874562385</v>
      </c>
      <c r="N98" s="438">
        <v>160</v>
      </c>
    </row>
    <row r="99" spans="1:14">
      <c r="A99">
        <v>98</v>
      </c>
      <c r="B99">
        <v>2013</v>
      </c>
      <c r="C99" s="435" t="s">
        <v>846</v>
      </c>
      <c r="D99" s="438">
        <f t="shared" si="5"/>
        <v>71.540000000000006</v>
      </c>
      <c r="E99" s="438">
        <v>61.13</v>
      </c>
      <c r="F99" s="438">
        <v>10.41</v>
      </c>
      <c r="G99" s="438">
        <f t="shared" si="12"/>
        <v>65.5</v>
      </c>
      <c r="H99" s="438">
        <f t="shared" si="10"/>
        <v>26.037600000000005</v>
      </c>
      <c r="I99" s="438">
        <f t="shared" si="11"/>
        <v>163.07760000000002</v>
      </c>
      <c r="J99" s="438">
        <f t="shared" si="7"/>
        <v>158.02794134946927</v>
      </c>
      <c r="K99" s="438">
        <f t="shared" si="8"/>
        <v>157.35467742833208</v>
      </c>
      <c r="L99" s="438">
        <f t="shared" si="9"/>
        <v>157.48132471763833</v>
      </c>
      <c r="M99" s="438">
        <f t="shared" si="13"/>
        <v>158.70322718126098</v>
      </c>
      <c r="N99" s="438">
        <v>160</v>
      </c>
    </row>
    <row r="100" spans="1:14">
      <c r="A100">
        <v>99</v>
      </c>
      <c r="B100">
        <v>2013</v>
      </c>
      <c r="C100" s="436" t="s">
        <v>847</v>
      </c>
      <c r="D100" s="439">
        <f t="shared" si="5"/>
        <v>66.899999999999991</v>
      </c>
      <c r="E100" s="439">
        <v>60.01</v>
      </c>
      <c r="F100" s="439">
        <v>6.89</v>
      </c>
      <c r="G100" s="439">
        <f t="shared" si="12"/>
        <v>65.5</v>
      </c>
      <c r="H100" s="439">
        <f t="shared" si="10"/>
        <v>25.155999999999995</v>
      </c>
      <c r="I100" s="439">
        <f t="shared" si="11"/>
        <v>157.55599999999998</v>
      </c>
      <c r="J100" s="439">
        <f>I100</f>
        <v>157.55599999999998</v>
      </c>
      <c r="K100" s="439">
        <f>J100</f>
        <v>157.55599999999998</v>
      </c>
      <c r="L100" s="439">
        <f>K100</f>
        <v>157.55599999999998</v>
      </c>
      <c r="M100" s="439">
        <f>L100</f>
        <v>157.55599999999998</v>
      </c>
      <c r="N100" s="438">
        <v>160</v>
      </c>
    </row>
    <row r="102" spans="1:14">
      <c r="H102" t="s">
        <v>864</v>
      </c>
      <c r="I102" s="383">
        <f>_xlfn.VAR.S(I50:I100)</f>
        <v>215.5768091036</v>
      </c>
    </row>
    <row r="103" spans="1:14">
      <c r="H103" t="s">
        <v>863</v>
      </c>
      <c r="I103" s="383">
        <f>STDEV(I2:I100)</f>
        <v>14.907471238380175</v>
      </c>
    </row>
    <row r="104" spans="1:14">
      <c r="H104" t="s">
        <v>862</v>
      </c>
      <c r="I104" s="383">
        <f>AVERAGE($I$2:$I$100)</f>
        <v>140.51075252525254</v>
      </c>
    </row>
    <row r="105" spans="1:14">
      <c r="H105" s="440"/>
      <c r="I105" s="234">
        <f>((I100/I2)^(1/($A100-$A2)*12)-1)</f>
        <v>4.1887866347806169E-2</v>
      </c>
    </row>
    <row r="107" spans="1:14">
      <c r="I107" s="6">
        <f>1-I108</f>
        <v>6.3582997383124784E-2</v>
      </c>
      <c r="J107" s="6"/>
      <c r="K107" s="6"/>
      <c r="L107" s="6"/>
      <c r="M107" s="6"/>
    </row>
    <row r="108" spans="1:14">
      <c r="I108">
        <f>I100/I88</f>
        <v>0.93641700261687522</v>
      </c>
    </row>
    <row r="109" spans="1:14">
      <c r="I109">
        <f>I88/I100</f>
        <v>1.0679003021148037</v>
      </c>
    </row>
    <row r="110" spans="1:14">
      <c r="I110" s="6">
        <f>1-I109</f>
        <v>-6.790030211480369E-2</v>
      </c>
      <c r="J110" s="6"/>
      <c r="K110" s="6"/>
      <c r="L110" s="6"/>
      <c r="M110" s="6"/>
    </row>
    <row r="119" spans="20:23">
      <c r="T119" s="234">
        <f>((J100/J52)^(1/($A100-$A52)*12)-1)</f>
        <v>7.161446709736552E-2</v>
      </c>
      <c r="U119" s="234">
        <f>((K100/K64)^(1/($A100-$A64)*12)-1)</f>
        <v>3.38964775052637E-2</v>
      </c>
      <c r="V119" s="234">
        <f>((L100/L76)^(1/($A100-$A76)*12)-1)</f>
        <v>6.0976174815943196E-3</v>
      </c>
      <c r="W119" s="234">
        <f>((M100/M88)^(1/($A100-$A88)*12)-1)</f>
        <v>-6.3582997383124784E-2</v>
      </c>
    </row>
  </sheetData>
  <pageMargins left="0.7" right="0.7" top="0.78740157499999996" bottom="0.78740157499999996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19"/>
  <sheetViews>
    <sheetView workbookViewId="0">
      <selection activeCell="F89" sqref="F89"/>
    </sheetView>
  </sheetViews>
  <sheetFormatPr baseColWidth="10" defaultRowHeight="15"/>
  <sheetData>
    <row r="1" spans="1:8">
      <c r="A1" t="s">
        <v>223</v>
      </c>
      <c r="B1" t="s">
        <v>897</v>
      </c>
      <c r="E1" t="s">
        <v>896</v>
      </c>
      <c r="G1" t="s">
        <v>900</v>
      </c>
      <c r="H1" t="s">
        <v>899</v>
      </c>
    </row>
    <row r="2" spans="1:8">
      <c r="A2" t="s">
        <v>895</v>
      </c>
      <c r="B2">
        <v>2011</v>
      </c>
    </row>
    <row r="3" spans="1:8">
      <c r="A3" t="s">
        <v>894</v>
      </c>
      <c r="B3">
        <v>2020</v>
      </c>
    </row>
    <row r="5" spans="1:8">
      <c r="B5" t="s">
        <v>2</v>
      </c>
    </row>
    <row r="6" spans="1:8">
      <c r="A6" s="442" t="s">
        <v>893</v>
      </c>
      <c r="C6" s="442" t="s">
        <v>892</v>
      </c>
      <c r="D6" s="442" t="s">
        <v>891</v>
      </c>
    </row>
    <row r="7" spans="1:8">
      <c r="A7" s="442" t="s">
        <v>890</v>
      </c>
      <c r="B7" s="442"/>
      <c r="C7" s="442"/>
    </row>
    <row r="8" spans="1:8">
      <c r="A8" s="442" t="s">
        <v>889</v>
      </c>
      <c r="B8" s="442" t="s">
        <v>888</v>
      </c>
      <c r="C8" s="441" t="s">
        <v>887</v>
      </c>
      <c r="D8" s="441">
        <v>0</v>
      </c>
      <c r="E8" t="s">
        <v>886</v>
      </c>
    </row>
    <row r="9" spans="1:8">
      <c r="A9" s="442" t="s">
        <v>885</v>
      </c>
      <c r="B9" s="442" t="s">
        <v>884</v>
      </c>
      <c r="C9" s="441">
        <v>5.5</v>
      </c>
      <c r="D9" s="441">
        <v>0</v>
      </c>
    </row>
    <row r="10" spans="1:8">
      <c r="A10" s="442" t="s">
        <v>883</v>
      </c>
      <c r="B10" s="442" t="s">
        <v>866</v>
      </c>
      <c r="C10" s="441" t="s">
        <v>882</v>
      </c>
      <c r="D10" s="441">
        <v>0</v>
      </c>
    </row>
    <row r="11" spans="1:8">
      <c r="A11" s="442" t="s">
        <v>881</v>
      </c>
      <c r="B11" s="442"/>
      <c r="C11" s="441"/>
      <c r="D11" s="443"/>
    </row>
    <row r="12" spans="1:8">
      <c r="A12" s="442" t="s">
        <v>880</v>
      </c>
      <c r="B12" s="442" t="s">
        <v>879</v>
      </c>
      <c r="C12" s="441">
        <v>0</v>
      </c>
      <c r="D12" s="441">
        <v>0.22</v>
      </c>
    </row>
    <row r="13" spans="1:8">
      <c r="A13" s="442" t="s">
        <v>878</v>
      </c>
      <c r="B13" s="442" t="s">
        <v>877</v>
      </c>
      <c r="C13" s="441">
        <v>0</v>
      </c>
      <c r="D13" s="441">
        <v>0.13500000000000001</v>
      </c>
    </row>
    <row r="14" spans="1:8">
      <c r="A14" s="442" t="s">
        <v>711</v>
      </c>
      <c r="B14" s="442" t="s">
        <v>866</v>
      </c>
      <c r="C14" s="441">
        <v>0</v>
      </c>
      <c r="D14" s="441">
        <v>3.9699999999999999E-2</v>
      </c>
    </row>
    <row r="15" spans="1:8">
      <c r="A15" s="442" t="s">
        <v>876</v>
      </c>
      <c r="B15" s="442"/>
      <c r="C15" s="441"/>
      <c r="D15" s="441"/>
      <c r="E15" s="442"/>
    </row>
    <row r="16" spans="1:8">
      <c r="A16" s="442" t="s">
        <v>875</v>
      </c>
      <c r="B16" s="442" t="s">
        <v>866</v>
      </c>
      <c r="C16" s="441">
        <v>7.0000000000000001E-3</v>
      </c>
      <c r="D16" s="441">
        <v>0</v>
      </c>
    </row>
    <row r="17" spans="1:4">
      <c r="A17" s="442" t="s">
        <v>874</v>
      </c>
      <c r="B17" s="442" t="s">
        <v>866</v>
      </c>
      <c r="C17" s="441">
        <v>1E-3</v>
      </c>
      <c r="D17" s="441">
        <v>0</v>
      </c>
    </row>
    <row r="18" spans="1:4">
      <c r="A18" s="442" t="s">
        <v>873</v>
      </c>
      <c r="B18" s="442" t="s">
        <v>866</v>
      </c>
      <c r="C18" s="441">
        <v>2E-3</v>
      </c>
      <c r="D18" s="441">
        <v>0</v>
      </c>
    </row>
    <row r="19" spans="1:4">
      <c r="A19" s="442" t="s">
        <v>872</v>
      </c>
      <c r="B19" s="442" t="s">
        <v>866</v>
      </c>
      <c r="C19" s="441">
        <v>0</v>
      </c>
      <c r="D19" s="441">
        <v>5.0000000000000001E-3</v>
      </c>
    </row>
    <row r="20" spans="1:4">
      <c r="A20" s="442" t="s">
        <v>871</v>
      </c>
      <c r="B20" s="442" t="s">
        <v>866</v>
      </c>
      <c r="C20" s="441">
        <v>2E-3</v>
      </c>
      <c r="D20" s="441">
        <v>2E-3</v>
      </c>
    </row>
    <row r="21" spans="1:4">
      <c r="A21" s="442" t="s">
        <v>870</v>
      </c>
      <c r="B21" s="442" t="s">
        <v>866</v>
      </c>
      <c r="C21" s="441">
        <v>6.0000000000000001E-3</v>
      </c>
      <c r="D21" s="441">
        <v>6.0000000000000001E-3</v>
      </c>
    </row>
    <row r="22" spans="1:4">
      <c r="A22" s="442" t="s">
        <v>869</v>
      </c>
      <c r="B22" s="442" t="s">
        <v>866</v>
      </c>
      <c r="C22" s="441">
        <v>0.01</v>
      </c>
      <c r="D22" s="441">
        <v>0.01</v>
      </c>
    </row>
    <row r="23" spans="1:4">
      <c r="A23" s="442" t="s">
        <v>868</v>
      </c>
      <c r="B23" s="442" t="s">
        <v>866</v>
      </c>
      <c r="C23" s="441">
        <v>2.8000000000000001E-2</v>
      </c>
      <c r="D23" s="443">
        <v>2.3E-2</v>
      </c>
    </row>
    <row r="24" spans="1:4">
      <c r="A24" s="442" t="s">
        <v>867</v>
      </c>
      <c r="B24" s="442" t="s">
        <v>866</v>
      </c>
      <c r="C24" s="441" t="s">
        <v>865</v>
      </c>
      <c r="D24" s="441">
        <v>6.3E-2</v>
      </c>
    </row>
    <row r="39" spans="7:8">
      <c r="G39" s="5" t="s">
        <v>805</v>
      </c>
      <c r="H39" t="s">
        <v>898</v>
      </c>
    </row>
    <row r="84" spans="1:16">
      <c r="A84" t="s">
        <v>907</v>
      </c>
      <c r="B84" s="5" t="s">
        <v>906</v>
      </c>
    </row>
    <row r="85" spans="1:16">
      <c r="A85" t="s">
        <v>905</v>
      </c>
      <c r="B85" t="s">
        <v>904</v>
      </c>
    </row>
    <row r="86" spans="1:16">
      <c r="A86" t="s">
        <v>807</v>
      </c>
      <c r="B86">
        <v>2006</v>
      </c>
    </row>
    <row r="88" spans="1:16">
      <c r="A88" t="s">
        <v>372</v>
      </c>
      <c r="B88" t="s">
        <v>903</v>
      </c>
    </row>
    <row r="89" spans="1:16">
      <c r="A89" t="s">
        <v>902</v>
      </c>
      <c r="B89" t="s">
        <v>901</v>
      </c>
    </row>
    <row r="93" spans="1:16">
      <c r="K93" t="s">
        <v>223</v>
      </c>
      <c r="L93" s="5" t="s">
        <v>805</v>
      </c>
    </row>
    <row r="94" spans="1:16">
      <c r="K94" t="s">
        <v>895</v>
      </c>
    </row>
    <row r="96" spans="1:16">
      <c r="L96" t="s">
        <v>2</v>
      </c>
      <c r="M96">
        <v>2010</v>
      </c>
      <c r="N96">
        <v>2015</v>
      </c>
      <c r="O96">
        <v>2020</v>
      </c>
      <c r="P96">
        <v>2050</v>
      </c>
    </row>
    <row r="98" spans="1:16">
      <c r="K98" s="442" t="s">
        <v>922</v>
      </c>
      <c r="L98" t="s">
        <v>297</v>
      </c>
      <c r="M98" s="1">
        <v>11384</v>
      </c>
      <c r="N98" s="444"/>
      <c r="O98" s="444"/>
      <c r="P98" s="1"/>
    </row>
    <row r="99" spans="1:16">
      <c r="K99" t="s">
        <v>921</v>
      </c>
      <c r="L99" t="s">
        <v>297</v>
      </c>
      <c r="M99" s="1">
        <v>66534</v>
      </c>
      <c r="N99" s="1">
        <v>20488</v>
      </c>
      <c r="O99" s="1">
        <v>12849</v>
      </c>
      <c r="P99" s="1">
        <v>7246</v>
      </c>
    </row>
    <row r="100" spans="1:16">
      <c r="K100" t="s">
        <v>920</v>
      </c>
      <c r="L100" t="s">
        <v>297</v>
      </c>
      <c r="M100" s="1">
        <v>45453</v>
      </c>
      <c r="N100" s="1">
        <v>14811</v>
      </c>
      <c r="O100" s="1">
        <v>8917</v>
      </c>
      <c r="P100" s="1">
        <v>5169</v>
      </c>
    </row>
    <row r="101" spans="1:16">
      <c r="K101" t="s">
        <v>919</v>
      </c>
      <c r="L101" t="s">
        <v>297</v>
      </c>
      <c r="M101" s="1">
        <v>21081</v>
      </c>
      <c r="N101" s="1">
        <v>5678</v>
      </c>
      <c r="O101" s="1">
        <v>3931</v>
      </c>
      <c r="P101" s="1">
        <v>2077</v>
      </c>
    </row>
    <row r="102" spans="1:16">
      <c r="K102" t="s">
        <v>918</v>
      </c>
      <c r="L102" t="s">
        <v>23</v>
      </c>
      <c r="M102" s="1">
        <v>103000</v>
      </c>
      <c r="N102" s="1">
        <v>165000</v>
      </c>
      <c r="O102" s="1">
        <v>230000</v>
      </c>
      <c r="P102" s="1"/>
    </row>
    <row r="103" spans="1:16">
      <c r="K103" t="s">
        <v>36</v>
      </c>
      <c r="L103" t="s">
        <v>286</v>
      </c>
      <c r="M103" s="1">
        <v>871</v>
      </c>
      <c r="N103" s="1">
        <v>457</v>
      </c>
      <c r="O103" s="1">
        <v>300</v>
      </c>
      <c r="P103" s="1">
        <v>174</v>
      </c>
    </row>
    <row r="104" spans="1:16">
      <c r="K104" t="s">
        <v>802</v>
      </c>
      <c r="L104" t="s">
        <v>286</v>
      </c>
      <c r="M104" s="1">
        <v>375</v>
      </c>
      <c r="N104" s="1">
        <v>275</v>
      </c>
      <c r="O104" s="1">
        <v>230</v>
      </c>
      <c r="P104" s="1"/>
    </row>
    <row r="105" spans="1:16">
      <c r="K105" t="s">
        <v>801</v>
      </c>
      <c r="L105" t="s">
        <v>286</v>
      </c>
      <c r="M105" s="1">
        <v>1500</v>
      </c>
      <c r="N105" s="1">
        <v>750</v>
      </c>
      <c r="O105" s="1">
        <v>450</v>
      </c>
      <c r="P105" s="1"/>
    </row>
    <row r="109" spans="1:16">
      <c r="A109" t="s">
        <v>401</v>
      </c>
      <c r="B109" t="s">
        <v>807</v>
      </c>
      <c r="C109" t="s">
        <v>522</v>
      </c>
      <c r="D109" t="s">
        <v>276</v>
      </c>
      <c r="E109" t="s">
        <v>448</v>
      </c>
      <c r="F109" t="s">
        <v>2</v>
      </c>
      <c r="G109" t="s">
        <v>796</v>
      </c>
      <c r="H109" t="s">
        <v>806</v>
      </c>
      <c r="I109" t="s">
        <v>907</v>
      </c>
    </row>
    <row r="110" spans="1:16">
      <c r="D110" t="s">
        <v>372</v>
      </c>
    </row>
    <row r="111" spans="1:16">
      <c r="D111" t="s">
        <v>909</v>
      </c>
      <c r="E111">
        <v>2010</v>
      </c>
      <c r="F111" t="s">
        <v>15</v>
      </c>
      <c r="G111" t="s">
        <v>917</v>
      </c>
      <c r="I111" s="5" t="s">
        <v>805</v>
      </c>
    </row>
    <row r="112" spans="1:16">
      <c r="D112" t="s">
        <v>909</v>
      </c>
      <c r="E112">
        <v>2015</v>
      </c>
      <c r="F112" t="s">
        <v>15</v>
      </c>
      <c r="G112" t="s">
        <v>916</v>
      </c>
      <c r="I112" s="5" t="s">
        <v>805</v>
      </c>
    </row>
    <row r="113" spans="1:9">
      <c r="D113" t="s">
        <v>909</v>
      </c>
      <c r="E113">
        <v>2020</v>
      </c>
      <c r="F113" t="s">
        <v>15</v>
      </c>
      <c r="G113" t="s">
        <v>915</v>
      </c>
      <c r="I113" s="5" t="s">
        <v>805</v>
      </c>
    </row>
    <row r="114" spans="1:9">
      <c r="D114" t="s">
        <v>372</v>
      </c>
      <c r="F114" t="s">
        <v>914</v>
      </c>
      <c r="G114">
        <v>15</v>
      </c>
      <c r="I114" s="5" t="s">
        <v>805</v>
      </c>
    </row>
    <row r="115" spans="1:9">
      <c r="D115" t="s">
        <v>913</v>
      </c>
      <c r="F115" t="s">
        <v>911</v>
      </c>
      <c r="G115">
        <v>12000</v>
      </c>
      <c r="I115" s="5" t="s">
        <v>805</v>
      </c>
    </row>
    <row r="116" spans="1:9">
      <c r="D116" t="s">
        <v>912</v>
      </c>
      <c r="F116" t="s">
        <v>911</v>
      </c>
      <c r="G116">
        <f>15*12000</f>
        <v>180000</v>
      </c>
      <c r="I116" s="5" t="s">
        <v>805</v>
      </c>
    </row>
    <row r="117" spans="1:9">
      <c r="A117" t="s">
        <v>910</v>
      </c>
      <c r="B117">
        <v>2013</v>
      </c>
      <c r="C117">
        <v>14</v>
      </c>
      <c r="D117" t="s">
        <v>909</v>
      </c>
      <c r="E117">
        <v>2013</v>
      </c>
      <c r="F117" t="s">
        <v>15</v>
      </c>
      <c r="G117">
        <v>560</v>
      </c>
      <c r="I117" s="5" t="s">
        <v>908</v>
      </c>
    </row>
    <row r="118" spans="1:9">
      <c r="A118" t="s">
        <v>910</v>
      </c>
      <c r="B118">
        <v>2013</v>
      </c>
      <c r="C118">
        <v>14</v>
      </c>
      <c r="D118" t="s">
        <v>909</v>
      </c>
      <c r="E118">
        <v>2020</v>
      </c>
      <c r="F118" t="s">
        <v>15</v>
      </c>
      <c r="G118">
        <v>245</v>
      </c>
      <c r="I118" s="5" t="s">
        <v>908</v>
      </c>
    </row>
    <row r="119" spans="1:9">
      <c r="A119" t="s">
        <v>910</v>
      </c>
      <c r="B119">
        <v>2013</v>
      </c>
      <c r="C119">
        <v>14</v>
      </c>
      <c r="D119" t="s">
        <v>909</v>
      </c>
      <c r="E119">
        <v>2030</v>
      </c>
      <c r="G119">
        <v>160</v>
      </c>
      <c r="I119" s="5" t="s">
        <v>908</v>
      </c>
    </row>
  </sheetData>
  <hyperlinks>
    <hyperlink ref="G39" r:id="rId1" xr:uid="{00000000-0004-0000-1100-000000000000}"/>
    <hyperlink ref="B84" r:id="rId2" xr:uid="{00000000-0004-0000-1100-000001000000}"/>
    <hyperlink ref="L93" r:id="rId3" xr:uid="{00000000-0004-0000-1100-000002000000}"/>
    <hyperlink ref="I111" r:id="rId4" xr:uid="{00000000-0004-0000-1100-000003000000}"/>
    <hyperlink ref="I112" r:id="rId5" xr:uid="{00000000-0004-0000-1100-000004000000}"/>
    <hyperlink ref="I113" r:id="rId6" xr:uid="{00000000-0004-0000-1100-000005000000}"/>
    <hyperlink ref="I114" r:id="rId7" xr:uid="{00000000-0004-0000-1100-000006000000}"/>
    <hyperlink ref="I115" r:id="rId8" xr:uid="{00000000-0004-0000-1100-000007000000}"/>
    <hyperlink ref="I116" r:id="rId9" xr:uid="{00000000-0004-0000-1100-000008000000}"/>
    <hyperlink ref="I118" r:id="rId10" xr:uid="{00000000-0004-0000-1100-000009000000}"/>
    <hyperlink ref="I119" r:id="rId11" xr:uid="{00000000-0004-0000-1100-00000A000000}"/>
    <hyperlink ref="I117" r:id="rId12" xr:uid="{00000000-0004-0000-1100-00000B000000}"/>
  </hyperlinks>
  <pageMargins left="0.7" right="0.7" top="0.78740157499999996" bottom="0.78740157499999996" header="0.3" footer="0.3"/>
  <drawing r:id="rId1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C1:N98"/>
  <sheetViews>
    <sheetView workbookViewId="0">
      <selection activeCell="F23" sqref="F23"/>
    </sheetView>
  </sheetViews>
  <sheetFormatPr baseColWidth="10" defaultRowHeight="15"/>
  <sheetData>
    <row r="1" spans="9:14">
      <c r="I1" s="418" t="s">
        <v>832</v>
      </c>
      <c r="J1" s="411"/>
      <c r="K1" s="411"/>
      <c r="L1" s="411"/>
      <c r="M1" s="411"/>
      <c r="N1" s="411"/>
    </row>
    <row r="2" spans="9:14">
      <c r="I2" s="418" t="s">
        <v>831</v>
      </c>
      <c r="J2" s="411"/>
      <c r="K2" s="411"/>
      <c r="L2" s="411"/>
      <c r="M2" s="411"/>
      <c r="N2" s="411"/>
    </row>
    <row r="3" spans="9:14">
      <c r="I3" s="418" t="s">
        <v>830</v>
      </c>
      <c r="J3" s="411"/>
      <c r="K3" s="411"/>
      <c r="L3" s="411"/>
      <c r="M3" s="411"/>
      <c r="N3" s="411"/>
    </row>
    <row r="4" spans="9:14">
      <c r="I4" s="417" t="s">
        <v>829</v>
      </c>
      <c r="J4" s="411"/>
      <c r="K4" s="411"/>
      <c r="L4" s="411"/>
      <c r="M4" s="411"/>
      <c r="N4" s="411"/>
    </row>
    <row r="5" spans="9:14">
      <c r="I5" s="411"/>
      <c r="J5" s="411"/>
      <c r="K5" s="411"/>
      <c r="L5" s="411"/>
      <c r="M5" s="411"/>
      <c r="N5" s="411"/>
    </row>
    <row r="6" spans="9:14">
      <c r="I6" s="411"/>
      <c r="J6" s="411"/>
      <c r="K6" s="411"/>
      <c r="L6" s="411"/>
      <c r="M6" s="411"/>
      <c r="N6" s="411"/>
    </row>
    <row r="7" spans="9:14" ht="16">
      <c r="I7" s="416" t="s">
        <v>828</v>
      </c>
      <c r="J7" s="411"/>
      <c r="K7" s="411"/>
      <c r="L7" s="411"/>
      <c r="M7" s="411"/>
      <c r="N7" s="411"/>
    </row>
    <row r="8" spans="9:14" ht="16">
      <c r="I8" s="416" t="s">
        <v>827</v>
      </c>
      <c r="J8" s="411"/>
      <c r="K8" s="411"/>
      <c r="L8" s="411"/>
      <c r="M8" s="411"/>
      <c r="N8" s="411"/>
    </row>
    <row r="9" spans="9:14" ht="16">
      <c r="I9" s="416"/>
      <c r="J9" s="411"/>
      <c r="K9" s="411"/>
      <c r="L9" s="411"/>
      <c r="M9" s="411"/>
      <c r="N9" s="411"/>
    </row>
    <row r="10" spans="9:14">
      <c r="I10" s="411"/>
      <c r="J10" s="411"/>
      <c r="K10" s="411"/>
      <c r="L10" s="411"/>
      <c r="M10" s="411"/>
      <c r="N10" s="411"/>
    </row>
    <row r="11" spans="9:14">
      <c r="I11" s="415" t="s">
        <v>826</v>
      </c>
      <c r="J11" s="411"/>
      <c r="K11" s="411"/>
      <c r="L11" s="411"/>
      <c r="M11" s="411"/>
      <c r="N11" s="411"/>
    </row>
    <row r="12" spans="9:14">
      <c r="I12" s="415" t="s">
        <v>825</v>
      </c>
      <c r="J12" s="411"/>
      <c r="K12" s="411"/>
      <c r="L12" s="411"/>
      <c r="M12" s="411"/>
      <c r="N12" s="411"/>
    </row>
    <row r="13" spans="9:14">
      <c r="I13" s="413"/>
      <c r="J13" s="414" t="s">
        <v>824</v>
      </c>
      <c r="K13" s="414" t="s">
        <v>823</v>
      </c>
      <c r="L13" s="414" t="s">
        <v>822</v>
      </c>
      <c r="M13" s="414"/>
      <c r="N13" s="411"/>
    </row>
    <row r="14" spans="9:14">
      <c r="I14" s="413">
        <v>1990</v>
      </c>
      <c r="J14" s="412"/>
      <c r="K14" s="412">
        <v>37.141338349999998</v>
      </c>
      <c r="L14" s="412"/>
      <c r="M14" s="412"/>
      <c r="N14" s="411"/>
    </row>
    <row r="15" spans="9:14">
      <c r="I15" s="413">
        <v>1991</v>
      </c>
      <c r="J15" s="412"/>
      <c r="K15" s="412">
        <v>31.52763367</v>
      </c>
      <c r="L15" s="412"/>
      <c r="M15" s="412"/>
      <c r="N15" s="411"/>
    </row>
    <row r="16" spans="9:14">
      <c r="I16" s="413">
        <v>1992</v>
      </c>
      <c r="J16" s="412"/>
      <c r="K16" s="412">
        <v>29.450260159999999</v>
      </c>
      <c r="L16" s="412"/>
      <c r="M16" s="412"/>
      <c r="N16" s="411"/>
    </row>
    <row r="17" spans="3:14">
      <c r="I17" s="413">
        <v>1993</v>
      </c>
      <c r="J17" s="412"/>
      <c r="K17" s="412">
        <v>25.855367659999999</v>
      </c>
      <c r="L17" s="412"/>
      <c r="M17" s="412"/>
      <c r="N17" s="411"/>
    </row>
    <row r="18" spans="3:14">
      <c r="I18" s="413">
        <v>1994</v>
      </c>
      <c r="J18" s="412"/>
      <c r="K18" s="412">
        <v>23.594636919999999</v>
      </c>
      <c r="L18" s="412"/>
      <c r="M18" s="412"/>
      <c r="N18" s="411"/>
    </row>
    <row r="19" spans="3:14">
      <c r="I19" s="413">
        <v>1995</v>
      </c>
      <c r="J19" s="412"/>
      <c r="K19" s="412">
        <v>24.790664670000002</v>
      </c>
      <c r="L19" s="412"/>
      <c r="M19" s="412"/>
      <c r="N19" s="411"/>
    </row>
    <row r="20" spans="3:14">
      <c r="I20" s="413">
        <v>1996</v>
      </c>
      <c r="J20" s="412"/>
      <c r="K20" s="412">
        <v>29.174776080000001</v>
      </c>
      <c r="L20" s="412"/>
      <c r="M20" s="412"/>
      <c r="N20" s="411"/>
    </row>
    <row r="21" spans="3:14">
      <c r="I21" s="413">
        <v>1997</v>
      </c>
      <c r="J21" s="412"/>
      <c r="K21" s="412">
        <v>26.71918106</v>
      </c>
      <c r="L21" s="412"/>
      <c r="M21" s="412"/>
      <c r="N21" s="411"/>
    </row>
    <row r="22" spans="3:14">
      <c r="I22" s="413">
        <v>1998</v>
      </c>
      <c r="J22" s="412"/>
      <c r="K22" s="412">
        <v>18.520151139999999</v>
      </c>
      <c r="L22" s="412"/>
      <c r="M22" s="412"/>
      <c r="N22" s="411"/>
    </row>
    <row r="23" spans="3:14">
      <c r="I23" s="413">
        <v>1999</v>
      </c>
      <c r="J23" s="412"/>
      <c r="K23" s="412">
        <v>24.332813260000002</v>
      </c>
      <c r="L23" s="412"/>
      <c r="M23" s="412"/>
      <c r="N23" s="411"/>
    </row>
    <row r="24" spans="3:14">
      <c r="I24" s="413">
        <v>2000</v>
      </c>
      <c r="J24" s="412"/>
      <c r="K24" s="412">
        <v>37.46855927</v>
      </c>
      <c r="L24" s="412"/>
      <c r="M24" s="412"/>
      <c r="N24" s="411"/>
    </row>
    <row r="25" spans="3:14">
      <c r="I25" s="413">
        <v>2001</v>
      </c>
      <c r="J25" s="412"/>
      <c r="K25" s="412">
        <v>31.373516080000002</v>
      </c>
      <c r="L25" s="412"/>
      <c r="M25" s="412"/>
      <c r="N25" s="411"/>
    </row>
    <row r="26" spans="3:14">
      <c r="I26" s="413">
        <v>2002</v>
      </c>
      <c r="J26" s="412"/>
      <c r="K26" s="412">
        <v>31.076776500000001</v>
      </c>
      <c r="L26" s="412"/>
      <c r="M26" s="412"/>
      <c r="N26" s="411"/>
    </row>
    <row r="27" spans="3:14">
      <c r="I27" s="413">
        <v>2003</v>
      </c>
      <c r="J27" s="412"/>
      <c r="K27" s="412">
        <v>36.252178190000002</v>
      </c>
      <c r="L27" s="412"/>
      <c r="M27" s="412"/>
      <c r="N27" s="411"/>
    </row>
    <row r="28" spans="3:14">
      <c r="C28" s="445" t="e">
        <f>('NR Kraftstoffpreisprognosen'!T59/'NR Kraftstoffpreisprognosen'!T35)^(1/('NR Kraftstoffpreisprognosen'!#REF!-'NR Kraftstoffpreisprognosen'!#REF!))-1</f>
        <v>#REF!</v>
      </c>
      <c r="D28" s="445" t="e">
        <f>('NR Kraftstoffpreisprognosen'!#REF!/'NR Kraftstoffpreisprognosen'!#REF!)^(1/('NR Kraftstoffpreisprognosen'!#REF!-'NR Kraftstoffpreisprognosen'!#REF!))-1</f>
        <v>#REF!</v>
      </c>
      <c r="I28" s="413">
        <v>2004</v>
      </c>
      <c r="J28" s="412"/>
      <c r="K28" s="412">
        <v>46.945358280000001</v>
      </c>
      <c r="L28" s="412"/>
      <c r="M28" s="412"/>
      <c r="N28" s="411"/>
    </row>
    <row r="29" spans="3:14">
      <c r="I29" s="413">
        <v>2005</v>
      </c>
      <c r="J29" s="412"/>
      <c r="K29" s="412">
        <v>61.925788879999999</v>
      </c>
      <c r="L29" s="412"/>
      <c r="M29" s="412"/>
      <c r="N29" s="411"/>
    </row>
    <row r="30" spans="3:14">
      <c r="I30" s="413">
        <v>2006</v>
      </c>
      <c r="J30" s="412"/>
      <c r="K30" s="412">
        <v>70.081359860000006</v>
      </c>
      <c r="L30" s="412"/>
      <c r="M30" s="412"/>
      <c r="N30" s="411"/>
    </row>
    <row r="31" spans="3:14">
      <c r="I31" s="413">
        <v>2007</v>
      </c>
      <c r="J31" s="412"/>
      <c r="K31" s="412">
        <v>73.934708000000001</v>
      </c>
      <c r="L31" s="412"/>
      <c r="M31" s="412"/>
      <c r="N31" s="411"/>
    </row>
    <row r="32" spans="3:14">
      <c r="I32" s="413">
        <v>2008</v>
      </c>
      <c r="J32" s="412"/>
      <c r="K32" s="412">
        <v>99.571601999999999</v>
      </c>
      <c r="L32" s="412"/>
      <c r="M32" s="412"/>
      <c r="N32" s="411"/>
    </row>
    <row r="33" spans="9:14">
      <c r="I33" s="413">
        <v>2009</v>
      </c>
      <c r="J33" s="412"/>
      <c r="K33" s="412">
        <v>61.661594390869141</v>
      </c>
      <c r="L33" s="412"/>
      <c r="M33" s="412"/>
      <c r="N33" s="411"/>
    </row>
    <row r="34" spans="9:14">
      <c r="I34" s="413">
        <v>2010</v>
      </c>
      <c r="J34" s="412">
        <v>78.027931213378906</v>
      </c>
      <c r="K34" s="412">
        <v>78.027931213378906</v>
      </c>
      <c r="L34" s="412">
        <v>78.027931213378906</v>
      </c>
      <c r="M34" s="412"/>
      <c r="N34" s="411"/>
    </row>
    <row r="35" spans="9:14">
      <c r="I35" s="413">
        <v>2011</v>
      </c>
      <c r="J35" s="412">
        <v>109.34430694580078</v>
      </c>
      <c r="K35" s="412">
        <v>81</v>
      </c>
      <c r="L35" s="412">
        <v>60.231700897216797</v>
      </c>
      <c r="M35" s="412"/>
      <c r="N35" s="411"/>
    </row>
    <row r="36" spans="9:14">
      <c r="I36" s="413">
        <v>2012</v>
      </c>
      <c r="J36" s="412">
        <v>125.60696411132812</v>
      </c>
      <c r="K36" s="412">
        <v>84.5</v>
      </c>
      <c r="L36" s="412">
        <v>56.919342041015625</v>
      </c>
      <c r="M36" s="412"/>
      <c r="N36" s="411"/>
    </row>
    <row r="37" spans="9:14">
      <c r="I37" s="413">
        <v>2013</v>
      </c>
      <c r="J37" s="412">
        <v>135.0753173828125</v>
      </c>
      <c r="K37" s="412">
        <v>88.000869570000006</v>
      </c>
      <c r="L37" s="412">
        <v>56.047836303710938</v>
      </c>
      <c r="M37" s="412"/>
      <c r="N37" s="411"/>
    </row>
    <row r="38" spans="9:14">
      <c r="I38" s="413">
        <v>2014</v>
      </c>
      <c r="J38" s="412">
        <v>140.68310546875</v>
      </c>
      <c r="K38" s="412">
        <v>91.3426087</v>
      </c>
      <c r="L38" s="412">
        <v>55.510768890380859</v>
      </c>
      <c r="M38" s="412"/>
      <c r="N38" s="411"/>
    </row>
    <row r="39" spans="9:14">
      <c r="I39" s="413">
        <v>2015</v>
      </c>
      <c r="J39" s="412">
        <v>146.1007080078125</v>
      </c>
      <c r="K39" s="412">
        <v>94.525217389999995</v>
      </c>
      <c r="L39" s="412">
        <v>55.001487731933594</v>
      </c>
      <c r="M39" s="412"/>
      <c r="N39" s="411"/>
    </row>
    <row r="40" spans="9:14">
      <c r="I40" s="413">
        <v>2016</v>
      </c>
      <c r="J40" s="412">
        <v>151.146728515625</v>
      </c>
      <c r="K40" s="412">
        <v>97.548695649999999</v>
      </c>
      <c r="L40" s="412">
        <v>54.513145446777344</v>
      </c>
      <c r="M40" s="412"/>
      <c r="N40" s="411"/>
    </row>
    <row r="41" spans="9:14">
      <c r="I41" s="413">
        <v>2017</v>
      </c>
      <c r="J41" s="412">
        <v>156.02947998046875</v>
      </c>
      <c r="K41" s="412">
        <v>100.4130435</v>
      </c>
      <c r="L41" s="412">
        <v>54.056556701660156</v>
      </c>
      <c r="M41" s="412"/>
      <c r="N41" s="411"/>
    </row>
    <row r="42" spans="9:14">
      <c r="I42" s="413">
        <v>2018</v>
      </c>
      <c r="J42" s="412">
        <v>160.62501525878906</v>
      </c>
      <c r="K42" s="412">
        <v>103.1182609</v>
      </c>
      <c r="L42" s="412">
        <v>53.588981628417969</v>
      </c>
      <c r="M42" s="412"/>
      <c r="N42" s="411"/>
    </row>
    <row r="43" spans="9:14">
      <c r="I43" s="413">
        <v>2019</v>
      </c>
      <c r="J43" s="412">
        <v>164.98225402832031</v>
      </c>
      <c r="K43" s="412">
        <v>105.6643478</v>
      </c>
      <c r="L43" s="412">
        <v>53.204051971435547</v>
      </c>
      <c r="M43" s="412"/>
      <c r="N43" s="411"/>
    </row>
    <row r="44" spans="9:14">
      <c r="I44" s="413">
        <v>2020</v>
      </c>
      <c r="J44" s="412">
        <v>169.0782470703125</v>
      </c>
      <c r="K44" s="412">
        <v>108.0513043</v>
      </c>
      <c r="L44" s="412">
        <v>52.803131103515625</v>
      </c>
      <c r="M44" s="412"/>
      <c r="N44" s="411"/>
    </row>
    <row r="45" spans="9:14">
      <c r="I45" s="413">
        <v>2021</v>
      </c>
      <c r="J45" s="412">
        <v>172.95828247070312</v>
      </c>
      <c r="K45" s="412">
        <v>110.2791304</v>
      </c>
      <c r="L45" s="412">
        <v>52.478038787841797</v>
      </c>
      <c r="M45" s="412"/>
      <c r="N45" s="411"/>
    </row>
    <row r="46" spans="9:14">
      <c r="I46" s="413">
        <v>2022</v>
      </c>
      <c r="J46" s="412">
        <v>176.51504516601562</v>
      </c>
      <c r="K46" s="412">
        <v>112.34782610000001</v>
      </c>
      <c r="L46" s="412">
        <v>52.174671173095703</v>
      </c>
      <c r="M46" s="412"/>
      <c r="N46" s="411"/>
    </row>
    <row r="47" spans="9:14">
      <c r="I47" s="413">
        <v>2023</v>
      </c>
      <c r="J47" s="412">
        <v>180.10078430175781</v>
      </c>
      <c r="K47" s="412">
        <v>114.25739129999999</v>
      </c>
      <c r="L47" s="412">
        <v>51.857212066650391</v>
      </c>
      <c r="M47" s="412"/>
      <c r="N47" s="411"/>
    </row>
    <row r="48" spans="9:14">
      <c r="I48" s="413">
        <v>2024</v>
      </c>
      <c r="J48" s="412">
        <v>183.15681457519531</v>
      </c>
      <c r="K48" s="412">
        <v>116.0078261</v>
      </c>
      <c r="L48" s="412">
        <v>51.523483276367188</v>
      </c>
      <c r="M48" s="412"/>
      <c r="N48" s="411"/>
    </row>
    <row r="49" spans="9:14">
      <c r="I49" s="413">
        <v>2025</v>
      </c>
      <c r="J49" s="412">
        <v>185.8656005859375</v>
      </c>
      <c r="K49" s="412">
        <v>117.59913040000001</v>
      </c>
      <c r="L49" s="412">
        <v>51.277046203613281</v>
      </c>
      <c r="M49" s="412"/>
      <c r="N49" s="411"/>
    </row>
    <row r="50" spans="9:14">
      <c r="I50" s="413">
        <v>2026</v>
      </c>
      <c r="J50" s="412">
        <v>188.16337585449219</v>
      </c>
      <c r="K50" s="412">
        <v>119.0313043</v>
      </c>
      <c r="L50" s="412">
        <v>51.046539306640625</v>
      </c>
      <c r="M50" s="412"/>
      <c r="N50" s="411"/>
    </row>
    <row r="51" spans="9:14">
      <c r="I51" s="413">
        <v>2027</v>
      </c>
      <c r="J51" s="412">
        <v>190.65983581542969</v>
      </c>
      <c r="K51" s="412">
        <v>120.3043478</v>
      </c>
      <c r="L51" s="412">
        <v>50.826217651367188</v>
      </c>
      <c r="M51" s="412"/>
      <c r="N51" s="411"/>
    </row>
    <row r="52" spans="9:14">
      <c r="I52" s="413">
        <v>2028</v>
      </c>
      <c r="J52" s="412">
        <v>192.72303771972656</v>
      </c>
      <c r="K52" s="412">
        <v>121.41826090000001</v>
      </c>
      <c r="L52" s="412">
        <v>50.649307250976562</v>
      </c>
      <c r="M52" s="412"/>
      <c r="N52" s="411"/>
    </row>
    <row r="53" spans="9:14">
      <c r="I53" s="413">
        <v>2029</v>
      </c>
      <c r="J53" s="412">
        <v>194.56205749511719</v>
      </c>
      <c r="K53" s="412">
        <v>122.37304349999999</v>
      </c>
      <c r="L53" s="412">
        <v>50.496501922607422</v>
      </c>
      <c r="M53" s="412"/>
      <c r="N53" s="411"/>
    </row>
    <row r="54" spans="9:14">
      <c r="I54" s="413">
        <v>2030</v>
      </c>
      <c r="J54" s="412">
        <v>196.07496643066406</v>
      </c>
      <c r="K54" s="412">
        <v>123.1686957</v>
      </c>
      <c r="L54" s="412">
        <v>50.375560760498047</v>
      </c>
      <c r="M54" s="412"/>
      <c r="N54" s="411"/>
    </row>
    <row r="55" spans="9:14">
      <c r="I55" s="413">
        <v>2031</v>
      </c>
      <c r="J55" s="412">
        <v>197.46620178222656</v>
      </c>
      <c r="K55" s="412">
        <v>123.8052174</v>
      </c>
      <c r="L55" s="412">
        <v>50.216449737548828</v>
      </c>
      <c r="M55" s="412"/>
      <c r="N55" s="411"/>
    </row>
    <row r="56" spans="9:14">
      <c r="I56" s="413">
        <v>2032</v>
      </c>
      <c r="J56" s="412">
        <v>198.60072326660156</v>
      </c>
      <c r="K56" s="412">
        <v>124.2826087</v>
      </c>
      <c r="L56" s="412">
        <v>50.149730682373047</v>
      </c>
      <c r="M56" s="412"/>
      <c r="N56" s="411"/>
    </row>
    <row r="57" spans="9:14">
      <c r="I57" s="413">
        <v>2033</v>
      </c>
      <c r="J57" s="412">
        <v>199.2896728515625</v>
      </c>
      <c r="K57" s="412">
        <v>124.6008696</v>
      </c>
      <c r="L57" s="412">
        <v>50.078956604003906</v>
      </c>
      <c r="M57" s="412"/>
      <c r="N57" s="411"/>
    </row>
    <row r="58" spans="9:14">
      <c r="I58" s="413">
        <v>2034</v>
      </c>
      <c r="J58" s="412">
        <v>199.74868774414062</v>
      </c>
      <c r="K58" s="412">
        <v>124.76</v>
      </c>
      <c r="L58" s="412">
        <v>50.032581329345703</v>
      </c>
      <c r="M58" s="412"/>
      <c r="N58" s="411"/>
    </row>
    <row r="59" spans="9:14">
      <c r="I59" s="413">
        <v>2035</v>
      </c>
      <c r="J59" s="412">
        <v>199.94755554199219</v>
      </c>
      <c r="K59" s="412">
        <v>125</v>
      </c>
      <c r="L59" s="412">
        <v>50.071968078613281</v>
      </c>
      <c r="M59" s="412"/>
      <c r="N59" s="411"/>
    </row>
    <row r="60" spans="9:14">
      <c r="I60" s="411"/>
      <c r="J60" s="411"/>
      <c r="K60" s="411"/>
      <c r="L60" s="411"/>
      <c r="M60" s="411"/>
      <c r="N60" s="411"/>
    </row>
    <row r="61" spans="9:14">
      <c r="I61" s="411" t="s">
        <v>223</v>
      </c>
      <c r="J61" s="5" t="s">
        <v>833</v>
      </c>
      <c r="K61" s="411" t="s">
        <v>834</v>
      </c>
      <c r="L61" s="411"/>
      <c r="M61" s="411"/>
      <c r="N61" s="411"/>
    </row>
    <row r="62" spans="9:14">
      <c r="I62" s="411"/>
      <c r="J62" s="411"/>
      <c r="K62" s="411"/>
      <c r="L62" s="411"/>
      <c r="M62" s="411"/>
      <c r="N62" s="411"/>
    </row>
    <row r="63" spans="9:14">
      <c r="I63" s="411"/>
      <c r="J63" s="411"/>
      <c r="K63" s="411"/>
      <c r="L63" s="411"/>
      <c r="M63" s="411"/>
      <c r="N63" s="411"/>
    </row>
    <row r="64" spans="9:14">
      <c r="I64" s="411"/>
      <c r="J64" s="411"/>
      <c r="K64" s="411"/>
      <c r="L64" s="411"/>
      <c r="M64" s="411"/>
      <c r="N64" s="411"/>
    </row>
    <row r="65" spans="9:14">
      <c r="I65" s="411"/>
      <c r="J65" s="411"/>
      <c r="K65" s="411"/>
      <c r="L65" s="411"/>
      <c r="M65" s="411"/>
      <c r="N65" s="411"/>
    </row>
    <row r="66" spans="9:14">
      <c r="I66" s="411"/>
      <c r="J66" s="411"/>
      <c r="K66" s="411"/>
      <c r="L66" s="411"/>
      <c r="M66" s="411"/>
      <c r="N66" s="411"/>
    </row>
    <row r="67" spans="9:14">
      <c r="I67" s="411"/>
      <c r="J67" s="411"/>
      <c r="K67" s="411"/>
      <c r="L67" s="411"/>
      <c r="M67" s="411"/>
      <c r="N67" s="411"/>
    </row>
    <row r="68" spans="9:14">
      <c r="I68" s="411"/>
      <c r="J68" s="411"/>
      <c r="K68" s="411"/>
      <c r="L68" s="411"/>
      <c r="M68" s="411"/>
      <c r="N68" s="411"/>
    </row>
    <row r="69" spans="9:14">
      <c r="I69" s="411"/>
      <c r="J69" s="411"/>
      <c r="K69" s="411"/>
      <c r="L69" s="411"/>
      <c r="M69" s="411"/>
      <c r="N69" s="411"/>
    </row>
    <row r="70" spans="9:14">
      <c r="I70" s="411"/>
      <c r="J70" s="411"/>
      <c r="K70" s="411"/>
      <c r="L70" s="411"/>
      <c r="M70" s="411"/>
      <c r="N70" s="411"/>
    </row>
    <row r="71" spans="9:14">
      <c r="I71" s="411"/>
      <c r="J71" s="411"/>
      <c r="K71" s="411"/>
      <c r="L71" s="411"/>
      <c r="M71" s="411"/>
      <c r="N71" s="411"/>
    </row>
    <row r="72" spans="9:14">
      <c r="I72" s="411"/>
      <c r="J72" s="411"/>
      <c r="K72" s="411"/>
      <c r="L72" s="411"/>
      <c r="M72" s="411"/>
      <c r="N72" s="411"/>
    </row>
    <row r="73" spans="9:14">
      <c r="I73" s="411"/>
      <c r="J73" s="411"/>
      <c r="K73" s="411"/>
      <c r="L73" s="411"/>
      <c r="M73" s="411"/>
      <c r="N73" s="411"/>
    </row>
    <row r="74" spans="9:14">
      <c r="I74" s="411"/>
      <c r="J74" s="411"/>
      <c r="K74" s="411"/>
      <c r="L74" s="411"/>
      <c r="M74" s="411"/>
      <c r="N74" s="411"/>
    </row>
    <row r="75" spans="9:14">
      <c r="I75" s="411"/>
      <c r="J75" s="411"/>
      <c r="K75" s="411"/>
      <c r="L75" s="411"/>
      <c r="M75" s="411"/>
      <c r="N75" s="411"/>
    </row>
    <row r="76" spans="9:14">
      <c r="I76" s="411"/>
      <c r="J76" s="411"/>
      <c r="K76" s="411"/>
      <c r="L76" s="411"/>
      <c r="M76" s="411"/>
      <c r="N76" s="411"/>
    </row>
    <row r="77" spans="9:14">
      <c r="I77" s="411"/>
      <c r="J77" s="411"/>
      <c r="K77" s="411"/>
      <c r="L77" s="411"/>
      <c r="M77" s="411"/>
      <c r="N77" s="411"/>
    </row>
    <row r="78" spans="9:14">
      <c r="I78" s="411"/>
      <c r="J78" s="411"/>
      <c r="K78" s="411"/>
      <c r="L78" s="411"/>
      <c r="M78" s="411"/>
      <c r="N78" s="411"/>
    </row>
    <row r="79" spans="9:14">
      <c r="I79" s="411"/>
      <c r="J79" s="411"/>
      <c r="K79" s="411"/>
      <c r="L79" s="411"/>
      <c r="M79" s="411"/>
      <c r="N79" s="411"/>
    </row>
    <row r="80" spans="9:14">
      <c r="I80" s="411"/>
      <c r="J80" s="411"/>
      <c r="K80" s="411"/>
      <c r="L80" s="411"/>
      <c r="M80" s="411"/>
      <c r="N80" s="411"/>
    </row>
    <row r="81" spans="9:14">
      <c r="I81" s="411"/>
      <c r="J81" s="411"/>
      <c r="K81" s="411"/>
      <c r="L81" s="411"/>
      <c r="M81" s="411"/>
      <c r="N81" s="411"/>
    </row>
    <row r="82" spans="9:14">
      <c r="I82" s="411"/>
      <c r="J82" s="411"/>
      <c r="K82" s="411"/>
      <c r="L82" s="411"/>
      <c r="M82" s="411"/>
      <c r="N82" s="411"/>
    </row>
    <row r="83" spans="9:14">
      <c r="I83" s="411"/>
      <c r="J83" s="411"/>
      <c r="K83" s="411"/>
      <c r="L83" s="411"/>
      <c r="M83" s="411"/>
      <c r="N83" s="411"/>
    </row>
    <row r="84" spans="9:14">
      <c r="I84" s="411"/>
      <c r="J84" s="411"/>
      <c r="K84" s="411"/>
      <c r="L84" s="411"/>
      <c r="M84" s="411"/>
      <c r="N84" s="411"/>
    </row>
    <row r="85" spans="9:14">
      <c r="I85" s="411"/>
      <c r="J85" s="411"/>
      <c r="K85" s="411"/>
      <c r="L85" s="411"/>
      <c r="M85" s="411"/>
      <c r="N85" s="411"/>
    </row>
    <row r="86" spans="9:14">
      <c r="I86" s="411"/>
      <c r="J86" s="411"/>
      <c r="K86" s="411"/>
      <c r="L86" s="411"/>
      <c r="M86" s="411"/>
      <c r="N86" s="411"/>
    </row>
    <row r="87" spans="9:14">
      <c r="I87" s="411"/>
      <c r="J87" s="411"/>
      <c r="K87" s="411"/>
      <c r="L87" s="411"/>
      <c r="M87" s="411"/>
      <c r="N87" s="411"/>
    </row>
    <row r="88" spans="9:14">
      <c r="I88" s="411"/>
      <c r="J88" s="411"/>
      <c r="K88" s="411"/>
      <c r="L88" s="411"/>
      <c r="M88" s="411"/>
      <c r="N88" s="411"/>
    </row>
    <row r="89" spans="9:14">
      <c r="I89" s="411"/>
      <c r="J89" s="411"/>
      <c r="K89" s="411"/>
      <c r="L89" s="411"/>
      <c r="M89" s="411"/>
      <c r="N89" s="411"/>
    </row>
    <row r="90" spans="9:14">
      <c r="I90" s="411"/>
      <c r="J90" s="411"/>
      <c r="K90" s="411"/>
      <c r="L90" s="411"/>
      <c r="M90" s="411"/>
      <c r="N90" s="411"/>
    </row>
    <row r="91" spans="9:14">
      <c r="I91" s="411"/>
      <c r="J91" s="411"/>
      <c r="K91" s="411"/>
      <c r="L91" s="411"/>
      <c r="M91" s="411"/>
      <c r="N91" s="411"/>
    </row>
    <row r="92" spans="9:14">
      <c r="I92" s="411"/>
      <c r="J92" s="411"/>
      <c r="K92" s="411"/>
      <c r="L92" s="411"/>
      <c r="M92" s="411"/>
      <c r="N92" s="411"/>
    </row>
    <row r="93" spans="9:14">
      <c r="I93" s="411"/>
      <c r="J93" s="411"/>
      <c r="K93" s="411"/>
      <c r="L93" s="411"/>
      <c r="M93" s="411"/>
      <c r="N93" s="411"/>
    </row>
    <row r="94" spans="9:14">
      <c r="I94" s="411"/>
      <c r="J94" s="411"/>
      <c r="K94" s="411"/>
      <c r="L94" s="411"/>
      <c r="M94" s="411"/>
      <c r="N94" s="411"/>
    </row>
    <row r="95" spans="9:14">
      <c r="I95" s="411"/>
      <c r="J95" s="411"/>
      <c r="K95" s="411"/>
      <c r="L95" s="411"/>
      <c r="M95" s="411"/>
      <c r="N95" s="411"/>
    </row>
    <row r="96" spans="9:14">
      <c r="I96" s="411"/>
      <c r="J96" s="411"/>
      <c r="K96" s="411"/>
      <c r="L96" s="411"/>
      <c r="M96" s="411"/>
      <c r="N96" s="411"/>
    </row>
    <row r="97" spans="9:14">
      <c r="I97" s="411"/>
      <c r="J97" s="411"/>
      <c r="K97" s="411"/>
      <c r="L97" s="411"/>
      <c r="M97" s="411"/>
      <c r="N97" s="411"/>
    </row>
    <row r="98" spans="9:14">
      <c r="I98" s="411"/>
      <c r="J98" s="411"/>
      <c r="K98" s="411"/>
      <c r="L98" s="411"/>
      <c r="M98" s="411"/>
      <c r="N98" s="411"/>
    </row>
  </sheetData>
  <hyperlinks>
    <hyperlink ref="J61" r:id="rId1" xr:uid="{00000000-0004-0000-1200-000000000000}"/>
  </hyperlinks>
  <pageMargins left="0.7" right="0.7" top="0.78740157499999996" bottom="0.78740157499999996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14"/>
  <sheetViews>
    <sheetView workbookViewId="0">
      <selection activeCell="A21" sqref="A21"/>
    </sheetView>
  </sheetViews>
  <sheetFormatPr baseColWidth="10" defaultRowHeight="15"/>
  <cols>
    <col min="1" max="1" width="153.33203125" style="366" customWidth="1"/>
    <col min="2" max="2" width="43" bestFit="1" customWidth="1"/>
  </cols>
  <sheetData>
    <row r="1" spans="1:3">
      <c r="A1" s="543" t="s">
        <v>977</v>
      </c>
    </row>
    <row r="2" spans="1:3" ht="30">
      <c r="A2" s="543" t="s">
        <v>978</v>
      </c>
    </row>
    <row r="3" spans="1:3">
      <c r="A3" s="543" t="s">
        <v>979</v>
      </c>
    </row>
    <row r="4" spans="1:3">
      <c r="A4" s="543" t="s">
        <v>980</v>
      </c>
    </row>
    <row r="5" spans="1:3">
      <c r="A5" s="543" t="s">
        <v>981</v>
      </c>
    </row>
    <row r="6" spans="1:3">
      <c r="B6" t="s">
        <v>987</v>
      </c>
    </row>
    <row r="7" spans="1:3">
      <c r="B7" t="s">
        <v>985</v>
      </c>
      <c r="C7" s="544">
        <v>0.24099999999999999</v>
      </c>
    </row>
    <row r="8" spans="1:3">
      <c r="B8" t="s">
        <v>982</v>
      </c>
      <c r="C8" s="544">
        <v>0.20599999999999999</v>
      </c>
    </row>
    <row r="9" spans="1:3">
      <c r="B9" t="s">
        <v>857</v>
      </c>
      <c r="C9" s="544">
        <v>0.159</v>
      </c>
    </row>
    <row r="10" spans="1:3">
      <c r="B10" t="s">
        <v>984</v>
      </c>
      <c r="C10" s="544">
        <v>0.13800000000000001</v>
      </c>
    </row>
    <row r="11" spans="1:3">
      <c r="B11" t="s">
        <v>986</v>
      </c>
      <c r="C11" s="544">
        <v>8.2000000000000003E-2</v>
      </c>
    </row>
    <row r="12" spans="1:3">
      <c r="B12" t="s">
        <v>442</v>
      </c>
      <c r="C12" s="544">
        <v>7.9000000000000001E-2</v>
      </c>
    </row>
    <row r="13" spans="1:3">
      <c r="B13" t="s">
        <v>983</v>
      </c>
      <c r="C13" s="544">
        <v>6.4000000000000001E-2</v>
      </c>
    </row>
    <row r="14" spans="1:3">
      <c r="B14" t="s">
        <v>988</v>
      </c>
      <c r="C14" s="544">
        <v>2.5000000000000001E-2</v>
      </c>
    </row>
  </sheetData>
  <sortState ref="B7:C14">
    <sortCondition descending="1" ref="C14"/>
  </sortState>
  <pageMargins left="0.7" right="0.7" top="0.78740157499999996" bottom="0.78740157499999996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1"/>
  <sheetViews>
    <sheetView workbookViewId="0">
      <selection activeCell="B26" sqref="B26"/>
    </sheetView>
  </sheetViews>
  <sheetFormatPr baseColWidth="10" defaultRowHeight="15"/>
  <cols>
    <col min="1" max="1" width="12.33203125" bestFit="1" customWidth="1"/>
    <col min="2" max="3" width="15.5" bestFit="1" customWidth="1"/>
    <col min="4" max="5" width="11.5" bestFit="1" customWidth="1"/>
    <col min="6" max="6" width="15.5" bestFit="1" customWidth="1"/>
  </cols>
  <sheetData>
    <row r="1" spans="1:6">
      <c r="A1" t="s">
        <v>1002</v>
      </c>
      <c r="B1" t="s">
        <v>499</v>
      </c>
      <c r="C1" t="s">
        <v>618</v>
      </c>
      <c r="D1" t="s">
        <v>0</v>
      </c>
      <c r="E1" t="s">
        <v>1001</v>
      </c>
      <c r="F1" t="s">
        <v>1003</v>
      </c>
    </row>
    <row r="2" spans="1:6">
      <c r="A2">
        <v>2004</v>
      </c>
      <c r="B2" s="1">
        <v>36702056</v>
      </c>
      <c r="C2" s="1">
        <v>8293749</v>
      </c>
      <c r="D2" s="1">
        <v>2169</v>
      </c>
      <c r="E2" s="1"/>
      <c r="F2" s="1">
        <v>45022926</v>
      </c>
    </row>
    <row r="3" spans="1:6">
      <c r="A3">
        <v>2005</v>
      </c>
      <c r="B3" s="1">
        <v>36256631</v>
      </c>
      <c r="C3" s="1">
        <v>9071536</v>
      </c>
      <c r="D3" s="1">
        <v>2038</v>
      </c>
      <c r="E3" s="1"/>
      <c r="F3" s="1">
        <v>45375526</v>
      </c>
    </row>
    <row r="4" spans="1:6">
      <c r="A4">
        <v>2006</v>
      </c>
      <c r="B4" s="1">
        <v>35918697</v>
      </c>
      <c r="C4" s="1">
        <v>10091290</v>
      </c>
      <c r="D4" s="1">
        <v>1931</v>
      </c>
      <c r="E4" s="1">
        <v>5971</v>
      </c>
      <c r="F4" s="1">
        <v>46090303</v>
      </c>
    </row>
    <row r="5" spans="1:6">
      <c r="A5">
        <v>2007</v>
      </c>
      <c r="B5" s="1">
        <v>35594333</v>
      </c>
      <c r="C5" s="1">
        <v>10819760</v>
      </c>
      <c r="D5" s="1">
        <v>1790</v>
      </c>
      <c r="E5" s="1">
        <v>11275</v>
      </c>
      <c r="F5" s="1">
        <v>46569657</v>
      </c>
    </row>
    <row r="6" spans="1:6">
      <c r="A6">
        <v>2008</v>
      </c>
      <c r="B6" s="1">
        <v>30905204</v>
      </c>
      <c r="C6" s="1">
        <v>10045903</v>
      </c>
      <c r="D6" s="1">
        <v>1436</v>
      </c>
      <c r="E6" s="1">
        <v>17307</v>
      </c>
      <c r="F6" s="1">
        <v>41183594</v>
      </c>
    </row>
    <row r="7" spans="1:6">
      <c r="A7">
        <v>2009</v>
      </c>
      <c r="B7" s="1">
        <v>30639015</v>
      </c>
      <c r="C7" s="1">
        <v>10290288</v>
      </c>
      <c r="D7" s="1">
        <v>1452</v>
      </c>
      <c r="E7" s="1">
        <v>22330</v>
      </c>
      <c r="F7" s="1">
        <v>41321171</v>
      </c>
    </row>
    <row r="8" spans="1:6">
      <c r="A8">
        <v>2010</v>
      </c>
      <c r="B8" s="1">
        <v>30449617</v>
      </c>
      <c r="C8" s="1">
        <v>10817769</v>
      </c>
      <c r="D8" s="1">
        <v>1588</v>
      </c>
      <c r="E8" s="1">
        <v>28862</v>
      </c>
      <c r="F8" s="1">
        <v>41737627</v>
      </c>
    </row>
    <row r="9" spans="1:6">
      <c r="A9">
        <v>2011</v>
      </c>
      <c r="B9" s="1">
        <v>30487578</v>
      </c>
      <c r="C9" s="1">
        <v>11266644</v>
      </c>
      <c r="D9" s="1">
        <v>2307</v>
      </c>
      <c r="E9" s="1">
        <v>37256</v>
      </c>
      <c r="F9" s="1">
        <v>42301563</v>
      </c>
    </row>
    <row r="10" spans="1:6">
      <c r="A10">
        <v>2012</v>
      </c>
      <c r="B10" s="1">
        <v>30452019</v>
      </c>
      <c r="C10" s="1">
        <v>11891375</v>
      </c>
      <c r="D10" s="1">
        <v>4541</v>
      </c>
      <c r="E10" s="1">
        <v>47642</v>
      </c>
      <c r="F10" s="1">
        <v>42927647</v>
      </c>
    </row>
    <row r="11" spans="1:6">
      <c r="A11">
        <v>2013</v>
      </c>
      <c r="B11" s="1">
        <v>30206472</v>
      </c>
      <c r="C11" s="1">
        <v>12578950</v>
      </c>
      <c r="D11" s="1">
        <v>7114</v>
      </c>
      <c r="E11" s="1">
        <v>64995</v>
      </c>
      <c r="F11" s="1">
        <v>43431124</v>
      </c>
    </row>
  </sheetData>
  <pageMargins left="0.7" right="0.7" top="0.78740157499999996" bottom="0.78740157499999996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13"/>
  <sheetViews>
    <sheetView workbookViewId="0">
      <selection activeCell="C14" sqref="C14"/>
    </sheetView>
  </sheetViews>
  <sheetFormatPr baseColWidth="10" defaultRowHeight="15"/>
  <sheetData>
    <row r="1" spans="1:7">
      <c r="A1" s="542">
        <v>785.89</v>
      </c>
      <c r="B1" s="542">
        <v>928</v>
      </c>
      <c r="D1" s="5" t="s">
        <v>1031</v>
      </c>
    </row>
    <row r="2" spans="1:7">
      <c r="A2" s="542">
        <v>839.68</v>
      </c>
      <c r="B2" s="542">
        <v>962.66</v>
      </c>
    </row>
    <row r="3" spans="1:7">
      <c r="A3" s="542">
        <v>844.8</v>
      </c>
      <c r="B3" s="542">
        <v>976.8</v>
      </c>
      <c r="G3" t="s">
        <v>1030</v>
      </c>
    </row>
    <row r="4" spans="1:7">
      <c r="A4" s="542">
        <v>849.66</v>
      </c>
      <c r="B4" s="542">
        <v>1021.24</v>
      </c>
      <c r="G4" t="s">
        <v>1029</v>
      </c>
    </row>
    <row r="5" spans="1:7">
      <c r="A5" s="542">
        <v>883.88</v>
      </c>
      <c r="B5" s="542">
        <v>1059.3599999999999</v>
      </c>
      <c r="G5" t="s">
        <v>1028</v>
      </c>
    </row>
    <row r="6" spans="1:7">
      <c r="A6">
        <v>889.6</v>
      </c>
      <c r="B6" s="542">
        <v>1075.03</v>
      </c>
    </row>
    <row r="7" spans="1:7">
      <c r="A7" s="542">
        <v>953.2</v>
      </c>
      <c r="B7" s="542">
        <v>1123.2</v>
      </c>
    </row>
    <row r="8" spans="1:7">
      <c r="A8" s="542">
        <v>985.5</v>
      </c>
      <c r="B8" s="542">
        <v>1159.6099999999999</v>
      </c>
    </row>
    <row r="9" spans="1:7">
      <c r="A9" s="542">
        <v>1005.6</v>
      </c>
      <c r="B9" s="542">
        <v>1198.03</v>
      </c>
    </row>
    <row r="10" spans="1:7">
      <c r="A10" s="542">
        <v>1016.5</v>
      </c>
      <c r="B10" s="542">
        <v>1236.27</v>
      </c>
    </row>
    <row r="13" spans="1:7">
      <c r="A13" s="542">
        <f>AVERAGE(A1:A10)</f>
        <v>905.43100000000015</v>
      </c>
      <c r="B13" s="542">
        <f>AVERAGE(B1:B10)</f>
        <v>1074.02</v>
      </c>
      <c r="C13">
        <f>B13/A13</f>
        <v>1.1861975125658386</v>
      </c>
    </row>
  </sheetData>
  <hyperlinks>
    <hyperlink ref="D1" r:id="rId1" display="http://www.versicherungsvergleich.org/" xr:uid="{00000000-0004-0000-1500-000000000000}"/>
  </hyperlink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filterMode="1"/>
  <dimension ref="A1:J51"/>
  <sheetViews>
    <sheetView workbookViewId="0">
      <selection activeCell="J8" sqref="J8"/>
    </sheetView>
  </sheetViews>
  <sheetFormatPr baseColWidth="10" defaultRowHeight="15"/>
  <cols>
    <col min="1" max="1" width="20.1640625" bestFit="1" customWidth="1"/>
    <col min="2" max="2" width="20.33203125" bestFit="1" customWidth="1"/>
    <col min="3" max="3" width="15.5" bestFit="1" customWidth="1"/>
    <col min="4" max="7" width="15.5" customWidth="1"/>
    <col min="8" max="8" width="27.6640625" bestFit="1" customWidth="1"/>
    <col min="9" max="9" width="27.6640625" customWidth="1"/>
  </cols>
  <sheetData>
    <row r="1" spans="1:10">
      <c r="A1" t="s">
        <v>496</v>
      </c>
      <c r="B1" s="587">
        <v>4000</v>
      </c>
    </row>
    <row r="3" spans="1:10">
      <c r="C3" t="s">
        <v>1041</v>
      </c>
      <c r="D3" t="s">
        <v>1050</v>
      </c>
      <c r="H3" t="s">
        <v>8</v>
      </c>
    </row>
    <row r="4" spans="1:10">
      <c r="C4" s="383">
        <f>AVERAGE(C7:C51)</f>
        <v>26.026444444444447</v>
      </c>
      <c r="D4" s="383">
        <f t="shared" ref="D4:H4" si="0">AVERAGE(D7:D51)</f>
        <v>8.6844444444444449</v>
      </c>
      <c r="E4" s="383">
        <f t="shared" si="0"/>
        <v>1041.057777777778</v>
      </c>
      <c r="F4" s="383">
        <f t="shared" si="0"/>
        <v>104.21333333333334</v>
      </c>
      <c r="G4" s="383">
        <f t="shared" si="0"/>
        <v>1145.2711111111112</v>
      </c>
      <c r="H4" s="383">
        <f t="shared" si="0"/>
        <v>0.70842222222222229</v>
      </c>
    </row>
    <row r="5" spans="1:10">
      <c r="C5" s="383">
        <f>SUBTOTAL(1,C7:C51)</f>
        <v>26.155384615384612</v>
      </c>
      <c r="D5" s="383">
        <f t="shared" ref="D5:H5" si="1">SUBTOTAL(1,D7:D51)</f>
        <v>8.9942307692307697</v>
      </c>
      <c r="E5" s="383">
        <f t="shared" si="1"/>
        <v>1046.2153846153844</v>
      </c>
      <c r="F5" s="383">
        <f t="shared" si="1"/>
        <v>107.93076923076923</v>
      </c>
      <c r="G5" s="383">
        <f t="shared" si="1"/>
        <v>1154.1461538461538</v>
      </c>
      <c r="H5" s="383">
        <f t="shared" si="1"/>
        <v>0.92892307692307696</v>
      </c>
    </row>
    <row r="6" spans="1:10">
      <c r="A6" t="s">
        <v>1038</v>
      </c>
      <c r="B6" t="s">
        <v>1046</v>
      </c>
      <c r="C6" t="s">
        <v>1039</v>
      </c>
      <c r="D6" t="s">
        <v>46</v>
      </c>
      <c r="H6" t="s">
        <v>1040</v>
      </c>
      <c r="J6" t="s">
        <v>1043</v>
      </c>
    </row>
    <row r="7" spans="1:10" hidden="1">
      <c r="A7" t="s">
        <v>1069</v>
      </c>
      <c r="B7" t="s">
        <v>1070</v>
      </c>
      <c r="C7">
        <v>24.84</v>
      </c>
      <c r="D7" s="542">
        <v>15.24</v>
      </c>
      <c r="E7" s="4">
        <f t="shared" ref="E7:E51" si="2">$B$1*C7/100</f>
        <v>993.6</v>
      </c>
      <c r="F7" s="4">
        <f t="shared" ref="F7:F51" si="3">D7*12</f>
        <v>182.88</v>
      </c>
      <c r="G7" s="4">
        <f t="shared" ref="G7:G51" si="4">E7+F7</f>
        <v>1176.48</v>
      </c>
      <c r="H7" s="586">
        <v>0.27</v>
      </c>
      <c r="I7" s="586"/>
      <c r="J7" t="s">
        <v>1071</v>
      </c>
    </row>
    <row r="8" spans="1:10" s="2" customFormat="1">
      <c r="A8" s="2" t="s">
        <v>1072</v>
      </c>
      <c r="B8" s="2" t="s">
        <v>1073</v>
      </c>
      <c r="C8" s="2">
        <v>26.18</v>
      </c>
      <c r="D8" s="588">
        <v>7.94</v>
      </c>
      <c r="E8" s="392">
        <f t="shared" si="2"/>
        <v>1047.2</v>
      </c>
      <c r="F8" s="392">
        <f t="shared" si="3"/>
        <v>95.28</v>
      </c>
      <c r="G8" s="392">
        <f t="shared" si="4"/>
        <v>1142.48</v>
      </c>
      <c r="H8" s="589">
        <v>1</v>
      </c>
      <c r="I8" s="589" t="s">
        <v>447</v>
      </c>
      <c r="J8" s="2" t="s">
        <v>1074</v>
      </c>
    </row>
    <row r="9" spans="1:10" hidden="1">
      <c r="A9" t="s">
        <v>1101</v>
      </c>
      <c r="B9" t="s">
        <v>1102</v>
      </c>
      <c r="C9">
        <v>27.35</v>
      </c>
      <c r="D9" s="542">
        <v>10.87</v>
      </c>
      <c r="E9" s="4">
        <f t="shared" si="2"/>
        <v>1094</v>
      </c>
      <c r="F9" s="4">
        <f t="shared" si="3"/>
        <v>130.44</v>
      </c>
      <c r="G9" s="4">
        <f t="shared" si="4"/>
        <v>1224.44</v>
      </c>
      <c r="H9" s="586">
        <v>0.21</v>
      </c>
      <c r="I9" s="586"/>
      <c r="J9" t="s">
        <v>1103</v>
      </c>
    </row>
    <row r="10" spans="1:10" hidden="1">
      <c r="A10" t="s">
        <v>1116</v>
      </c>
      <c r="B10" t="s">
        <v>1117</v>
      </c>
      <c r="C10">
        <v>25.46</v>
      </c>
      <c r="D10" s="542">
        <v>5</v>
      </c>
      <c r="E10" s="4">
        <f t="shared" si="2"/>
        <v>1018.4</v>
      </c>
      <c r="F10" s="4">
        <f t="shared" si="3"/>
        <v>60</v>
      </c>
      <c r="G10" s="4">
        <f t="shared" si="4"/>
        <v>1078.4000000000001</v>
      </c>
      <c r="H10" s="586">
        <v>1</v>
      </c>
      <c r="I10" s="586"/>
      <c r="J10" t="s">
        <v>1118</v>
      </c>
    </row>
    <row r="11" spans="1:10" hidden="1">
      <c r="A11" t="s">
        <v>1104</v>
      </c>
      <c r="B11" t="s">
        <v>1105</v>
      </c>
      <c r="C11">
        <v>29.9</v>
      </c>
      <c r="D11" s="542">
        <v>0</v>
      </c>
      <c r="E11" s="4">
        <f t="shared" si="2"/>
        <v>1196</v>
      </c>
      <c r="F11" s="4">
        <f t="shared" si="3"/>
        <v>0</v>
      </c>
      <c r="G11" s="4">
        <f t="shared" si="4"/>
        <v>1196</v>
      </c>
      <c r="H11" s="586">
        <v>0.249</v>
      </c>
      <c r="I11" s="586"/>
      <c r="J11" t="s">
        <v>1106</v>
      </c>
    </row>
    <row r="12" spans="1:10" hidden="1">
      <c r="A12" t="s">
        <v>1083</v>
      </c>
      <c r="B12" t="s">
        <v>1084</v>
      </c>
      <c r="C12">
        <v>26.64</v>
      </c>
      <c r="D12" s="542">
        <v>7.08</v>
      </c>
      <c r="E12" s="4">
        <f t="shared" si="2"/>
        <v>1065.5999999999999</v>
      </c>
      <c r="F12" s="4">
        <f t="shared" si="3"/>
        <v>84.960000000000008</v>
      </c>
      <c r="G12" s="4">
        <f t="shared" si="4"/>
        <v>1150.56</v>
      </c>
      <c r="H12" s="586">
        <v>0.246</v>
      </c>
      <c r="I12" s="586"/>
      <c r="J12" t="s">
        <v>1085</v>
      </c>
    </row>
    <row r="13" spans="1:10" s="2" customFormat="1">
      <c r="A13" s="2" t="s">
        <v>1095</v>
      </c>
      <c r="B13" s="2" t="s">
        <v>1096</v>
      </c>
      <c r="C13" s="2">
        <v>26.8</v>
      </c>
      <c r="D13" s="588">
        <v>9</v>
      </c>
      <c r="E13" s="392">
        <f t="shared" si="2"/>
        <v>1072</v>
      </c>
      <c r="F13" s="392">
        <f t="shared" si="3"/>
        <v>108</v>
      </c>
      <c r="G13" s="392">
        <f t="shared" si="4"/>
        <v>1180</v>
      </c>
      <c r="H13" s="589">
        <v>1</v>
      </c>
      <c r="I13" s="589" t="s">
        <v>447</v>
      </c>
      <c r="J13" s="2" t="s">
        <v>1097</v>
      </c>
    </row>
    <row r="14" spans="1:10" s="2" customFormat="1">
      <c r="A14" s="2" t="s">
        <v>1051</v>
      </c>
      <c r="B14" s="2" t="s">
        <v>1052</v>
      </c>
      <c r="C14" s="2">
        <v>25.55</v>
      </c>
      <c r="D14" s="588">
        <v>8</v>
      </c>
      <c r="E14" s="392">
        <f t="shared" si="2"/>
        <v>1022</v>
      </c>
      <c r="F14" s="392">
        <f t="shared" si="3"/>
        <v>96</v>
      </c>
      <c r="G14" s="392">
        <f t="shared" si="4"/>
        <v>1118</v>
      </c>
      <c r="H14" s="589">
        <v>0.56200000000000006</v>
      </c>
      <c r="I14" s="589" t="s">
        <v>447</v>
      </c>
      <c r="J14" s="2" t="s">
        <v>1053</v>
      </c>
    </row>
    <row r="15" spans="1:10" hidden="1">
      <c r="A15" t="s">
        <v>1054</v>
      </c>
      <c r="B15" t="s">
        <v>1055</v>
      </c>
      <c r="C15">
        <v>25.92</v>
      </c>
      <c r="D15" s="542">
        <v>6.67</v>
      </c>
      <c r="E15" s="4">
        <f t="shared" si="2"/>
        <v>1036.8</v>
      </c>
      <c r="F15" s="4">
        <f t="shared" si="3"/>
        <v>80.039999999999992</v>
      </c>
      <c r="G15" s="4">
        <f t="shared" si="4"/>
        <v>1116.8399999999999</v>
      </c>
      <c r="H15" s="586">
        <v>0.56200000000000006</v>
      </c>
      <c r="I15" s="586"/>
      <c r="J15" t="s">
        <v>1056</v>
      </c>
    </row>
    <row r="16" spans="1:10" s="2" customFormat="1">
      <c r="A16" s="2" t="s">
        <v>1066</v>
      </c>
      <c r="B16" s="2" t="s">
        <v>1067</v>
      </c>
      <c r="C16" s="2">
        <v>25.89</v>
      </c>
      <c r="D16" s="588">
        <v>7.95</v>
      </c>
      <c r="E16" s="392">
        <f t="shared" si="2"/>
        <v>1035.5999999999999</v>
      </c>
      <c r="F16" s="392">
        <f t="shared" si="3"/>
        <v>95.4</v>
      </c>
      <c r="G16" s="392">
        <f t="shared" si="4"/>
        <v>1131</v>
      </c>
      <c r="H16" s="589">
        <v>1</v>
      </c>
      <c r="I16" s="589" t="s">
        <v>447</v>
      </c>
      <c r="J16" s="2" t="s">
        <v>1068</v>
      </c>
    </row>
    <row r="17" spans="1:10" s="2" customFormat="1">
      <c r="A17" s="2" t="s">
        <v>1063</v>
      </c>
      <c r="B17" s="2" t="s">
        <v>1064</v>
      </c>
      <c r="C17" s="2">
        <v>26.07</v>
      </c>
      <c r="D17" s="588">
        <v>6.87</v>
      </c>
      <c r="E17" s="392">
        <f t="shared" si="2"/>
        <v>1042.8</v>
      </c>
      <c r="F17" s="392">
        <f t="shared" si="3"/>
        <v>82.44</v>
      </c>
      <c r="G17" s="392">
        <f t="shared" si="4"/>
        <v>1125.24</v>
      </c>
      <c r="H17" s="589">
        <v>0.27</v>
      </c>
      <c r="I17" s="589" t="s">
        <v>447</v>
      </c>
      <c r="J17" s="2" t="s">
        <v>1065</v>
      </c>
    </row>
    <row r="18" spans="1:10" hidden="1">
      <c r="A18" t="s">
        <v>1107</v>
      </c>
      <c r="B18" t="s">
        <v>1108</v>
      </c>
      <c r="C18">
        <v>25.29</v>
      </c>
      <c r="D18" s="542">
        <v>29.58</v>
      </c>
      <c r="E18" s="4">
        <f t="shared" si="2"/>
        <v>1011.6</v>
      </c>
      <c r="F18" s="4">
        <f t="shared" si="3"/>
        <v>354.96</v>
      </c>
      <c r="G18" s="4">
        <f t="shared" si="4"/>
        <v>1366.56</v>
      </c>
      <c r="H18" s="586">
        <v>0.249</v>
      </c>
      <c r="I18" s="586"/>
      <c r="J18" t="s">
        <v>1109</v>
      </c>
    </row>
    <row r="19" spans="1:10" hidden="1">
      <c r="A19" t="s">
        <v>1110</v>
      </c>
      <c r="B19" t="s">
        <v>1111</v>
      </c>
      <c r="C19">
        <v>24.48</v>
      </c>
      <c r="D19" s="542">
        <v>9.52</v>
      </c>
      <c r="E19" s="4">
        <f t="shared" si="2"/>
        <v>979.2</v>
      </c>
      <c r="F19" s="4">
        <f t="shared" si="3"/>
        <v>114.24</v>
      </c>
      <c r="G19" s="4">
        <f t="shared" si="4"/>
        <v>1093.44</v>
      </c>
      <c r="H19" s="586">
        <v>0.26200000000000001</v>
      </c>
      <c r="I19" s="586"/>
      <c r="J19" t="s">
        <v>1112</v>
      </c>
    </row>
    <row r="20" spans="1:10" hidden="1">
      <c r="A20" t="s">
        <v>1092</v>
      </c>
      <c r="B20" t="s">
        <v>1093</v>
      </c>
      <c r="C20">
        <v>26.64</v>
      </c>
      <c r="D20" s="542">
        <v>9.5</v>
      </c>
      <c r="E20" s="4">
        <f t="shared" si="2"/>
        <v>1065.5999999999999</v>
      </c>
      <c r="F20" s="4">
        <f t="shared" si="3"/>
        <v>114</v>
      </c>
      <c r="G20" s="4">
        <f t="shared" si="4"/>
        <v>1179.5999999999999</v>
      </c>
      <c r="H20" s="586">
        <v>0.21</v>
      </c>
      <c r="I20" s="586"/>
      <c r="J20" t="s">
        <v>1094</v>
      </c>
    </row>
    <row r="21" spans="1:10" s="2" customFormat="1">
      <c r="A21" s="2" t="s">
        <v>1125</v>
      </c>
      <c r="B21" s="2" t="s">
        <v>1126</v>
      </c>
      <c r="C21" s="2">
        <v>23.72</v>
      </c>
      <c r="D21" s="588">
        <v>9.85</v>
      </c>
      <c r="E21" s="392">
        <f t="shared" si="2"/>
        <v>948.8</v>
      </c>
      <c r="F21" s="392">
        <f t="shared" si="3"/>
        <v>118.19999999999999</v>
      </c>
      <c r="G21" s="392">
        <f t="shared" si="4"/>
        <v>1067</v>
      </c>
      <c r="H21" s="589">
        <v>0.32</v>
      </c>
      <c r="I21" s="589" t="s">
        <v>447</v>
      </c>
      <c r="J21" s="2" t="s">
        <v>1127</v>
      </c>
    </row>
    <row r="22" spans="1:10" hidden="1">
      <c r="A22" t="s">
        <v>1122</v>
      </c>
      <c r="B22" t="s">
        <v>1123</v>
      </c>
      <c r="C22">
        <v>25.29</v>
      </c>
      <c r="D22" s="542">
        <v>0</v>
      </c>
      <c r="E22" s="4">
        <f t="shared" si="2"/>
        <v>1011.6</v>
      </c>
      <c r="F22" s="4">
        <f t="shared" si="3"/>
        <v>0</v>
      </c>
      <c r="G22" s="4">
        <f t="shared" si="4"/>
        <v>1011.6</v>
      </c>
      <c r="H22" s="586">
        <v>3.7999999999999999E-2</v>
      </c>
      <c r="I22" s="586"/>
      <c r="J22" t="s">
        <v>1124</v>
      </c>
    </row>
    <row r="23" spans="1:10" hidden="1">
      <c r="A23" t="s">
        <v>1078</v>
      </c>
      <c r="B23" t="s">
        <v>1079</v>
      </c>
      <c r="C23">
        <v>25.88</v>
      </c>
      <c r="D23" s="542">
        <v>5.75</v>
      </c>
      <c r="E23" s="4">
        <f t="shared" si="2"/>
        <v>1035.2</v>
      </c>
      <c r="F23" s="4">
        <f t="shared" si="3"/>
        <v>69</v>
      </c>
      <c r="G23" s="4">
        <f t="shared" si="4"/>
        <v>1104.2</v>
      </c>
      <c r="H23" s="586">
        <v>0.246</v>
      </c>
      <c r="I23" s="586"/>
      <c r="J23" t="s">
        <v>1080</v>
      </c>
    </row>
    <row r="24" spans="1:10" hidden="1">
      <c r="A24" t="s">
        <v>1042</v>
      </c>
      <c r="B24" t="s">
        <v>1049</v>
      </c>
      <c r="C24">
        <v>25.67</v>
      </c>
      <c r="D24" s="542">
        <v>5.76</v>
      </c>
      <c r="E24" s="4">
        <f t="shared" si="2"/>
        <v>1026.8</v>
      </c>
      <c r="F24" s="4">
        <f t="shared" si="3"/>
        <v>69.12</v>
      </c>
      <c r="G24" s="4">
        <f t="shared" si="4"/>
        <v>1095.92</v>
      </c>
      <c r="H24" s="586">
        <v>0.17199999999999999</v>
      </c>
      <c r="I24" s="586"/>
      <c r="J24" t="s">
        <v>1044</v>
      </c>
    </row>
    <row r="25" spans="1:10" hidden="1">
      <c r="A25" t="s">
        <v>1119</v>
      </c>
      <c r="B25" s="547" t="s">
        <v>1120</v>
      </c>
      <c r="C25">
        <v>22.81</v>
      </c>
      <c r="D25" s="542">
        <v>9.0399999999999991</v>
      </c>
      <c r="E25" s="4">
        <f t="shared" si="2"/>
        <v>912.4</v>
      </c>
      <c r="F25" s="4">
        <f t="shared" si="3"/>
        <v>108.47999999999999</v>
      </c>
      <c r="G25" s="4">
        <f t="shared" si="4"/>
        <v>1020.88</v>
      </c>
      <c r="H25" s="586">
        <v>1</v>
      </c>
      <c r="I25" s="586"/>
      <c r="J25" t="s">
        <v>1121</v>
      </c>
    </row>
    <row r="26" spans="1:10" hidden="1">
      <c r="A26" t="s">
        <v>1060</v>
      </c>
      <c r="B26" t="s">
        <v>1061</v>
      </c>
      <c r="C26">
        <v>26.01</v>
      </c>
      <c r="D26" s="542">
        <v>7</v>
      </c>
      <c r="E26" s="4">
        <f t="shared" si="2"/>
        <v>1040.4000000000001</v>
      </c>
      <c r="F26" s="4">
        <f t="shared" si="3"/>
        <v>84</v>
      </c>
      <c r="G26" s="4">
        <f t="shared" si="4"/>
        <v>1124.4000000000001</v>
      </c>
      <c r="H26" s="586">
        <v>1</v>
      </c>
      <c r="I26" s="586"/>
      <c r="J26" t="s">
        <v>1062</v>
      </c>
    </row>
    <row r="27" spans="1:10" s="2" customFormat="1">
      <c r="A27" s="2" t="s">
        <v>1081</v>
      </c>
      <c r="B27" s="2" t="s">
        <v>1134</v>
      </c>
      <c r="C27" s="2">
        <v>27.37</v>
      </c>
      <c r="D27" s="588">
        <v>2.38</v>
      </c>
      <c r="E27" s="392">
        <f t="shared" si="2"/>
        <v>1094.8</v>
      </c>
      <c r="F27" s="392">
        <f t="shared" si="3"/>
        <v>28.56</v>
      </c>
      <c r="G27" s="392">
        <f t="shared" si="4"/>
        <v>1123.3599999999999</v>
      </c>
      <c r="H27" s="589">
        <v>1</v>
      </c>
      <c r="I27" s="589" t="s">
        <v>447</v>
      </c>
      <c r="J27" s="2" t="s">
        <v>1082</v>
      </c>
    </row>
    <row r="28" spans="1:10" s="2" customFormat="1">
      <c r="A28" s="2" t="s">
        <v>1113</v>
      </c>
      <c r="B28" s="2" t="s">
        <v>1114</v>
      </c>
      <c r="C28" s="2">
        <v>25.18</v>
      </c>
      <c r="D28" s="588">
        <v>5.77</v>
      </c>
      <c r="E28" s="392">
        <f t="shared" si="2"/>
        <v>1007.2</v>
      </c>
      <c r="F28" s="392">
        <f t="shared" si="3"/>
        <v>69.239999999999995</v>
      </c>
      <c r="G28" s="392">
        <f t="shared" si="4"/>
        <v>1076.44</v>
      </c>
      <c r="H28" s="589">
        <v>1</v>
      </c>
      <c r="I28" s="589" t="s">
        <v>447</v>
      </c>
      <c r="J28" s="2" t="s">
        <v>1115</v>
      </c>
    </row>
    <row r="29" spans="1:10" hidden="1">
      <c r="A29" t="s">
        <v>1048</v>
      </c>
      <c r="B29" t="s">
        <v>1045</v>
      </c>
      <c r="C29">
        <v>25.53</v>
      </c>
      <c r="D29" s="542">
        <v>7.14</v>
      </c>
      <c r="E29" s="4">
        <f t="shared" si="2"/>
        <v>1021.2</v>
      </c>
      <c r="F29" s="4">
        <f t="shared" si="3"/>
        <v>85.679999999999993</v>
      </c>
      <c r="G29" s="4">
        <f t="shared" si="4"/>
        <v>1106.8800000000001</v>
      </c>
      <c r="H29" s="586">
        <v>0.24199999999999999</v>
      </c>
      <c r="I29" s="586"/>
      <c r="J29" t="s">
        <v>1047</v>
      </c>
    </row>
    <row r="30" spans="1:10" hidden="1">
      <c r="A30" t="s">
        <v>1057</v>
      </c>
      <c r="B30" t="s">
        <v>1058</v>
      </c>
      <c r="C30">
        <v>25.64</v>
      </c>
      <c r="D30" s="542">
        <v>8.51</v>
      </c>
      <c r="E30" s="4">
        <f t="shared" si="2"/>
        <v>1025.5999999999999</v>
      </c>
      <c r="F30" s="4">
        <f t="shared" si="3"/>
        <v>102.12</v>
      </c>
      <c r="G30" s="4">
        <f t="shared" si="4"/>
        <v>1127.7199999999998</v>
      </c>
      <c r="H30" s="586">
        <v>0.24099999999999999</v>
      </c>
      <c r="I30" s="586"/>
      <c r="J30" t="s">
        <v>1059</v>
      </c>
    </row>
    <row r="31" spans="1:10" s="2" customFormat="1">
      <c r="A31" s="2" t="s">
        <v>1098</v>
      </c>
      <c r="B31" s="2" t="s">
        <v>1099</v>
      </c>
      <c r="C31" s="2">
        <v>27.06</v>
      </c>
      <c r="D31" s="588">
        <v>7.63</v>
      </c>
      <c r="E31" s="392">
        <f t="shared" si="2"/>
        <v>1082.4000000000001</v>
      </c>
      <c r="F31" s="392">
        <f t="shared" si="3"/>
        <v>91.56</v>
      </c>
      <c r="G31" s="392">
        <f t="shared" si="4"/>
        <v>1173.96</v>
      </c>
      <c r="H31" s="589">
        <v>1</v>
      </c>
      <c r="I31" s="589" t="s">
        <v>447</v>
      </c>
      <c r="J31" s="2" t="s">
        <v>1100</v>
      </c>
    </row>
    <row r="32" spans="1:10" hidden="1">
      <c r="A32" t="s">
        <v>1128</v>
      </c>
      <c r="B32" t="s">
        <v>1129</v>
      </c>
      <c r="C32">
        <v>24.51</v>
      </c>
      <c r="D32" s="542">
        <v>6.53</v>
      </c>
      <c r="E32" s="4">
        <f t="shared" si="2"/>
        <v>980.4</v>
      </c>
      <c r="F32" s="4">
        <f t="shared" si="3"/>
        <v>78.36</v>
      </c>
      <c r="G32" s="4">
        <f t="shared" si="4"/>
        <v>1058.76</v>
      </c>
      <c r="H32" s="586">
        <v>0.32</v>
      </c>
      <c r="I32" s="586"/>
      <c r="J32" t="s">
        <v>1130</v>
      </c>
    </row>
    <row r="33" spans="1:10" s="2" customFormat="1">
      <c r="A33" s="2" t="s">
        <v>1086</v>
      </c>
      <c r="B33" s="2" t="s">
        <v>1087</v>
      </c>
      <c r="C33" s="2">
        <v>26.91</v>
      </c>
      <c r="D33" s="588">
        <v>5.86</v>
      </c>
      <c r="E33" s="392">
        <f t="shared" si="2"/>
        <v>1076.4000000000001</v>
      </c>
      <c r="F33" s="392">
        <f t="shared" si="3"/>
        <v>70.320000000000007</v>
      </c>
      <c r="G33" s="392">
        <f t="shared" si="4"/>
        <v>1146.72</v>
      </c>
      <c r="H33" s="589">
        <v>1</v>
      </c>
      <c r="I33" s="589" t="s">
        <v>447</v>
      </c>
      <c r="J33" s="2" t="s">
        <v>1088</v>
      </c>
    </row>
    <row r="34" spans="1:10" hidden="1">
      <c r="A34" t="s">
        <v>1089</v>
      </c>
      <c r="B34" t="s">
        <v>1090</v>
      </c>
      <c r="C34">
        <v>27.07</v>
      </c>
      <c r="D34" s="542">
        <v>5.86</v>
      </c>
      <c r="E34" s="4">
        <f t="shared" si="2"/>
        <v>1082.8</v>
      </c>
      <c r="F34" s="4">
        <f t="shared" si="3"/>
        <v>70.320000000000007</v>
      </c>
      <c r="G34" s="4">
        <f t="shared" si="4"/>
        <v>1153.1199999999999</v>
      </c>
      <c r="H34" s="586">
        <v>0.21</v>
      </c>
      <c r="I34" s="586"/>
      <c r="J34" t="s">
        <v>1091</v>
      </c>
    </row>
    <row r="35" spans="1:10" hidden="1">
      <c r="A35" t="s">
        <v>1076</v>
      </c>
      <c r="B35" t="s">
        <v>1075</v>
      </c>
      <c r="C35">
        <v>26.22</v>
      </c>
      <c r="D35" s="542">
        <v>7.9</v>
      </c>
      <c r="E35" s="4">
        <f t="shared" si="2"/>
        <v>1048.8</v>
      </c>
      <c r="F35" s="4">
        <f t="shared" si="3"/>
        <v>94.800000000000011</v>
      </c>
      <c r="G35" s="4">
        <f t="shared" si="4"/>
        <v>1143.5999999999999</v>
      </c>
      <c r="H35" s="586">
        <v>1</v>
      </c>
      <c r="I35" s="586"/>
      <c r="J35" t="s">
        <v>1077</v>
      </c>
    </row>
    <row r="36" spans="1:10" s="2" customFormat="1">
      <c r="A36" s="2" t="s">
        <v>1131</v>
      </c>
      <c r="B36" s="2" t="s">
        <v>1132</v>
      </c>
      <c r="C36" s="2">
        <v>24.5</v>
      </c>
      <c r="D36" s="588">
        <v>6.86</v>
      </c>
      <c r="E36" s="392">
        <f t="shared" si="2"/>
        <v>980</v>
      </c>
      <c r="F36" s="392">
        <f t="shared" si="3"/>
        <v>82.320000000000007</v>
      </c>
      <c r="G36" s="392">
        <f t="shared" si="4"/>
        <v>1062.32</v>
      </c>
      <c r="H36" s="589">
        <v>1</v>
      </c>
      <c r="I36" s="589" t="s">
        <v>447</v>
      </c>
      <c r="J36" s="2" t="s">
        <v>1133</v>
      </c>
    </row>
    <row r="37" spans="1:10">
      <c r="A37" s="2" t="s">
        <v>1135</v>
      </c>
      <c r="B37" s="2" t="s">
        <v>1136</v>
      </c>
      <c r="C37" s="2">
        <v>25.47</v>
      </c>
      <c r="D37" s="588">
        <v>6.58</v>
      </c>
      <c r="E37" s="392">
        <f t="shared" si="2"/>
        <v>1018.8</v>
      </c>
      <c r="F37" s="392">
        <f t="shared" si="3"/>
        <v>78.960000000000008</v>
      </c>
      <c r="G37" s="392">
        <f t="shared" si="4"/>
        <v>1097.76</v>
      </c>
      <c r="H37" s="589">
        <v>1</v>
      </c>
      <c r="I37" s="589" t="s">
        <v>447</v>
      </c>
      <c r="J37" s="2" t="s">
        <v>1137</v>
      </c>
    </row>
    <row r="38" spans="1:10">
      <c r="A38" s="2" t="s">
        <v>1042</v>
      </c>
      <c r="B38" s="2" t="s">
        <v>1138</v>
      </c>
      <c r="C38" s="2">
        <v>26.14</v>
      </c>
      <c r="D38" s="588">
        <v>5.76</v>
      </c>
      <c r="E38" s="392">
        <f t="shared" si="2"/>
        <v>1045.5999999999999</v>
      </c>
      <c r="F38" s="392">
        <f t="shared" si="3"/>
        <v>69.12</v>
      </c>
      <c r="G38" s="392">
        <f t="shared" si="4"/>
        <v>1114.7199999999998</v>
      </c>
      <c r="H38" s="589">
        <v>1</v>
      </c>
      <c r="I38" s="589" t="s">
        <v>447</v>
      </c>
      <c r="J38" s="2" t="s">
        <v>1139</v>
      </c>
    </row>
    <row r="39" spans="1:10">
      <c r="A39" s="2" t="s">
        <v>1048</v>
      </c>
      <c r="B39" s="2" t="s">
        <v>1140</v>
      </c>
      <c r="C39" s="2">
        <v>26.12</v>
      </c>
      <c r="D39" s="588">
        <v>7.14</v>
      </c>
      <c r="E39" s="392">
        <f t="shared" si="2"/>
        <v>1044.8</v>
      </c>
      <c r="F39" s="392">
        <f t="shared" si="3"/>
        <v>85.679999999999993</v>
      </c>
      <c r="G39" s="392">
        <f t="shared" si="4"/>
        <v>1130.48</v>
      </c>
      <c r="H39" s="589">
        <v>1</v>
      </c>
      <c r="I39" s="589" t="s">
        <v>447</v>
      </c>
      <c r="J39" s="2" t="s">
        <v>1141</v>
      </c>
    </row>
    <row r="40" spans="1:10">
      <c r="A40" s="2" t="s">
        <v>1142</v>
      </c>
      <c r="B40" s="2" t="s">
        <v>1143</v>
      </c>
      <c r="C40" s="2">
        <v>25.85</v>
      </c>
      <c r="D40" s="588">
        <v>9</v>
      </c>
      <c r="E40" s="392">
        <f t="shared" si="2"/>
        <v>1034</v>
      </c>
      <c r="F40" s="392">
        <f t="shared" si="3"/>
        <v>108</v>
      </c>
      <c r="G40" s="392">
        <f t="shared" si="4"/>
        <v>1142</v>
      </c>
      <c r="H40" s="589">
        <v>1</v>
      </c>
      <c r="I40" s="589" t="s">
        <v>447</v>
      </c>
      <c r="J40" s="2" t="s">
        <v>1144</v>
      </c>
    </row>
    <row r="41" spans="1:10">
      <c r="A41" s="2" t="s">
        <v>1060</v>
      </c>
      <c r="B41" s="2" t="s">
        <v>1145</v>
      </c>
      <c r="C41" s="2">
        <v>26.21</v>
      </c>
      <c r="D41" s="588">
        <v>7</v>
      </c>
      <c r="E41" s="392">
        <f t="shared" si="2"/>
        <v>1048.4000000000001</v>
      </c>
      <c r="F41" s="392">
        <f t="shared" si="3"/>
        <v>84</v>
      </c>
      <c r="G41" s="392">
        <f t="shared" si="4"/>
        <v>1132.4000000000001</v>
      </c>
      <c r="H41" s="589">
        <v>1</v>
      </c>
      <c r="I41" s="589" t="s">
        <v>447</v>
      </c>
      <c r="J41" s="2" t="s">
        <v>1146</v>
      </c>
    </row>
    <row r="42" spans="1:10">
      <c r="A42" s="2" t="s">
        <v>1054</v>
      </c>
      <c r="B42" s="2" t="s">
        <v>1147</v>
      </c>
      <c r="C42" s="2">
        <v>26.32</v>
      </c>
      <c r="D42" s="588">
        <v>6.67</v>
      </c>
      <c r="E42" s="392">
        <f t="shared" si="2"/>
        <v>1052.8</v>
      </c>
      <c r="F42" s="392">
        <f t="shared" si="3"/>
        <v>80.039999999999992</v>
      </c>
      <c r="G42" s="392">
        <f t="shared" si="4"/>
        <v>1132.8399999999999</v>
      </c>
      <c r="H42" s="589">
        <v>1</v>
      </c>
      <c r="I42" s="589" t="s">
        <v>447</v>
      </c>
      <c r="J42" s="2" t="s">
        <v>1148</v>
      </c>
    </row>
    <row r="43" spans="1:10">
      <c r="A43" s="2" t="s">
        <v>1076</v>
      </c>
      <c r="B43" s="2" t="s">
        <v>1149</v>
      </c>
      <c r="C43" s="2">
        <v>26.22</v>
      </c>
      <c r="D43" s="588">
        <v>9.4</v>
      </c>
      <c r="E43" s="392">
        <f t="shared" si="2"/>
        <v>1048.8</v>
      </c>
      <c r="F43" s="392">
        <f t="shared" si="3"/>
        <v>112.80000000000001</v>
      </c>
      <c r="G43" s="392">
        <f t="shared" si="4"/>
        <v>1161.5999999999999</v>
      </c>
      <c r="H43" s="589">
        <v>1</v>
      </c>
      <c r="I43" s="589" t="s">
        <v>447</v>
      </c>
      <c r="J43" s="2" t="s">
        <v>1150</v>
      </c>
    </row>
    <row r="44" spans="1:10">
      <c r="A44" s="2" t="s">
        <v>1069</v>
      </c>
      <c r="B44" s="2" t="s">
        <v>1151</v>
      </c>
      <c r="C44" s="2">
        <v>24.95</v>
      </c>
      <c r="D44" s="588">
        <v>17.28</v>
      </c>
      <c r="E44" s="392">
        <f t="shared" si="2"/>
        <v>998</v>
      </c>
      <c r="F44" s="392">
        <f t="shared" si="3"/>
        <v>207.36</v>
      </c>
      <c r="G44" s="392">
        <f t="shared" si="4"/>
        <v>1205.3600000000001</v>
      </c>
      <c r="H44" s="589">
        <v>1</v>
      </c>
      <c r="I44" s="589" t="s">
        <v>447</v>
      </c>
      <c r="J44" s="2" t="s">
        <v>1152</v>
      </c>
    </row>
    <row r="45" spans="1:10">
      <c r="A45" s="2" t="s">
        <v>1089</v>
      </c>
      <c r="B45" s="2" t="s">
        <v>1153</v>
      </c>
      <c r="C45" s="2">
        <v>27.31</v>
      </c>
      <c r="D45" s="588">
        <v>5.86</v>
      </c>
      <c r="E45" s="392">
        <f t="shared" si="2"/>
        <v>1092.4000000000001</v>
      </c>
      <c r="F45" s="392">
        <f t="shared" si="3"/>
        <v>70.320000000000007</v>
      </c>
      <c r="G45" s="392">
        <f t="shared" si="4"/>
        <v>1162.72</v>
      </c>
      <c r="H45" s="589">
        <v>1</v>
      </c>
      <c r="I45" s="589" t="s">
        <v>447</v>
      </c>
      <c r="J45" s="2" t="s">
        <v>1154</v>
      </c>
    </row>
    <row r="46" spans="1:10">
      <c r="A46" s="2" t="s">
        <v>1155</v>
      </c>
      <c r="B46" s="2" t="s">
        <v>1156</v>
      </c>
      <c r="C46" s="2">
        <v>26.93</v>
      </c>
      <c r="D46" s="588">
        <v>5.75</v>
      </c>
      <c r="E46" s="392">
        <f t="shared" si="2"/>
        <v>1077.2</v>
      </c>
      <c r="F46" s="392">
        <f t="shared" si="3"/>
        <v>69</v>
      </c>
      <c r="G46" s="392">
        <f t="shared" si="4"/>
        <v>1146.2</v>
      </c>
      <c r="H46" s="589">
        <v>1</v>
      </c>
      <c r="I46" s="589" t="s">
        <v>447</v>
      </c>
      <c r="J46" s="2" t="s">
        <v>1157</v>
      </c>
    </row>
    <row r="47" spans="1:10">
      <c r="A47" s="2" t="s">
        <v>1158</v>
      </c>
      <c r="B47" s="2" t="s">
        <v>1159</v>
      </c>
      <c r="C47" s="2">
        <v>25.29</v>
      </c>
      <c r="D47" s="588">
        <v>23.64</v>
      </c>
      <c r="E47" s="392">
        <f t="shared" si="2"/>
        <v>1011.6</v>
      </c>
      <c r="F47" s="392">
        <f t="shared" si="3"/>
        <v>283.68</v>
      </c>
      <c r="G47" s="392">
        <f t="shared" si="4"/>
        <v>1295.28</v>
      </c>
      <c r="H47" s="589">
        <v>1</v>
      </c>
      <c r="I47" s="589" t="s">
        <v>447</v>
      </c>
      <c r="J47" s="2" t="s">
        <v>1160</v>
      </c>
    </row>
    <row r="48" spans="1:10">
      <c r="A48" s="2" t="s">
        <v>1119</v>
      </c>
      <c r="B48" s="2" t="s">
        <v>1161</v>
      </c>
      <c r="C48" s="2">
        <v>25.29</v>
      </c>
      <c r="D48" s="588">
        <v>23.65</v>
      </c>
      <c r="E48" s="392">
        <f t="shared" si="2"/>
        <v>1011.6</v>
      </c>
      <c r="F48" s="392">
        <f t="shared" si="3"/>
        <v>283.79999999999995</v>
      </c>
      <c r="G48" s="392">
        <f t="shared" si="4"/>
        <v>1295.4000000000001</v>
      </c>
      <c r="H48" s="589">
        <v>1</v>
      </c>
      <c r="I48" s="589" t="s">
        <v>447</v>
      </c>
      <c r="J48" s="2" t="s">
        <v>1162</v>
      </c>
    </row>
    <row r="49" spans="1:10">
      <c r="A49" s="2" t="s">
        <v>1104</v>
      </c>
      <c r="B49" s="2" t="s">
        <v>1163</v>
      </c>
      <c r="C49" s="2">
        <v>30.39</v>
      </c>
      <c r="D49" s="588">
        <v>0</v>
      </c>
      <c r="E49" s="392">
        <f t="shared" si="2"/>
        <v>1215.5999999999999</v>
      </c>
      <c r="F49" s="392">
        <f t="shared" si="3"/>
        <v>0</v>
      </c>
      <c r="G49" s="392">
        <f t="shared" si="4"/>
        <v>1215.5999999999999</v>
      </c>
      <c r="H49" s="589">
        <v>1</v>
      </c>
      <c r="I49" s="589" t="s">
        <v>447</v>
      </c>
      <c r="J49" s="2" t="s">
        <v>1164</v>
      </c>
    </row>
    <row r="50" spans="1:10">
      <c r="A50" s="2" t="s">
        <v>1165</v>
      </c>
      <c r="B50" s="2" t="s">
        <v>1166</v>
      </c>
      <c r="C50" s="2">
        <v>28.6</v>
      </c>
      <c r="D50" s="588">
        <v>18.16</v>
      </c>
      <c r="E50" s="392">
        <f t="shared" si="2"/>
        <v>1144</v>
      </c>
      <c r="F50" s="392">
        <f t="shared" si="3"/>
        <v>217.92000000000002</v>
      </c>
      <c r="G50" s="392">
        <f t="shared" si="4"/>
        <v>1361.92</v>
      </c>
      <c r="H50" s="589">
        <v>1</v>
      </c>
      <c r="I50" s="589" t="s">
        <v>447</v>
      </c>
      <c r="J50" s="2" t="s">
        <v>1167</v>
      </c>
    </row>
    <row r="51" spans="1:10">
      <c r="A51" s="2" t="s">
        <v>1125</v>
      </c>
      <c r="B51" s="2" t="s">
        <v>1168</v>
      </c>
      <c r="C51" s="2">
        <v>23.72</v>
      </c>
      <c r="D51" s="588">
        <v>9.85</v>
      </c>
      <c r="E51" s="392">
        <f t="shared" si="2"/>
        <v>948.8</v>
      </c>
      <c r="F51" s="392">
        <f t="shared" si="3"/>
        <v>118.19999999999999</v>
      </c>
      <c r="G51" s="392">
        <f t="shared" si="4"/>
        <v>1067</v>
      </c>
      <c r="H51" s="589">
        <v>1</v>
      </c>
      <c r="I51" s="589" t="s">
        <v>447</v>
      </c>
      <c r="J51" s="2" t="s">
        <v>1169</v>
      </c>
    </row>
  </sheetData>
  <autoFilter ref="A6:J51" xr:uid="{00000000-0009-0000-0000-000016000000}">
    <filterColumn colId="8">
      <customFilters>
        <customFilter operator="notEqual" val=" "/>
      </customFilters>
    </filterColumn>
    <sortState ref="A5:I34">
      <sortCondition ref="A4:A34"/>
    </sortState>
  </autoFilter>
  <sortState ref="A3:I34">
    <sortCondition ref="G3:G3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1</vt:i4>
      </vt:variant>
    </vt:vector>
  </HeadingPairs>
  <TitlesOfParts>
    <vt:vector size="23" baseType="lpstr">
      <vt:lpstr>Sensitivitätsanalyse</vt:lpstr>
      <vt:lpstr>Eingabe und Ausgabe</vt:lpstr>
      <vt:lpstr>Cost Allocation</vt:lpstr>
      <vt:lpstr>Cash Flows</vt:lpstr>
      <vt:lpstr>Ergebnis</vt:lpstr>
      <vt:lpstr>NR Fahrzeug&amp;Fahrverhalten</vt:lpstr>
      <vt:lpstr>NR Kraftstoffpreisprognosen</vt:lpstr>
      <vt:lpstr>NR Strommix-Prognose</vt:lpstr>
      <vt:lpstr>NR Wertverlust</vt:lpstr>
      <vt:lpstr>NR Kfz-Steuer</vt:lpstr>
      <vt:lpstr>NR Batterieleasing</vt:lpstr>
      <vt:lpstr>Quellen</vt:lpstr>
      <vt:lpstr>Umrechnungswerte</vt:lpstr>
      <vt:lpstr>Archiv</vt:lpstr>
      <vt:lpstr>BSP TCO</vt:lpstr>
      <vt:lpstr>Benzinpreise Historie</vt:lpstr>
      <vt:lpstr>Tabelle4</vt:lpstr>
      <vt:lpstr>Tabelle1</vt:lpstr>
      <vt:lpstr>Verbraucherpreis Strom 2012</vt:lpstr>
      <vt:lpstr>Tabelle2</vt:lpstr>
      <vt:lpstr>Versicherung</vt:lpstr>
      <vt:lpstr>Strompreis</vt:lpstr>
      <vt:lpstr>'Benzinpreise Historie'!_ftn1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Maximilian Bredow</cp:lastModifiedBy>
  <dcterms:created xsi:type="dcterms:W3CDTF">2012-10-27T12:24:02Z</dcterms:created>
  <dcterms:modified xsi:type="dcterms:W3CDTF">2018-02-23T12:07:34Z</dcterms:modified>
</cp:coreProperties>
</file>