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updateLinks="never" codeName="EstaPastaDeTrabalho" defaultThemeVersion="124226"/>
  <mc:AlternateContent xmlns:mc="http://schemas.openxmlformats.org/markup-compatibility/2006">
    <mc:Choice Requires="x15">
      <x15ac:absPath xmlns:x15ac="http://schemas.microsoft.com/office/spreadsheetml/2010/11/ac" url="C:\Users\Engenharia Kinsol\Desktop\Projetos\"/>
    </mc:Choice>
  </mc:AlternateContent>
  <xr:revisionPtr revIDLastSave="0" documentId="13_ncr:1_{31E2A042-6F6F-44E1-AABA-1008029ECDCD}" xr6:coauthVersionLast="47" xr6:coauthVersionMax="47" xr10:uidLastSave="{00000000-0000-0000-0000-000000000000}"/>
  <bookViews>
    <workbookView xWindow="11424" yWindow="0" windowWidth="11712" windowHeight="12336" xr2:uid="{00000000-000D-0000-FFFF-FFFF00000000}"/>
  </bookViews>
  <sheets>
    <sheet name="Formulário" sheetId="1" r:id="rId1"/>
    <sheet name="Notas Explicativas" sheetId="5" r:id="rId2"/>
    <sheet name="Dados" sheetId="4" state="hidden" r:id="rId3"/>
    <sheet name="Apoio" sheetId="2" state="hidden" r:id="rId4"/>
    <sheet name="Conferencia" sheetId="3" state="hidden" r:id="rId5"/>
    <sheet name="Resp Seg Barragem" sheetId="7" state="hidden" r:id="rId6"/>
    <sheet name="ControleREV" sheetId="6" state="hidden" r:id="rId7"/>
  </sheets>
  <externalReferences>
    <externalReference r:id="rId8"/>
    <externalReference r:id="rId9"/>
  </externalReferences>
  <definedNames>
    <definedName name="_xlnm.Print_Area" localSheetId="0">Formulário!$B$2:$AW$255</definedName>
    <definedName name="CargaInstalada" localSheetId="5">[1]Formulário!$T$39</definedName>
    <definedName name="CargaInstalada">Formulário!$P$29</definedName>
    <definedName name="Cod_Solicitação" localSheetId="5">SUM([2]Dados!$D$4:$D$7)</definedName>
    <definedName name="Cod_Solicitação">SUM(Dados!$D$4:$D$7)</definedName>
    <definedName name="Demanda_a_contratar">[1]Formulário!$K$50</definedName>
    <definedName name="E_Máximo" localSheetId="5">[1]Dados!$J$10</definedName>
    <definedName name="E_Máximo">Dados!$J$10</definedName>
    <definedName name="E_Mínimo" localSheetId="5">[1]Dados!$I$10</definedName>
    <definedName name="E_Mínimo">Dados!$I$10</definedName>
    <definedName name="Fases_Disjuntor_2" localSheetId="5">IF([2]Formulário!$H$49=" Disjuntor Geral do Padrão (Conforme ND 5.2):",[2]Dados!$B$35:$B$38,[2]Dados!$B$35:$B$37)</definedName>
    <definedName name="Fases_Disjuntor_2">IF(Formulário!$H$49=" Disjuntor Geral do Padrão (Conforme ND 5.2):",Dados!$B$35:$B$38,Dados!$B$35:$B$37)</definedName>
    <definedName name="Fases_Disjuntores" localSheetId="5">IF([2]Formulário!$H$47=" Disjuntor Geral do Padrão (Conforme ND 5.2):",[2]Dados!$B$35:$B$38,IF([2]Formulário!$I$39=[2]Apoio!$A$5,[2]Dados!$B$42:$B$45,[2]Dados!$B$35:$B$37))</definedName>
    <definedName name="Fases_Disjuntores">IF(Formulário!$H$47=" Disjuntor Geral do Padrão (Conforme ND 5.2):",Dados!$B$35:$B$38,IF(Formulário!$I$39=Apoio!$A$5,Dados!$B$42:$B$45,Dados!$B$35:$B$37))</definedName>
    <definedName name="Fases_Disjuntores_3" localSheetId="5">IF([2]Formulário!$H$45="Disjuntor de Baixa Tensão:",[2]Dados!$B$37,[2]Dados!$B$35:$B$37)</definedName>
    <definedName name="Fases_Disjuntores_3">IF(Formulário!$H$45="Disjuntor de Baixa Tensão:",Dados!$B$37,Dados!$B$35:$B$37)</definedName>
    <definedName name="Grupo" localSheetId="5">[1]Formulário!$E$16</definedName>
    <definedName name="Grupo">Formulário!$E$16</definedName>
    <definedName name="Mensagem_Erro" localSheetId="5">[1]Conferencia!$D$2</definedName>
    <definedName name="Mensagem_Erro">Conferencia!$D$2</definedName>
    <definedName name="MudançaLocal" localSheetId="5">IF([1]Dados!$V$3=1,[1]Dados!$V$6,[1]Dados!$V$5:$V$6)</definedName>
    <definedName name="MudançaLocal">IF(Dados!$V$3=1,Dados!$V$6,Dados!$V$5:$V$6)</definedName>
    <definedName name="N_Máximo" localSheetId="5">[1]Dados!$L$10</definedName>
    <definedName name="N_Máximo">Dados!$L$10</definedName>
    <definedName name="N_Mínimo" localSheetId="5">[1]Dados!$K$10</definedName>
    <definedName name="N_Mínimo">Dados!$K$10</definedName>
    <definedName name="Outros_Trafos_Particulares">Dados!$T$4:$T$8</definedName>
    <definedName name="Pot_Ativa_Instalada" localSheetId="5">[1]Formulário!$AT$57</definedName>
    <definedName name="Pot_Ativa_Instalada">Formulário!$AT$80</definedName>
    <definedName name="Ramal" localSheetId="5">[2]Formulário!$X$52</definedName>
    <definedName name="Ramal">Formulário!$X$52</definedName>
    <definedName name="Tbl_Disj_4" localSheetId="5">IF([2]Formulário!$H$45=" Disjuntor de Baixa Tensão:",[2]Apoio!$B$133:$B$148,1000)</definedName>
    <definedName name="Tbl_Disj_4">IF(Formulário!$H$45=" Disjuntor de Baixa Tensão:",Apoio!$B$133:$B$148,1000)</definedName>
    <definedName name="TblDisj" localSheetId="5">IF([1]Formulário!#REF!="Monopolar",[1]Apoio!$B$12:$B$15,IF([1]Formulário!#REF!="Bipolar",[1]Apoio!$B$16:$B$27,[1]Apoio!$B$28:$B$50))</definedName>
    <definedName name="TblDisj">IF(AND(Grupo="B",Formulário!$AB$45="Monopolar"),Apoio!$B$12:$B$15,IF(AND(Grupo="B",Formulário!$AB$45="Bipolar"),Apoio!$B$16:$B$27,IF(AND(Grupo="B",Formulário!$AB$45="Tripolar"),Apoio!$B$28:$B$50,Apoio!$B$133:$B$148)))</definedName>
    <definedName name="TblDisj_1">Apoio!$B$12:$B$15</definedName>
    <definedName name="TblDisj_2" localSheetId="5">IF([1]Formulário!#REF!="Monopolar",[1]Apoio!$B$12:$B$15,IF([1]Formulário!#REF!="Bipolar",[1]Apoio!$B$16:$B$27,[1]Apoio!$B$28:$B$50))</definedName>
    <definedName name="TblDisj_2">IF(Cod_Solicitação=4,IF(Formulário!$AB$45="Monopolar",Apoio!$B$56:$B$58,IF(Formulário!$AB$45="Bipolar",Apoio!$B$59:$B$65,Apoio!$B$66:$B$85)),IF(Formulário!$AB$47="Monopolar",Apoio!$B$56:$B$58,IF(Formulário!$AB$47="Bipolar",Apoio!$B$59:$B$65,Apoio!$B$66:$B$85)))</definedName>
    <definedName name="TblDisj_3" localSheetId="5">IF([1]Formulário!#REF!="Bipolar",[1]Apoio!$B$59:$B$66,[1]Apoio!$B$67:$B$93)</definedName>
    <definedName name="TblDisj_3">IF(Formulário!$AB$49="Bipolar",Apoio!$B$92:$B$99,Apoio!$B$100:$B$126)</definedName>
    <definedName name="Tensão_SE_N°_2">Dados!$E$20:$E$21</definedName>
    <definedName name="TensãoA">Dados!$B$20:$B$22</definedName>
    <definedName name="TensãoB">Dados!$B$26:$B$27</definedName>
    <definedName name="TensãoGrupo" localSheetId="5">IF('Resp Seg Barragem'!Grupo="A",[1]Dados!$C$20:$C$22,[1]Dados!$C$20:$C$21)</definedName>
    <definedName name="TensãoGrupo">IF(Grupo="A",Dados!$C$20:$C$22,Dados!$C$20:$C$21)</definedName>
    <definedName name="TipoFonte" localSheetId="5">[1]Formulário!$L$57</definedName>
    <definedName name="TipoFonte">Formulário!$L$80</definedName>
    <definedName name="TipoRamal" localSheetId="5">[1]Dados!$B$30:$B$31</definedName>
    <definedName name="TipoRamal">IF(Dados!$C$28="1Tipo",Dados!$C$30,Dados!$C$30:$C$31)</definedName>
    <definedName name="Tipos_Edificações" localSheetId="5">[2]Dados!$B$13:$B$16</definedName>
    <definedName name="Tipos_Edificações">Dados!$B$13:$B$16</definedName>
    <definedName name="Tipos_Lig_Trafos">[1]Dados!$B$34:$B$37</definedName>
    <definedName name="Tipos_Solicitação" localSheetId="5">IF('Resp Seg Barragem'!TipoSE = "Nº 1",[1]Dados!$B$4:$B$6,[1]Dados!$B$4:$B$7)</definedName>
    <definedName name="Tipos_Solicitação">IF(TipoSE = "Nº 1",Dados!$B$4:$B$6,Dados!$B$4:$B$7)</definedName>
    <definedName name="TipoSE" localSheetId="5">[1]Formulário!$O$33</definedName>
    <definedName name="TipoSE">Formulário!$T$34</definedName>
    <definedName name="_xlnm.Print_Titles" localSheetId="0">Formulário!$2:$6</definedName>
    <definedName name="TrafosPorSE" localSheetId="5">IF(OR('Resp Seg Barragem'!TipoSE="Nº 1",'Resp Seg Barragem'!TipoSE="Nº 5",'Resp Seg Barragem'!TipoSE="Nº 8"),[1]Dados!$P$5:$P$8,[1]Dados!$R$4:$R$7)</definedName>
    <definedName name="TrafosPorSE">IF(OR(TipoSE="Nº 1",TipoSE="Nº 5",TipoSE="Nº 8"),Dados!$P$4:$P$8,Dados!$R$4:$R$7)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9" i="1" l="1"/>
  <c r="B137" i="1"/>
  <c r="B135" i="1"/>
  <c r="B133" i="1"/>
  <c r="B131" i="1"/>
  <c r="B129" i="1"/>
  <c r="AB127" i="1"/>
  <c r="E127" i="1"/>
  <c r="B125" i="1"/>
  <c r="B219" i="1"/>
  <c r="B87" i="1" l="1"/>
  <c r="B106" i="1" l="1"/>
  <c r="B104" i="1"/>
  <c r="B46" i="3" l="1"/>
  <c r="B45" i="3"/>
  <c r="B44" i="3"/>
  <c r="B43" i="3"/>
  <c r="B42" i="3"/>
  <c r="A48" i="3"/>
  <c r="A49" i="3"/>
  <c r="A46" i="3"/>
  <c r="A44" i="3"/>
  <c r="A43" i="3"/>
  <c r="A45" i="3"/>
  <c r="A42" i="3"/>
  <c r="AT80" i="1"/>
  <c r="B30" i="3"/>
  <c r="B102" i="1"/>
  <c r="B108" i="1"/>
  <c r="B96" i="1"/>
  <c r="B18" i="3"/>
  <c r="I2" i="2"/>
  <c r="K2" i="2"/>
  <c r="H2" i="2"/>
  <c r="L3" i="2" l="1"/>
  <c r="K3" i="2"/>
  <c r="J3" i="2"/>
  <c r="I3" i="2"/>
  <c r="H3" i="2"/>
  <c r="I4" i="2" l="1"/>
  <c r="K4" i="2"/>
  <c r="H45" i="1"/>
  <c r="B13" i="3"/>
  <c r="B52" i="3"/>
  <c r="B29" i="3"/>
  <c r="B28" i="3"/>
  <c r="U54" i="1"/>
  <c r="B36" i="3" s="1"/>
  <c r="AE52" i="1"/>
  <c r="B35" i="3" s="1"/>
  <c r="G36" i="1"/>
  <c r="D24" i="3"/>
  <c r="D23" i="3"/>
  <c r="D22" i="3"/>
  <c r="B22" i="3" s="1"/>
  <c r="AO39" i="1"/>
  <c r="V3" i="4"/>
  <c r="B54" i="3"/>
  <c r="B37" i="3"/>
  <c r="B24" i="3" l="1"/>
  <c r="B23" i="3"/>
  <c r="B21" i="3"/>
  <c r="B20" i="3"/>
  <c r="A20" i="3"/>
  <c r="B53" i="3"/>
  <c r="B51" i="3"/>
  <c r="B48" i="3"/>
  <c r="A47" i="3"/>
  <c r="B47" i="3" s="1"/>
  <c r="A41" i="3"/>
  <c r="B49" i="3"/>
  <c r="B94" i="1"/>
  <c r="B100" i="1"/>
  <c r="B98" i="1"/>
  <c r="B41" i="3"/>
  <c r="B92" i="1"/>
  <c r="B50" i="3"/>
  <c r="B40" i="3"/>
  <c r="C22" i="4"/>
  <c r="C20" i="4"/>
  <c r="I18" i="4" a="1"/>
  <c r="I18" i="4" s="1"/>
  <c r="B19" i="3"/>
  <c r="D21" i="3"/>
  <c r="C28" i="4"/>
  <c r="C30" i="4" s="1"/>
  <c r="H10" i="4"/>
  <c r="L10" i="4" s="1"/>
  <c r="B34" i="1"/>
  <c r="D16" i="4"/>
  <c r="D15" i="4"/>
  <c r="D14" i="4"/>
  <c r="D13" i="4"/>
  <c r="L2" i="1" l="1"/>
  <c r="E10" i="3"/>
  <c r="D10" i="3" s="1"/>
  <c r="E9" i="3"/>
  <c r="D9" i="3" s="1"/>
  <c r="J10" i="4"/>
  <c r="K10" i="4"/>
  <c r="I10" i="4"/>
  <c r="C31" i="4"/>
  <c r="D7" i="4"/>
  <c r="D6" i="4"/>
  <c r="D5" i="4"/>
  <c r="D4" i="4"/>
  <c r="P29" i="1" l="1"/>
  <c r="E7" i="3" s="1"/>
  <c r="D7" i="3" s="1"/>
  <c r="H49" i="1"/>
  <c r="H47" i="1"/>
  <c r="B31" i="3" s="1"/>
  <c r="C90" i="1"/>
  <c r="B26" i="3"/>
  <c r="E6" i="3"/>
  <c r="D6" i="3" s="1"/>
  <c r="D19" i="3"/>
  <c r="E8" i="3" s="1"/>
  <c r="D8" i="3" s="1"/>
  <c r="B2" i="3"/>
  <c r="B54" i="1"/>
  <c r="C21" i="4"/>
  <c r="C18" i="4"/>
  <c r="C5" i="4"/>
  <c r="C6" i="4"/>
  <c r="C7" i="4"/>
  <c r="C4" i="4"/>
  <c r="B33" i="3" l="1"/>
  <c r="B32" i="3"/>
  <c r="AK47" i="1"/>
  <c r="AK49" i="1"/>
  <c r="B38" i="3"/>
  <c r="B34" i="3"/>
  <c r="B27" i="3"/>
  <c r="B25" i="3"/>
  <c r="B17" i="3"/>
  <c r="B16" i="3"/>
  <c r="B15" i="3"/>
  <c r="B14" i="3"/>
  <c r="B12" i="3"/>
  <c r="B11" i="3"/>
  <c r="B10" i="3"/>
  <c r="B9" i="3"/>
  <c r="B8" i="3"/>
  <c r="B7" i="3"/>
  <c r="B6" i="3"/>
  <c r="B5" i="3"/>
  <c r="B4" i="3"/>
  <c r="B3" i="3"/>
  <c r="B1" i="3"/>
  <c r="AM41" i="1"/>
  <c r="Y29" i="1" l="1"/>
  <c r="AG29" i="1"/>
  <c r="E5" i="3"/>
  <c r="D5" i="3" s="1"/>
  <c r="D2" i="3" s="1"/>
  <c r="B7"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<sst xmlns="http://schemas.openxmlformats.org/spreadsheetml/2006/main" count="569" uniqueCount="354">
  <si>
    <t>1 – IDENTIFICAÇÃO DA UNIDADE CONSUMIDORA – UC</t>
  </si>
  <si>
    <t>Telefone:</t>
  </si>
  <si>
    <t>2 – DADOS DA UNIDADE CONSUMIDORA</t>
  </si>
  <si>
    <t>Fuso:</t>
  </si>
  <si>
    <t>E (Abscissa):</t>
  </si>
  <si>
    <t>N (Ordenada):</t>
  </si>
  <si>
    <t>Número da instalação:</t>
  </si>
  <si>
    <t>Ligação de Nova Unidade Consumidora COM Geração Distribuída</t>
  </si>
  <si>
    <t>Conexão de GD em Unidade Consumidora Existente SEM Alteração de Potência Disponibilizada</t>
  </si>
  <si>
    <t>Conexão de GD em Unidade Consumidora Existente COM Alteração de Potência Disponibilizada</t>
  </si>
  <si>
    <t>GD Existente COM Alteração de Potência Ativa Instalada Total</t>
  </si>
  <si>
    <t>Potência do Grupo Motor Gerador de Emergência em Paralelo com a Cemig - Diesel ou Gás (kVA):</t>
  </si>
  <si>
    <t>Tipo de edificação:</t>
  </si>
  <si>
    <t>Tensão de Atendimento (V):</t>
  </si>
  <si>
    <t xml:space="preserve">Tipo de Ramal: </t>
  </si>
  <si>
    <t>Modalidade de compensação:</t>
  </si>
  <si>
    <t>Preencha o quadro a seguir somente se a usina possuiu OUTORGA OU REGISTRO. Se não aplicável, mantenha os campos vazios.</t>
  </si>
  <si>
    <r>
      <t>CPF/CNPJ</t>
    </r>
    <r>
      <rPr>
        <sz val="11"/>
        <color indexed="10"/>
        <rFont val="Calibri"/>
        <family val="2"/>
      </rPr>
      <t>*</t>
    </r>
    <r>
      <rPr>
        <sz val="11"/>
        <color theme="1"/>
        <rFont val="Calibri"/>
        <family val="2"/>
        <scheme val="minor"/>
      </rPr>
      <t>:</t>
    </r>
  </si>
  <si>
    <r>
      <t>Número do Cliente</t>
    </r>
    <r>
      <rPr>
        <sz val="11"/>
        <color indexed="10"/>
        <rFont val="Calibri"/>
        <family val="2"/>
      </rPr>
      <t>*</t>
    </r>
    <r>
      <rPr>
        <sz val="11"/>
        <color theme="1"/>
        <rFont val="Calibri"/>
        <family val="2"/>
        <scheme val="minor"/>
      </rPr>
      <t>:</t>
    </r>
  </si>
  <si>
    <r>
      <t>Grupo</t>
    </r>
    <r>
      <rPr>
        <sz val="11"/>
        <color indexed="10"/>
        <rFont val="Calibri"/>
        <family val="2"/>
      </rPr>
      <t>*</t>
    </r>
    <r>
      <rPr>
        <sz val="11"/>
        <color theme="1"/>
        <rFont val="Calibri"/>
        <family val="2"/>
        <scheme val="minor"/>
      </rPr>
      <t>:</t>
    </r>
  </si>
  <si>
    <r>
      <t>Logradouro</t>
    </r>
    <r>
      <rPr>
        <sz val="11"/>
        <color indexed="10"/>
        <rFont val="Calibri"/>
        <family val="2"/>
      </rPr>
      <t>*</t>
    </r>
    <r>
      <rPr>
        <sz val="11"/>
        <color theme="1"/>
        <rFont val="Calibri"/>
        <family val="2"/>
        <scheme val="minor"/>
      </rPr>
      <t>:</t>
    </r>
  </si>
  <si>
    <r>
      <t>Classe</t>
    </r>
    <r>
      <rPr>
        <sz val="11"/>
        <color indexed="10"/>
        <rFont val="Calibri"/>
        <family val="2"/>
      </rPr>
      <t>*</t>
    </r>
    <r>
      <rPr>
        <sz val="11"/>
        <color theme="1"/>
        <rFont val="Calibri"/>
        <family val="2"/>
        <scheme val="minor"/>
      </rPr>
      <t>:</t>
    </r>
  </si>
  <si>
    <r>
      <t>Número</t>
    </r>
    <r>
      <rPr>
        <sz val="11"/>
        <color indexed="10"/>
        <rFont val="Calibri"/>
        <family val="2"/>
      </rPr>
      <t>*</t>
    </r>
    <r>
      <rPr>
        <sz val="11"/>
        <color theme="1"/>
        <rFont val="Calibri"/>
        <family val="2"/>
        <scheme val="minor"/>
      </rPr>
      <t>:</t>
    </r>
  </si>
  <si>
    <r>
      <t>Estado</t>
    </r>
    <r>
      <rPr>
        <sz val="11"/>
        <color indexed="10"/>
        <rFont val="Calibri"/>
        <family val="2"/>
      </rPr>
      <t>*</t>
    </r>
    <r>
      <rPr>
        <sz val="11"/>
        <color theme="1"/>
        <rFont val="Calibri"/>
        <family val="2"/>
        <scheme val="minor"/>
      </rPr>
      <t>:</t>
    </r>
  </si>
  <si>
    <r>
      <t>CEP</t>
    </r>
    <r>
      <rPr>
        <sz val="11"/>
        <color indexed="10"/>
        <rFont val="Calibri"/>
        <family val="2"/>
      </rPr>
      <t>*</t>
    </r>
    <r>
      <rPr>
        <sz val="11"/>
        <color theme="1"/>
        <rFont val="Calibri"/>
        <family val="2"/>
        <scheme val="minor"/>
      </rPr>
      <t>:</t>
    </r>
  </si>
  <si>
    <r>
      <t>Município</t>
    </r>
    <r>
      <rPr>
        <sz val="11"/>
        <color indexed="10"/>
        <rFont val="Calibri"/>
        <family val="2"/>
      </rPr>
      <t>*</t>
    </r>
    <r>
      <rPr>
        <sz val="11"/>
        <color theme="1"/>
        <rFont val="Calibri"/>
        <family val="2"/>
        <scheme val="minor"/>
      </rPr>
      <t>:</t>
    </r>
  </si>
  <si>
    <r>
      <t>Bairro</t>
    </r>
    <r>
      <rPr>
        <sz val="11"/>
        <color indexed="10"/>
        <rFont val="Calibri"/>
        <family val="2"/>
      </rPr>
      <t>*</t>
    </r>
    <r>
      <rPr>
        <sz val="11"/>
        <color theme="1"/>
        <rFont val="Calibri"/>
        <family val="2"/>
        <scheme val="minor"/>
      </rPr>
      <t>:</t>
    </r>
  </si>
  <si>
    <t>Tipo de Subestação (Conforme ND 5.3):</t>
  </si>
  <si>
    <t>A</t>
  </si>
  <si>
    <t>CEG do empreendimento:</t>
  </si>
  <si>
    <t>Nome da Usina:</t>
  </si>
  <si>
    <t>Número do Ato de Outorga ou Registro:</t>
  </si>
  <si>
    <t>Ano do Ato de Outorga ou Registro:</t>
  </si>
  <si>
    <t>Tipo do Ato de Outorga ou Registro:</t>
  </si>
  <si>
    <t>Tipo de Solicitação</t>
  </si>
  <si>
    <t>Fuso</t>
  </si>
  <si>
    <t>E (Abscissa) Min</t>
  </si>
  <si>
    <t>E (Abscissa) Max</t>
  </si>
  <si>
    <t>N (Ordenada) Min</t>
  </si>
  <si>
    <t>N (Ordenada) Max</t>
  </si>
  <si>
    <t>Potência Ativa Instalada Total de Geração da Usina (kW):</t>
  </si>
  <si>
    <t>Grupo</t>
  </si>
  <si>
    <t>Classe</t>
  </si>
  <si>
    <t>CPF/CNPJ</t>
  </si>
  <si>
    <t>Logradouro</t>
  </si>
  <si>
    <t>Número</t>
  </si>
  <si>
    <r>
      <t>Complemento</t>
    </r>
    <r>
      <rPr>
        <sz val="11"/>
        <color theme="1"/>
        <rFont val="Calibri"/>
        <family val="2"/>
        <scheme val="minor"/>
      </rPr>
      <t>:</t>
    </r>
  </si>
  <si>
    <t>Bairro</t>
  </si>
  <si>
    <t>Municipio</t>
  </si>
  <si>
    <t>Estado</t>
  </si>
  <si>
    <t>CEP</t>
  </si>
  <si>
    <t>e-mail</t>
  </si>
  <si>
    <t>Número do Cliente</t>
  </si>
  <si>
    <t>Número da Instalação</t>
  </si>
  <si>
    <r>
      <t>Titular da Unidade Consumidora</t>
    </r>
    <r>
      <rPr>
        <sz val="11"/>
        <color indexed="10"/>
        <rFont val="Calibri"/>
        <family val="2"/>
      </rPr>
      <t>*</t>
    </r>
    <r>
      <rPr>
        <sz val="11"/>
        <color theme="1"/>
        <rFont val="Calibri"/>
        <family val="2"/>
        <scheme val="minor"/>
      </rPr>
      <t>:</t>
    </r>
  </si>
  <si>
    <t>Titular da Unidade Consumidora</t>
  </si>
  <si>
    <t>E (Abscissa)</t>
  </si>
  <si>
    <t>N (Ordenada)</t>
  </si>
  <si>
    <t>Carga Instalada (consumo próprio) (kW)</t>
  </si>
  <si>
    <t>Tipo de edificação</t>
  </si>
  <si>
    <t>Tipo de Solicitação:</t>
  </si>
  <si>
    <t>Disjuntor Individual Atual</t>
  </si>
  <si>
    <t>Disjuntor Individual Solicitado para Alteração de Carga</t>
  </si>
  <si>
    <t>Disjuntor Geral do Padrão (Conforme ND 5.2)</t>
  </si>
  <si>
    <t>Tensão de Atendimento (V)</t>
  </si>
  <si>
    <t>Haverá Mudança de Local do Padrão de Entrada</t>
  </si>
  <si>
    <t>Tipo de Fonte de Geração</t>
  </si>
  <si>
    <t>Modalidade de compensação</t>
  </si>
  <si>
    <t>Potência Ativa Instalada Total de Geração da Usina (kW)</t>
  </si>
  <si>
    <t>Qtde. de Instalações a receber o crédito:</t>
  </si>
  <si>
    <t>Qtde. de Instalações a receber o crédito</t>
  </si>
  <si>
    <t>Tipo de Subestação (Conforme ND 5.3)</t>
  </si>
  <si>
    <t>Tipo de Ramal</t>
  </si>
  <si>
    <t>Bipolar</t>
  </si>
  <si>
    <t>Tripolar</t>
  </si>
  <si>
    <t>Aéreo</t>
  </si>
  <si>
    <r>
      <t>E-mail</t>
    </r>
    <r>
      <rPr>
        <sz val="11"/>
        <color indexed="10"/>
        <rFont val="Calibri"/>
        <family val="2"/>
      </rPr>
      <t>*</t>
    </r>
    <r>
      <rPr>
        <sz val="11"/>
        <color theme="1"/>
        <rFont val="Calibri"/>
        <family val="2"/>
        <scheme val="minor"/>
      </rPr>
      <t>:</t>
    </r>
  </si>
  <si>
    <t>Disjuntor</t>
  </si>
  <si>
    <t>Limite máximo para injeção(kW)</t>
  </si>
  <si>
    <t>Tipo</t>
  </si>
  <si>
    <t>Corrente (A)</t>
  </si>
  <si>
    <t>Monopolar</t>
  </si>
  <si>
    <t xml:space="preserve">Edificação Individual </t>
  </si>
  <si>
    <t xml:space="preserve">Edificação de Uso Coletivo (telhado coletivo ou em área comum do condomínio)      </t>
  </si>
  <si>
    <t xml:space="preserve">Edificação de Uso Coletivo (telhado independente e privativo)   </t>
  </si>
  <si>
    <t>Agrupamento</t>
  </si>
  <si>
    <t>Tipos Edificações</t>
  </si>
  <si>
    <t>Tipos Solicitações</t>
  </si>
  <si>
    <t>Tensão Grupo A</t>
  </si>
  <si>
    <t>Tensão Grupo B</t>
  </si>
  <si>
    <t>127/220</t>
  </si>
  <si>
    <t>120/240</t>
  </si>
  <si>
    <t>Tensão Grupo</t>
  </si>
  <si>
    <t>Subterrâneo</t>
  </si>
  <si>
    <t>TipoRamal</t>
  </si>
  <si>
    <t>Cod_Solicitação</t>
  </si>
  <si>
    <t>Cod_Edificação</t>
  </si>
  <si>
    <t xml:space="preserve">Tipo de Padrão de Entrada:  </t>
  </si>
  <si>
    <t>Monopolar40</t>
  </si>
  <si>
    <t>Monopolar50</t>
  </si>
  <si>
    <t>Monopolar63</t>
  </si>
  <si>
    <t>Monopolar70</t>
  </si>
  <si>
    <t>Bipolar40</t>
  </si>
  <si>
    <t>Bipolar50</t>
  </si>
  <si>
    <t>Bipolar60</t>
  </si>
  <si>
    <t>Bipolar63</t>
  </si>
  <si>
    <t>Bipolar70</t>
  </si>
  <si>
    <t>Bipolar80</t>
  </si>
  <si>
    <t>Bipolar90</t>
  </si>
  <si>
    <t>Bipolar100</t>
  </si>
  <si>
    <t>Bipolar120</t>
  </si>
  <si>
    <t>Bipolar125</t>
  </si>
  <si>
    <t>Bipolar150</t>
  </si>
  <si>
    <t>Bipolar200</t>
  </si>
  <si>
    <t>Tripolar40</t>
  </si>
  <si>
    <t>Tripolar60</t>
  </si>
  <si>
    <t>Tripolar63</t>
  </si>
  <si>
    <t>Tripolar70</t>
  </si>
  <si>
    <t>Tripolar80</t>
  </si>
  <si>
    <t>Tripolar100</t>
  </si>
  <si>
    <t>Tripolar120</t>
  </si>
  <si>
    <t>Tripolar125</t>
  </si>
  <si>
    <t>Tripolar150</t>
  </si>
  <si>
    <t>Tripolar175</t>
  </si>
  <si>
    <t>Tripolar200</t>
  </si>
  <si>
    <t>Tripolar225</t>
  </si>
  <si>
    <t>Tripolar250</t>
  </si>
  <si>
    <t>Tripolar300</t>
  </si>
  <si>
    <t>Tripolar315</t>
  </si>
  <si>
    <t>Tripolar320</t>
  </si>
  <si>
    <t>Tripolar400</t>
  </si>
  <si>
    <t>Tripolar450</t>
  </si>
  <si>
    <t>Tripolar500</t>
  </si>
  <si>
    <t>Tripolar600</t>
  </si>
  <si>
    <t>Tripolar630</t>
  </si>
  <si>
    <t>Tripolar700</t>
  </si>
  <si>
    <t>Tripolar800</t>
  </si>
  <si>
    <t xml:space="preserve">Endereço: </t>
  </si>
  <si>
    <t>Av. Barbacena, 1200, Santo Agostinho, CEP 30190-131, BH - MG</t>
  </si>
  <si>
    <t>Gerência de Processos Especiais da Expansão de Média e Baixa Tensão - EM/PE</t>
  </si>
  <si>
    <t xml:space="preserve">Responsável / Área: </t>
  </si>
  <si>
    <t>Telefone: 0800 721 0167</t>
  </si>
  <si>
    <t>E-mail: geracaodistribuida@cemig.com.br</t>
  </si>
  <si>
    <t>E_Mínimo</t>
  </si>
  <si>
    <t>E_Máximo</t>
  </si>
  <si>
    <t>N_Mínimo</t>
  </si>
  <si>
    <t>N_Máximo</t>
  </si>
  <si>
    <t>Fuso_Escolhido</t>
  </si>
  <si>
    <t>Sim</t>
  </si>
  <si>
    <t>SE</t>
  </si>
  <si>
    <t>Potência Transformador</t>
  </si>
  <si>
    <t>Nº 1</t>
  </si>
  <si>
    <t>Nº 5</t>
  </si>
  <si>
    <t>Nº 8</t>
  </si>
  <si>
    <t>Outros Trafos Particulares</t>
  </si>
  <si>
    <t>Qte Potências</t>
  </si>
  <si>
    <t>Qte</t>
  </si>
  <si>
    <t>Potência</t>
  </si>
  <si>
    <t>è</t>
  </si>
  <si>
    <r>
      <t>Nota</t>
    </r>
    <r>
      <rPr>
        <vertAlign val="superscript"/>
        <sz val="11"/>
        <color theme="1"/>
        <rFont val="Calibri"/>
        <family val="2"/>
        <scheme val="minor"/>
      </rPr>
      <t>1</t>
    </r>
    <r>
      <rPr>
        <sz val="11"/>
        <color theme="1"/>
        <rFont val="Calibri"/>
        <family val="2"/>
        <scheme val="minor"/>
      </rPr>
      <t>: Os Técnicos em Eletrotécnica poderão projetar e dirigir instalações com potência até 800 kVA (Decreto nº 90.922/85)</t>
    </r>
  </si>
  <si>
    <t>Notas Explicativas:</t>
  </si>
  <si>
    <t>As informações contidas neste Formulário de Solicitação de Acesso devem estar em conformidade com o Diagrama Unifilar Básico e o Memorial Descritivo enviados à Cemig.</t>
  </si>
  <si>
    <t>1 - Número da Instalação: O número da unidade consumidora na qual será instalada a geração distribuída. Caso tratar-se de ligação nova, não preencher.</t>
  </si>
  <si>
    <t>2 - Grupo e Subgrupo: Informe o código de subgrupo aplicável conforme o nível de tensão para o grupo A ou finalidade para o grupo B.</t>
  </si>
  <si>
    <t>Grupo A - grupamento composto de unidades consumidoras com fornecimento em tensão igual ou superior a 2,3 kV</t>
  </si>
  <si>
    <t>Subgrupo</t>
  </si>
  <si>
    <t>Nível de Tensão</t>
  </si>
  <si>
    <t>Finalidade</t>
  </si>
  <si>
    <t>A1</t>
  </si>
  <si>
    <t>Igual ou superior a 230 kV</t>
  </si>
  <si>
    <t>B1</t>
  </si>
  <si>
    <t>Residencial</t>
  </si>
  <si>
    <t>A2</t>
  </si>
  <si>
    <t>88 kV a 138 kV</t>
  </si>
  <si>
    <t>B2</t>
  </si>
  <si>
    <t>Rural</t>
  </si>
  <si>
    <t>A3</t>
  </si>
  <si>
    <t>69 kV</t>
  </si>
  <si>
    <t>B3</t>
  </si>
  <si>
    <t>Industrial</t>
  </si>
  <si>
    <t>A3a</t>
  </si>
  <si>
    <t>30 kV a 44 kV</t>
  </si>
  <si>
    <t>Demais Classes</t>
  </si>
  <si>
    <t>A4</t>
  </si>
  <si>
    <t>2,3 kV a 25 kV</t>
  </si>
  <si>
    <t>B4</t>
  </si>
  <si>
    <t>Iluminação Pública</t>
  </si>
  <si>
    <t>Site para conversão de coordenadas geográficas: http://www.dpi.inpe.br/calcula/. Selecione o Datum: SIRGAS2000.</t>
  </si>
  <si>
    <t>As subestações tipo Nº 5 e Nº 8 somente são aplicáveis para potências de transformação até 300 kVA e não podem ser de uso compartilhado.</t>
  </si>
  <si>
    <t>De acordo com as definições contidas nas ND’s 5.1 e 5.2:</t>
  </si>
  <si>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</si>
  <si>
    <t>“Para os casos de aluguel, cessão ou arrendamento de áreas, telhados ou estruturas para instalação de microgeração em edificações coletivas e agrupamentos, deverá ser criada unidade consumidora adicional para conexão da central geradora e deverá ser comprovado o direito de posse do terreno, telhado ou estrutura pelo proprietário da usina. O titular da nova unidade consumidora com GD deverá ser o proprietário da usina”.</t>
  </si>
  <si>
    <t>• Edificações de uso coletivo (telhado coletivo ou em área comum do condomínio): Comprovação de posse do proprietário do imóvel e autorização do condomínio.</t>
  </si>
  <si>
    <t>• Edificações de uso coletivo (telhado independente e privativo): Comprovação de posse do proprietário do imóvel.</t>
  </si>
  <si>
    <t>• Agrupamentos: Comprovação de posse do proprietário do imóvel.</t>
  </si>
  <si>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</si>
  <si>
    <t>ATENÇÃO: Por potência disponibilizada (Seção 1.1, Módulo 1, da Resolução Normativa nº 956/2021), considera-se a potência que o sistema elétrico da distribuidora deve dispor para atender aos equipamentos elétricos e instalações do usuário, calculada da seguinte forma:</t>
  </si>
  <si>
    <t>ATENÇÃO: O usuário deve atentar-se ao disposto no Art. 353 da Resolução Normativa ANEEL nº 1000/2021:</t>
  </si>
  <si>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</si>
  <si>
    <t>(...)</t>
  </si>
  <si>
    <t>II - o aumento da geração instalada sem consulta à distribuidora, em qualquer hipótese</t>
  </si>
  <si>
    <t>Potência Total Módulos (kWp): Informe a potência elétrica total, em kWp, obtida a partir do efeito fotovoltaico, somando todos os módulos agrupados em arranjos.</t>
  </si>
  <si>
    <t>Potência Total Inversores (kW): Informe a potência nominal elétrica total, em kW, somando todas as saídas dos inversores, respeitadas limitações de potência decorrentes dos módulos, do controle de potência do inversor ou de outras restrições técnicas.</t>
  </si>
  <si>
    <t>3 - Classe: Informe a classificação da unidade consumidora em Residencial, Industrial, Comercial, Rural, Poder Público, Iluminação Pública ou Serviço Público.</t>
  </si>
  <si>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</si>
  <si>
    <t xml:space="preserve">  </t>
  </si>
  <si>
    <r>
      <rPr>
        <b/>
        <sz val="11"/>
        <color theme="1"/>
        <rFont val="Calibri"/>
        <family val="2"/>
        <scheme val="minor"/>
      </rPr>
      <t>Conexão de GD em Unidade Consumidora Existente COM Alteração de Potência Disponibilizada</t>
    </r>
    <r>
      <rPr>
        <sz val="11"/>
        <color theme="1"/>
        <rFont val="Calibri"/>
        <family val="2"/>
        <scheme val="minor"/>
      </rPr>
      <t>: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r>
  </si>
  <si>
    <r>
      <rPr>
        <b/>
        <sz val="11"/>
        <color theme="1"/>
        <rFont val="Calibri"/>
        <family val="2"/>
        <scheme val="minor"/>
      </rPr>
      <t>Conexão de GD em Unidade Consumidora Existente SEM Alteração de Potência Disponibilizada</t>
    </r>
    <r>
      <rPr>
        <sz val="11"/>
        <color theme="1"/>
        <rFont val="Calibri"/>
        <family val="2"/>
        <scheme val="minor"/>
      </rPr>
      <t>: trata-se de conexão de GD em unidade consumidora do grupo B (que não precisará alterar o disjuntor existente) ou do grupo A (que não precisará alterar o contrato de demanda - CUSD).</t>
    </r>
  </si>
  <si>
    <r>
      <rPr>
        <b/>
        <sz val="11"/>
        <color theme="1"/>
        <rFont val="Calibri"/>
        <family val="2"/>
        <scheme val="minor"/>
      </rPr>
      <t>Ligação de Nova Unidade Consumidora COM Geração Distribuída</t>
    </r>
    <r>
      <rPr>
        <sz val="11"/>
        <color theme="1"/>
        <rFont val="Calibri"/>
        <family val="2"/>
        <scheme val="minor"/>
      </rPr>
      <t>: as ligações de novas unidades consumidoras são as que podem ser caracterizadas por pontos de conexão ainda não atendidos pela concessionária. Para novas unidades consumidoras do grupo B deverá também ser anexado, no APR Web, o Formulário de Ligação Nova.</t>
    </r>
  </si>
  <si>
    <t>§ 1º Enquadram-se no caput:</t>
  </si>
  <si>
    <r>
      <rPr>
        <b/>
        <sz val="11"/>
        <color theme="1"/>
        <rFont val="Calibri"/>
        <family val="2"/>
        <scheme val="minor"/>
      </rPr>
      <t>Edificação Individual</t>
    </r>
    <r>
      <rPr>
        <sz val="11"/>
        <color theme="1"/>
        <rFont val="Calibri"/>
        <family val="2"/>
        <scheme val="minor"/>
      </rPr>
      <t>: É toda e qualquer construção, reconhecida pelos poderes públicos, contendo uma única unidade consumidora.</t>
    </r>
  </si>
  <si>
    <r>
      <rPr>
        <b/>
        <sz val="11"/>
        <color theme="1"/>
        <rFont val="Calibri"/>
        <family val="2"/>
        <scheme val="minor"/>
      </rPr>
      <t>Edificações de Uso Coletivo</t>
    </r>
    <r>
      <rPr>
        <sz val="11"/>
        <color theme="1"/>
        <rFont val="Calibri"/>
        <family val="2"/>
        <scheme val="minor"/>
      </rPr>
      <t>: É toda e qualquer construção, reconhecida pelos poderes públicos, constituída por duas ou mais unidades consumidoras, cujas áreas comuns, com consumo de energia, sejam juridicamente de responsabilidade do condomínio.</t>
    </r>
  </si>
  <si>
    <r>
      <rPr>
        <b/>
        <sz val="11"/>
        <color theme="1"/>
        <rFont val="Calibri"/>
        <family val="2"/>
        <scheme val="minor"/>
      </rPr>
      <t>Edificações Agrupadas ou Agrupamentos</t>
    </r>
    <r>
      <rPr>
        <sz val="11"/>
        <color theme="1"/>
        <rFont val="Calibri"/>
        <family val="2"/>
        <scheme val="minor"/>
      </rPr>
      <t>: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r>
  </si>
  <si>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</si>
  <si>
    <r>
      <rPr>
        <b/>
        <u/>
        <sz val="11"/>
        <color theme="1"/>
        <rFont val="Calibri"/>
        <family val="2"/>
        <scheme val="minor"/>
      </rPr>
      <t>Diante do exposto acima, será necessário apresentar documentação específica nos seguintes casos</t>
    </r>
    <r>
      <rPr>
        <sz val="11"/>
        <color theme="1"/>
        <rFont val="Calibri"/>
        <family val="2"/>
        <scheme val="minor"/>
      </rPr>
      <t>:</t>
    </r>
  </si>
  <si>
    <t>Observações:</t>
  </si>
  <si>
    <r>
      <t>Endereço de Correspondência</t>
    </r>
    <r>
      <rPr>
        <sz val="11"/>
        <color rgb="FFFF0000"/>
        <rFont val="Calibri"/>
        <family val="2"/>
        <scheme val="minor"/>
      </rPr>
      <t>*</t>
    </r>
    <r>
      <rPr>
        <sz val="11"/>
        <color theme="1"/>
        <rFont val="Calibri"/>
        <family val="2"/>
        <scheme val="minor"/>
      </rPr>
      <t>:</t>
    </r>
  </si>
  <si>
    <t>Nome do Consumidor ou Procurador Legal</t>
  </si>
  <si>
    <r>
      <t>Nome do Consumidor ou Procurador Legal</t>
    </r>
    <r>
      <rPr>
        <sz val="11"/>
        <color rgb="FFFF0000"/>
        <rFont val="Calibri"/>
        <family val="2"/>
        <scheme val="minor"/>
      </rPr>
      <t>*</t>
    </r>
    <r>
      <rPr>
        <sz val="11"/>
        <color theme="1"/>
        <rFont val="Calibri"/>
        <family val="2"/>
        <scheme val="minor"/>
      </rPr>
      <t>:</t>
    </r>
  </si>
  <si>
    <t>Endereço de Correspondência</t>
  </si>
  <si>
    <t>E-mail</t>
  </si>
  <si>
    <t>Tabela Disjuntores Geral</t>
  </si>
  <si>
    <t>Qte Disjuntor Geral:</t>
  </si>
  <si>
    <t>Qte Disjuntor Geral</t>
  </si>
  <si>
    <t>Valida o tipo de SE Nº 1 em ligação nova</t>
  </si>
  <si>
    <r>
      <t xml:space="preserve">O uso da subestação tipo Nº 1 foi descontinuado das normas Cemig, portanto </t>
    </r>
    <r>
      <rPr>
        <b/>
        <u/>
        <sz val="11"/>
        <color theme="1"/>
        <rFont val="Calibri"/>
        <family val="2"/>
        <scheme val="minor"/>
      </rPr>
      <t>NÃO</t>
    </r>
    <r>
      <rPr>
        <sz val="11"/>
        <color theme="1"/>
        <rFont val="Calibri"/>
        <family val="2"/>
        <scheme val="minor"/>
      </rPr>
      <t xml:space="preserve"> é permitida para ligação de novas Unidades Consumidoras usando esse padrão de construção</t>
    </r>
  </si>
  <si>
    <r>
      <t xml:space="preserve">    Local e data</t>
    </r>
    <r>
      <rPr>
        <b/>
        <sz val="11"/>
        <color rgb="FFFF0000"/>
        <rFont val="Calibri"/>
        <family val="2"/>
        <scheme val="minor"/>
      </rPr>
      <t>*</t>
    </r>
    <r>
      <rPr>
        <sz val="11"/>
        <color theme="1"/>
        <rFont val="Calibri"/>
        <family val="2"/>
        <scheme val="minor"/>
      </rPr>
      <t>:</t>
    </r>
  </si>
  <si>
    <t>Local e data</t>
  </si>
  <si>
    <t>Sinaliza tipo de SE</t>
  </si>
  <si>
    <t>Não</t>
  </si>
  <si>
    <t>Pot. Atual (kW)</t>
  </si>
  <si>
    <t>Identifica SE tipos Nº 2 ou Nº 4</t>
  </si>
  <si>
    <t>Identifica SE tipos Nº 1 ou Nº 5 ou Nº 8</t>
  </si>
  <si>
    <t>Indentifica SE tipo Nº 1</t>
  </si>
  <si>
    <t>Qte e potência do(s) transformador(es)</t>
  </si>
  <si>
    <t>TiposDisjuntores_Fases</t>
  </si>
  <si>
    <t>Sem Disj. Geral</t>
  </si>
  <si>
    <t>Disjuntor de Baixa Tensão</t>
  </si>
  <si>
    <t>Disjuntores das SE 1, 5 e 8</t>
  </si>
  <si>
    <t>Assinatura do Consumidor/Responsável Legal:</t>
  </si>
  <si>
    <r>
      <t>Celular</t>
    </r>
    <r>
      <rPr>
        <b/>
        <sz val="11"/>
        <color rgb="FFFF0000"/>
        <rFont val="Calibri"/>
        <family val="2"/>
        <scheme val="minor"/>
      </rPr>
      <t>*</t>
    </r>
    <r>
      <rPr>
        <sz val="11"/>
        <color theme="1"/>
        <rFont val="Calibri"/>
        <family val="2"/>
        <scheme val="minor"/>
      </rPr>
      <t>:</t>
    </r>
  </si>
  <si>
    <t>Celular</t>
  </si>
  <si>
    <r>
      <t>Celular</t>
    </r>
    <r>
      <rPr>
        <sz val="11"/>
        <color rgb="FFFF0000"/>
        <rFont val="Calibri"/>
        <family val="2"/>
        <scheme val="minor"/>
      </rPr>
      <t>*</t>
    </r>
    <r>
      <rPr>
        <sz val="11"/>
        <color theme="1"/>
        <rFont val="Calibri"/>
        <family val="2"/>
        <scheme val="minor"/>
      </rPr>
      <t>:</t>
    </r>
  </si>
  <si>
    <t>Valida o somatório das potências dos trafos em relação à Potência Ativa Instalada</t>
  </si>
  <si>
    <t>Carga Instalada (consumo próprio) (kW):</t>
  </si>
  <si>
    <t>Sem Alter. Carga</t>
  </si>
  <si>
    <t>Revisão</t>
  </si>
  <si>
    <t>Data</t>
  </si>
  <si>
    <t>Modificação</t>
  </si>
  <si>
    <t>i</t>
  </si>
  <si>
    <t>Tabela Disjuntores Revisada 06/10/2022</t>
  </si>
  <si>
    <t>Tabela Disjuntores Padronizados na ND 5.1</t>
  </si>
  <si>
    <t>Atualização da carga de acordo com o disjuntor instalado
Criação da tabela de disjuntores padronizados
Alteração das fórmulas dos disjuntores</t>
  </si>
  <si>
    <t>j</t>
  </si>
  <si>
    <t>Inclusão do formulário de Segurança de Barragens</t>
  </si>
  <si>
    <t>1) A altura da barragem, contada do ponto mais baixo da fundação à crista, é maior ou igual a 15m (quinze metros)?</t>
  </si>
  <si>
    <t>2) Volume Total do Reservatório para barragens de uso múltiplo ou aproveitamento energético:</t>
  </si>
  <si>
    <t xml:space="preserve">Muito Pequeno ( Se o Volume Total do Reservatório for &lt; 3.000.000m³ ) </t>
  </si>
  <si>
    <t xml:space="preserve">Pequeno ( Se o Volume Total do Reservatório for &gt;= 3.000.000m³ e &lt;= 5.000.000m³ ) </t>
  </si>
  <si>
    <t xml:space="preserve">Médio ( Se o Volume Total do Reservatório for &gt; 5.000.000m³ e &lt;= 75.000.000m³ ) </t>
  </si>
  <si>
    <t xml:space="preserve">Grande ( Se o Volume Total do Reservatório for &gt; 75.000.000m³ e &lt;= 200.000.000m³ ) </t>
  </si>
  <si>
    <t>Muito Grande ( Se o Volume Total do Reservatório for &gt; 200.000.000m³ )</t>
  </si>
  <si>
    <t>3) Potencial de perdas de vidas humanas:</t>
  </si>
  <si>
    <t xml:space="preserve">INEXISTENTE (não existem pessoas permanentes/residentes ou temporárias/transitando na área afetada a jusante da barragem) </t>
  </si>
  <si>
    <t>POUCO FREQUENTE (não existem pessoas ocupando permanentemente a área afetada a jusante da barragem, mas existe estrada vicinal de uso local.)</t>
  </si>
  <si>
    <t>FREQUENTE (não existem pessoas ocupando permanentemente a área afetada a jusante da barragem, mas existe rodovia municipal, estadual, federal ou outro local e/ou empreendimento de permanência eventual de pessoas que poderão ser atingidas.)</t>
  </si>
  <si>
    <t>EXISTENTE (existem pessoas ocupando permanentemente a área afetada a jusante da barragem, portanto, vidas humanas poderão ser atingidas.)</t>
  </si>
  <si>
    <t>4) Impacto ambiental:</t>
  </si>
  <si>
    <t>SIGNIFICATIVO (área afetada da barragem não representa área de interesse ambiental, áreas protegidas em legislação específica ou encontra-se totalmente descaracterizada de suas condições naturais)</t>
  </si>
  <si>
    <t>MUITO SIGNIFICATIVO (área afetada da barragem apresenta interesse ambiental relevante ou protegida em legislação específica)</t>
  </si>
  <si>
    <t>5) Impacto sócio-econômico:</t>
  </si>
  <si>
    <t xml:space="preserve">INEXISTENTE (não existem quaisquer instalações e servicos de navegacao na área afetada por acidente da barragem) </t>
  </si>
  <si>
    <t xml:space="preserve">BAIXO (existe pequena concentração de instalações residenciais e comerciais, agrícolas, industriais ou de infraestrutura na área afetada da barragem ou instalações portuárias ou servicos de navegacao) </t>
  </si>
  <si>
    <t>ALTO (existe grande concentração de instalações residenciais e comerciais, agrícolas, industriais, de infraestrutura e servicos de lazer e turismo na área afetada da barragem ou instalações portuárias ou servicos de navegacao)</t>
  </si>
  <si>
    <t>APENAS PARA FONTE HÍDRICA. Responda com base na LEI N° 12.334, de 20 de setembro de 2010 e na Resolução Normativa N° 696, de 15 de dezembro de 2015.</t>
  </si>
  <si>
    <t>Dados de Segurança das Barragens no caso de sistemas com fontes hídricas</t>
  </si>
  <si>
    <t>Declaração</t>
  </si>
  <si>
    <t>Assinatura do Cliente/Responsável Legal:</t>
  </si>
  <si>
    <t>Declaro, para fins de direito, sob as penas da lei e em atendimento à Resolução Normativa n° 696, de 15 de dezembro de 2015 , que as informações prestadas neste sistema são verdadeiras, autênticas e condizentes com a realidade da barragem e/ou do dique da central geradora em referência.
Nada mais a declarar, e ciente das responsabilidades pelas declarações prestadas, submeto este formulário.
Estou ciente que a falsidade dos dados configura crime previsto no Código Penal Brasileiro e passível de apuração na forma da Lei.</t>
  </si>
  <si>
    <t>Gerência de Processos Especiais de Expansão da Média e Baixa Tensão - EM/PE - Revisão k - 14/03/2023</t>
  </si>
  <si>
    <t>k</t>
  </si>
  <si>
    <t>Formulário de Segurança de Barragens incluído no corpo do formulário principal</t>
  </si>
  <si>
    <t>3 – DOCUMENTAÇÃO DA UC A SER ANEXADA (NOVA UC OU ALTERAÇÃO DE POTÊNCIA)</t>
  </si>
  <si>
    <t>Possui sistema de armazenamento de energia:</t>
  </si>
  <si>
    <t>3.1 -Documentos de identificação do consumidor, conforme incisos I e II do art. 67 da Resolução Normativa nº 1.000/2021.</t>
  </si>
  <si>
    <t>3.2 - Formulário de Análise de Carga, com os respectivos anexos necessários (para solicitação de Ligação Nova de Unidade Consumidora com GD ou conexão de GD com aumento ou redução de potência disponibilizada).</t>
  </si>
  <si>
    <t>3.3 - Informação das cargas que possam provocar perturbações no sistema de distribuição.</t>
  </si>
  <si>
    <t>3.4 - Informação e documentação das atividades desenvolvidas nas instalações.</t>
  </si>
  <si>
    <t>3.5 - Apresentação de licença ou declaração emitida pelo órgão competente caso as instalações ou a extensão de rede de responsabilidade do consumidor e demais usuários ocuparem áreas protegidas pela legislação, tais como unidades de conservação, reservas legais, áreas de preservação permanente, territórios indígenas e quilombolas.</t>
  </si>
  <si>
    <t>Tipo de Fonte Primária:</t>
  </si>
  <si>
    <t>Tipo de geração</t>
  </si>
  <si>
    <t>Empregando máquina síncrona sem conversor</t>
  </si>
  <si>
    <t>Empregando conversor eletrônico/inversor</t>
  </si>
  <si>
    <t>Mista</t>
  </si>
  <si>
    <t>Outra (especificar):</t>
  </si>
  <si>
    <t>Tipo de geração:</t>
  </si>
  <si>
    <t xml:space="preserve"> Modalidade de Compensação de Excedentes</t>
  </si>
  <si>
    <t>Compensação local</t>
  </si>
  <si>
    <t>Autoconsumo remoto</t>
  </si>
  <si>
    <t>Geração compartilhada</t>
  </si>
  <si>
    <t>Múltiplas Unidades Consumidoras</t>
  </si>
  <si>
    <t>4 – DADOS DA GERAÇÃO</t>
  </si>
  <si>
    <t>5 - DADOS DO SISTEMA DE ARMAZENAMENTO DE ENERGIA</t>
  </si>
  <si>
    <t>6 – DOCUMENTAÇÃO TÉCNICA A SER ANEXADA (OBRIGATÓRIA)</t>
  </si>
  <si>
    <t>6.1 - Documento de responsabilidade técnica (projeto e execução) do conselho profissional competente, que identifique o número do registro válido e o nome do responsável técnico, o local da obra ou serviço e as atividades profissionais desenvolvidas</t>
  </si>
  <si>
    <t>6.2 -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</si>
  <si>
    <t>6.3 - Diagrama unifilar e de blocos do sistema de geração, carga e proteção.</t>
  </si>
  <si>
    <t>6.4 - Relatório de ensaio, em língua portuguesa, atestando a conformidade de todos os conversores de potência para a tensão nominal de conexão com a rede, sempre que houver a utilização de conversores. (incluindo conversores para geração e armazenamento de energia)</t>
  </si>
  <si>
    <t>6.5 - Dados necessários ao registro da central geradora distribuída conforme disponível no site da ANEEL.</t>
  </si>
  <si>
    <t>6.6 - Lista de unidades consumidoras participantes do sistema de compensação, indicando o percentual ou a ordem de utilização dos excedentes.</t>
  </si>
  <si>
    <t>3.6.1 - Documento, com data, que comprove a propriedade ou posse do imóvel onde será implantada a central geradora ou, no caso de unidade flutuante, autorização, licença ou documento equivalente emitido pelas autoridades competentes.</t>
  </si>
  <si>
    <t xml:space="preserve">3.6.2 - Para imóveis rurais apresentar o documento de Cadastro Ambiental Rural – CAR. O CAR é um registro público eletrônico de âmbito nacional, Lei nº 12.651/2012, obrigatório para todos os imóveis rurais. </t>
  </si>
  <si>
    <t>3.6.3 - Documento que comprove o direito de posse pelo proprietário da central geradora em casos de aluguel, cessão ou arrendamento de áreas, telhados ou estruturas. (Caso aplicável)</t>
  </si>
  <si>
    <t>3.6.4 - Documento fornecido pelo condomínio que comprove autorização de uso de área comum da edificação coletiva para instalação de central geradora de uso particular da unidade em questão. (Caso aplicável)</t>
  </si>
  <si>
    <t>6.7 - Cópia de instrumento jurídico que comprove a participação dos integrantes para os casos de múltiplas unidades consumidoras e geração compartilhada. (Caso aplicável)</t>
  </si>
  <si>
    <t>6.8 - Documento que comprove o reconhecimento, pela ANEEL, da cogeração qualificada (Caso aplicável)</t>
  </si>
  <si>
    <t>6.9 - Dados de segurança das barragens no caso do uso de sistemas com fontes hídricas, conforme Resolução Normativa nº 696/2015. Preencher ao final do formulário. (Caso aplicável)</t>
  </si>
  <si>
    <t>6.10 - Para centrais fotovoltaicas enquadradas como despacháveis, comprovação de que o sistema de armazenamento atende o disposto no art. 655-B da Resolução Normativa nº 1.000/2021. (Caso aplicável)</t>
  </si>
  <si>
    <t>8 – SOLICITAÇÕES E DECLARAÇÕES</t>
  </si>
  <si>
    <t>8.1 - Solicito que a contagem do prazo para realização da vistoria pela distribuidora, conforme art. 91 da Resolução Normativa nº 1.000/2021, inicie-se somente após minha solicitação. (Opcional)</t>
  </si>
  <si>
    <t>8.2 - Renuncio ao direito de desistir do orçamento de conexão nos termos dos §§ 7º e 8º do art. 89 da Resolução Normativa nº 1.000/2021. (Opcional)</t>
  </si>
  <si>
    <t>8.3 - Autorizo a distribuidora a entregar junto com o orçamento de conexão os contratos e o documento ou meio para pagamento de custos de minha responsabilidade. (Opcional)</t>
  </si>
  <si>
    <t>X</t>
  </si>
  <si>
    <t>8.4 - Declaro que as instalações internas da minha unidade consumidora, incluindo a geração distribuída, atendem às normas e padrões da distribuidora, às normas da Associação Brasileira de Normas Técnicas - ABNT e às normas dos órgãos oficiais competentes, e ao art. 8º da Lei nº9.074, de 1995, naquilo que for aplicável. (Obrigatório)</t>
  </si>
  <si>
    <t>7 – CONTATO NA DISTRIBUIDORA (preenchido pela Distribuidora)</t>
  </si>
  <si>
    <t>9 – SOLICITANTE</t>
  </si>
  <si>
    <t>MG</t>
  </si>
  <si>
    <r>
      <t xml:space="preserve">Localização </t>
    </r>
    <r>
      <rPr>
        <b/>
        <sz val="11"/>
        <color indexed="8"/>
        <rFont val="Calibri"/>
        <family val="2"/>
      </rPr>
      <t>em Coordenadas UTM -</t>
    </r>
    <r>
      <rPr>
        <sz val="11"/>
        <color theme="1"/>
        <rFont val="Calibri"/>
        <family val="2"/>
        <scheme val="minor"/>
      </rPr>
      <t xml:space="preserve"> Ponto de Conexão:</t>
    </r>
  </si>
  <si>
    <t>4 - Localização em Coordenadas: Informe as coordenadas da localização do ponto de conexão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</si>
  <si>
    <r>
      <rPr>
        <b/>
        <sz val="11"/>
        <color theme="1"/>
        <rFont val="Calibri"/>
        <family val="2"/>
        <scheme val="minor"/>
      </rPr>
      <t>GD Existente COM Alteração de Potência Ativa Instalada Total</t>
    </r>
    <r>
      <rPr>
        <sz val="11"/>
        <color theme="1"/>
        <rFont val="Calibri"/>
        <family val="2"/>
        <scheme val="minor"/>
      </rPr>
      <t>: trata-se de unidade consumidora existente na qual já possui geração distribuída e o acessante deseja alterar a potência de injeção da central geradora.</t>
    </r>
  </si>
  <si>
    <t>6 -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</si>
  <si>
    <t>7 - Transformador particular (kVA): Informe a potência instalada de transformação da subestação de entrada ou o arranjo de transformadores utilizados.</t>
  </si>
  <si>
    <t>8 -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</si>
  <si>
    <t>9 -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</si>
  <si>
    <t>10 - Disjuntor Solicitado para Alteração de Carga: Informe a capacidade do novo disjuntor, caso haja necessidade de alteração de carga. Vale destacar que deverá ser anexado também o formulário de alteração de carga com informações específicas.</t>
  </si>
  <si>
    <t>11 - Tensão de Atendimento (V): Tensão nominal do ponto de conexão com a rede da concessionária.</t>
  </si>
  <si>
    <t>12 - Tipo de Ramal: Assinalar o tipo de ramal de conexão, se aéreo ou subterrâneo, no qual a unidade consumidora será atendida.</t>
  </si>
  <si>
    <t>13 - Localização dos Módulos Solares:</t>
  </si>
  <si>
    <t>14 - Tipo de Solicitação:</t>
  </si>
  <si>
    <t>15 - Modalidade de compensação: Modalidade de alocação de créditos utilizada no sistema de compensação de energia elétrica.</t>
  </si>
  <si>
    <t>16 - Potência Ativa Instalada Total de Geração (kW): Corresponde à máxima potência ativa gerada pela central geradora, em kW. Para centrais geradoras fotovoltaicas, trata-se do menor valor entre a Potência Total dos Inversores (kW) e a Potência Total dos Módulos (kWp).</t>
  </si>
  <si>
    <t>17 - Tipo de fonte renovável de energia elétrica ou cogeração qualificada (conforme Resolução Normativa nº 235/2006) utilizada pela central geradora.</t>
  </si>
  <si>
    <t>18 - Dados para Sistema de Registro de Geração Distribuída – SISGD de Outorga ou Registro.</t>
  </si>
  <si>
    <t>19 - Dados para Sistema de Registro de Geração Distribuída – SISGD - Central Geradora Fotovoltaica.</t>
  </si>
  <si>
    <t>20 - Dados para Sistema de Registro de Geração Distribuída – SISGD Central Geradora Hidrelétrica - CGH.</t>
  </si>
  <si>
    <t>21 - Dados para Sistema de Registro de Geração Distribuída – SISGD de Central Geradora Térmica - UTE.</t>
  </si>
  <si>
    <t>22 - Dados para Sistema de Registro de Geração Distribuída – SISGD de Central Geradora Eólica - EOL.</t>
  </si>
  <si>
    <t>L</t>
  </si>
  <si>
    <t>Adequação da REN 1059 - Mesma versão da REV_k -PAD</t>
  </si>
  <si>
    <t>Solar</t>
  </si>
  <si>
    <t>Gerência de Processos Especiais de Expansão de Média e Baixa Tensão - EM/PE - Revisão L - 30/06/2023</t>
  </si>
  <si>
    <t>Tensão SE N° 2 + Ligação nova</t>
  </si>
  <si>
    <t>Para fonte diferente da original, deverá ser realizada solicitação de ligação nova.</t>
  </si>
  <si>
    <t>LIVIMAR PINHEIRO DE OLIVEIRA JUNIOR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</si>
</sst>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lt;100000000000]000\.000\.000\-00;00\.000\.000\/0000\-00"/>
    <numFmt numFmtId="165" formatCode="\(##\)\ ####\-####"/>
    <numFmt numFmtId="166" formatCode="\(##\)\ #\ ####\-####"/>
    <numFmt numFmtId="167" formatCode="00000\-000"/>
  </numFmts>
  <fonts count="22" x14ac:knownFonts="1">
    <font>
      <sz val="11"/>
      <color theme="1"/>
      <name val="Calibri"/>
      <family val="2"/>
      <scheme val="minor"/>
    </font>
    <font>
      <sz val="11"/>
      <color indexed="10"/>
      <name val="Calibri"/>
      <family val="2"/>
    </font>
    <font>
      <b/>
      <sz val="11"/>
      <color indexed="8"/>
      <name val="Calibri"/>
      <family val="2"/>
    </font>
    <font>
      <sz val="11"/>
      <color rgb="FF0070C0"/>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b/>
      <sz val="12"/>
      <color theme="1"/>
      <name val="Calibri"/>
      <family val="2"/>
      <scheme val="minor"/>
    </font>
    <font>
      <sz val="10"/>
      <color theme="1"/>
      <name val="Calibri"/>
      <family val="2"/>
      <scheme val="minor"/>
    </font>
    <font>
      <sz val="8"/>
      <color rgb="FFFF0000"/>
      <name val="Calibri"/>
      <family val="2"/>
      <scheme val="minor"/>
    </font>
    <font>
      <b/>
      <sz val="14"/>
      <color theme="1"/>
      <name val="Calibri"/>
      <family val="2"/>
      <scheme val="minor"/>
    </font>
    <font>
      <sz val="12"/>
      <color theme="1"/>
      <name val="Calibri"/>
      <family val="2"/>
      <scheme val="minor"/>
    </font>
    <font>
      <sz val="10"/>
      <color theme="1"/>
      <name val="Times New Roman"/>
      <family val="1"/>
    </font>
    <font>
      <sz val="11"/>
      <color theme="8" tint="-0.249977111117893"/>
      <name val="Calibri"/>
      <family val="2"/>
      <scheme val="minor"/>
    </font>
    <font>
      <b/>
      <sz val="11"/>
      <color theme="1"/>
      <name val="Times New Roman"/>
      <family val="1"/>
    </font>
    <font>
      <b/>
      <sz val="11"/>
      <color rgb="FF0070C0"/>
      <name val="Calibri"/>
      <family val="2"/>
      <scheme val="minor"/>
    </font>
    <font>
      <sz val="8"/>
      <name val="Calibri"/>
      <family val="2"/>
      <scheme val="minor"/>
    </font>
    <font>
      <sz val="8"/>
      <color theme="1" tint="0.34998626667073579"/>
      <name val="Wingdings"/>
      <charset val="2"/>
    </font>
    <font>
      <vertAlign val="superscript"/>
      <sz val="11"/>
      <color theme="1"/>
      <name val="Calibri"/>
      <family val="2"/>
      <scheme val="minor"/>
    </font>
    <font>
      <b/>
      <u/>
      <sz val="11"/>
      <color theme="1"/>
      <name val="Calibri"/>
      <family val="2"/>
      <scheme val="minor"/>
    </font>
    <font>
      <b/>
      <sz val="11"/>
      <color rgb="FFFF0000"/>
      <name val="Calibri"/>
      <family val="2"/>
      <scheme val="minor"/>
    </font>
    <font>
      <sz val="11"/>
      <color theme="1"/>
      <name val="Calibri"/>
      <family val="2"/>
    </font>
  </fonts>
  <fills count="11">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s>
  <borders count="40">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79"/>
      </right>
      <top/>
      <bottom/>
      <diagonal/>
    </border>
    <border>
      <left style="medium">
        <color theme="1" tint="0.34998626667073579"/>
      </left>
      <right/>
      <top style="medium">
        <color theme="1" tint="0.34998626667073579"/>
      </top>
      <bottom style="thin">
        <color theme="0" tint="-0.14996795556505021"/>
      </bottom>
      <diagonal/>
    </border>
    <border>
      <left/>
      <right/>
      <top style="medium">
        <color theme="1" tint="0.34998626667073579"/>
      </top>
      <bottom style="thin">
        <color theme="0" tint="-0.14996795556505021"/>
      </bottom>
      <diagonal/>
    </border>
    <border>
      <left/>
      <right style="thin">
        <color theme="0" tint="-0.14996795556505021"/>
      </right>
      <top style="medium">
        <color theme="1" tint="0.34998626667073579"/>
      </top>
      <bottom style="thin">
        <color theme="0" tint="-0.14996795556505021"/>
      </bottom>
      <diagonal/>
    </border>
    <border>
      <left style="medium">
        <color theme="1" tint="0.34998626667073579"/>
      </left>
      <right/>
      <top style="medium">
        <color theme="1" tint="0.34998626667073579"/>
      </top>
      <bottom style="thin">
        <color theme="0" tint="-0.14993743705557422"/>
      </bottom>
      <diagonal/>
    </border>
    <border>
      <left/>
      <right style="thin">
        <color theme="0" tint="-0.14993743705557422"/>
      </right>
      <top style="medium">
        <color theme="1" tint="0.34998626667073579"/>
      </top>
      <bottom style="thin">
        <color theme="0" tint="-0.14993743705557422"/>
      </bottom>
      <diagonal/>
    </border>
    <border>
      <left/>
      <right/>
      <top style="medium">
        <color theme="1" tint="0.34998626667073579"/>
      </top>
      <bottom style="thin">
        <color theme="0" tint="-0.14993743705557422"/>
      </bottom>
      <diagonal/>
    </border>
    <border>
      <left style="thin">
        <color theme="0" tint="-0.14996795556505021"/>
      </left>
      <right/>
      <top/>
      <bottom/>
      <diagonal/>
    </border>
    <border>
      <left style="thin">
        <color indexed="64"/>
      </left>
      <right style="thin">
        <color indexed="64"/>
      </right>
      <top style="thin">
        <color indexed="64"/>
      </top>
      <bottom style="thin">
        <color indexed="64"/>
      </bottom>
      <diagonal/>
    </border>
    <border>
      <left style="medium">
        <color theme="1" tint="0.34998626667073579"/>
      </left>
      <right/>
      <top style="medium">
        <color theme="1" tint="0.34998626667073579"/>
      </top>
      <bottom style="thin">
        <color theme="0" tint="-0.14990691854609822"/>
      </bottom>
      <diagonal/>
    </border>
    <border>
      <left/>
      <right/>
      <top style="medium">
        <color theme="1" tint="0.34998626667073579"/>
      </top>
      <bottom style="thin">
        <color theme="0" tint="-0.14990691854609822"/>
      </bottom>
      <diagonal/>
    </border>
    <border>
      <left style="medium">
        <color theme="1" tint="0.34998626667073579"/>
      </left>
      <right/>
      <top style="medium">
        <color theme="1" tint="0.34998626667073579"/>
      </top>
      <bottom style="medium">
        <color theme="0" tint="-0.14996795556505021"/>
      </bottom>
      <diagonal/>
    </border>
    <border>
      <left/>
      <right/>
      <top style="medium">
        <color theme="1" tint="0.34998626667073579"/>
      </top>
      <bottom style="medium">
        <color theme="0" tint="-0.14996795556505021"/>
      </bottom>
      <diagonal/>
    </border>
    <border>
      <left/>
      <right style="medium">
        <color theme="0" tint="-0.14996795556505021"/>
      </right>
      <top style="medium">
        <color theme="1" tint="0.34998626667073579"/>
      </top>
      <bottom style="medium">
        <color theme="0" tint="-0.14996795556505021"/>
      </bottom>
      <diagonal/>
    </border>
    <border>
      <left/>
      <right style="thin">
        <color theme="0" tint="-0.14996795556505021"/>
      </right>
      <top/>
      <bottom/>
      <diagonal/>
    </border>
    <border>
      <left/>
      <right/>
      <top style="thin">
        <color theme="0" tint="-0.14996795556505021"/>
      </top>
      <bottom/>
      <diagonal/>
    </border>
    <border>
      <left/>
      <right style="thin">
        <color theme="0" tint="-0.14990691854609822"/>
      </right>
      <top style="medium">
        <color theme="1" tint="0.34998626667073579"/>
      </top>
      <bottom style="thin">
        <color theme="0" tint="-0.14990691854609822"/>
      </bottom>
      <diagonal/>
    </border>
    <border>
      <left style="thin">
        <color indexed="64"/>
      </left>
      <right style="thin">
        <color indexed="64"/>
      </right>
      <top/>
      <bottom/>
      <diagonal/>
    </border>
    <border>
      <left style="thin">
        <color theme="0" tint="-0.14996795556505021"/>
      </left>
      <right style="thin">
        <color indexed="64"/>
      </right>
      <top/>
      <bottom/>
      <diagonal/>
    </border>
    <border>
      <left style="medium">
        <color indexed="64"/>
      </left>
      <right style="medium">
        <color indexed="64"/>
      </right>
      <top style="medium">
        <color indexed="64"/>
      </top>
      <bottom style="medium">
        <color indexed="64"/>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239">
    <xf numFmtId="0" fontId="0" fillId="0" borderId="0" xfId="0"/>
    <xf numFmtId="0" fontId="0" fillId="0" borderId="1" xfId="0" applyBorder="1"/>
    <xf numFmtId="0" fontId="3" fillId="0" borderId="0" xfId="0" applyFont="1"/>
    <xf numFmtId="164" fontId="3" fillId="0" borderId="0" xfId="0" applyNumberFormat="1" applyFont="1"/>
    <xf numFmtId="164" fontId="3" fillId="0" borderId="0" xfId="0" applyNumberFormat="1" applyFont="1" applyAlignment="1">
      <alignment horizontal="left"/>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right"/>
    </xf>
    <xf numFmtId="0" fontId="0" fillId="0" borderId="2" xfId="0" applyBorder="1"/>
    <xf numFmtId="0" fontId="4" fillId="0" borderId="3" xfId="0" applyFont="1" applyBorder="1" applyAlignment="1">
      <alignment horizontal="center"/>
    </xf>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3" fillId="0" borderId="0" xfId="0" applyFont="1" applyAlignment="1">
      <alignment horizontal="left"/>
    </xf>
    <xf numFmtId="0" fontId="0" fillId="0" borderId="0" xfId="0" applyAlignment="1">
      <alignment horizontal="left"/>
    </xf>
    <xf numFmtId="0" fontId="5" fillId="0" borderId="3" xfId="0" applyFont="1" applyBorder="1"/>
    <xf numFmtId="0" fontId="0" fillId="0" borderId="0" xfId="0" applyAlignment="1">
      <alignment horizontal="center"/>
    </xf>
    <xf numFmtId="0" fontId="0" fillId="0" borderId="12" xfId="0" applyBorder="1"/>
    <xf numFmtId="0" fontId="6" fillId="0" borderId="3" xfId="0" applyFont="1" applyBorder="1"/>
    <xf numFmtId="0" fontId="0" fillId="2" borderId="6" xfId="0" applyFill="1" applyBorder="1"/>
    <xf numFmtId="0" fontId="7" fillId="0" borderId="20" xfId="0" applyFont="1" applyBorder="1" applyAlignment="1">
      <alignment horizontal="center"/>
    </xf>
    <xf numFmtId="0" fontId="11" fillId="0" borderId="20" xfId="0" applyFont="1" applyBorder="1" applyAlignment="1">
      <alignment horizontal="center"/>
    </xf>
    <xf numFmtId="0" fontId="0" fillId="0" borderId="20" xfId="0" applyBorder="1" applyAlignment="1">
      <alignment horizontal="center"/>
    </xf>
    <xf numFmtId="0" fontId="10" fillId="0" borderId="20" xfId="0" applyFont="1" applyBorder="1"/>
    <xf numFmtId="0" fontId="12" fillId="0" borderId="0" xfId="0" applyFont="1" applyAlignment="1">
      <alignment vertical="center"/>
    </xf>
    <xf numFmtId="0" fontId="0" fillId="0" borderId="0" xfId="0" applyProtection="1">
      <protection hidden="1"/>
    </xf>
    <xf numFmtId="0" fontId="0" fillId="0" borderId="3" xfId="0" applyBorder="1" applyProtection="1">
      <protection hidden="1"/>
    </xf>
    <xf numFmtId="0" fontId="11" fillId="0" borderId="20" xfId="0" quotePrefix="1" applyFont="1" applyBorder="1" applyAlignment="1">
      <alignment horizontal="center"/>
    </xf>
    <xf numFmtId="0" fontId="14" fillId="0" borderId="0" xfId="0" applyFont="1"/>
    <xf numFmtId="0" fontId="0" fillId="0" borderId="11" xfId="0" applyBorder="1"/>
    <xf numFmtId="0" fontId="0" fillId="0" borderId="0" xfId="0" applyAlignment="1">
      <alignment horizontal="left" vertical="center"/>
    </xf>
    <xf numFmtId="0" fontId="0" fillId="2" borderId="5" xfId="0" applyFill="1" applyBorder="1"/>
    <xf numFmtId="0" fontId="0" fillId="0" borderId="3" xfId="0" applyBorder="1" applyAlignment="1">
      <alignment vertical="top"/>
    </xf>
    <xf numFmtId="0" fontId="0" fillId="0" borderId="0" xfId="0" applyAlignment="1">
      <alignment vertical="top"/>
    </xf>
    <xf numFmtId="0" fontId="5" fillId="0" borderId="3" xfId="0" applyFont="1" applyBorder="1" applyAlignment="1">
      <alignment horizontal="center"/>
    </xf>
    <xf numFmtId="0" fontId="5" fillId="0" borderId="0" xfId="0" applyFont="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7" fillId="0" borderId="8" xfId="0" applyFont="1" applyBorder="1" applyAlignment="1" applyProtection="1">
      <alignment vertical="center" wrapText="1"/>
      <protection hidden="1"/>
    </xf>
    <xf numFmtId="0" fontId="7" fillId="0" borderId="0" xfId="0" applyFont="1" applyAlignment="1" applyProtection="1">
      <alignment vertical="center" wrapText="1"/>
      <protection hidden="1"/>
    </xf>
    <xf numFmtId="0" fontId="0" fillId="0" borderId="0" xfId="0" applyAlignment="1" applyProtection="1">
      <alignment horizontal="center"/>
      <protection hidden="1"/>
    </xf>
    <xf numFmtId="0" fontId="17" fillId="0" borderId="0" xfId="0" quotePrefix="1" applyFont="1"/>
    <xf numFmtId="0" fontId="0" fillId="0" borderId="4" xfId="0" applyBorder="1" applyAlignment="1">
      <alignment horizontal="left" vertical="center"/>
    </xf>
    <xf numFmtId="0" fontId="0" fillId="0" borderId="3" xfId="0" applyBorder="1" applyAlignment="1">
      <alignmen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pplyProtection="1">
      <alignment horizontal="left" vertical="center" wrapText="1"/>
      <protection hidden="1"/>
    </xf>
    <xf numFmtId="0" fontId="0" fillId="0" borderId="0" xfId="0" applyAlignment="1" applyProtection="1">
      <alignment horizontal="left" vertical="center" wrapText="1"/>
      <protection hidden="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19" fillId="0" borderId="0" xfId="0" applyFont="1"/>
    <xf numFmtId="0" fontId="5" fillId="0" borderId="0" xfId="0" applyFont="1"/>
    <xf numFmtId="0" fontId="11" fillId="9" borderId="20" xfId="0" applyFont="1" applyFill="1" applyBorder="1" applyAlignment="1">
      <alignment horizontal="center"/>
    </xf>
    <xf numFmtId="0" fontId="0" fillId="9" borderId="20" xfId="0" applyFill="1" applyBorder="1" applyAlignment="1">
      <alignment horizontal="center"/>
    </xf>
    <xf numFmtId="0" fontId="0" fillId="9" borderId="0" xfId="0" applyFill="1"/>
    <xf numFmtId="165" fontId="3" fillId="0" borderId="0" xfId="0" applyNumberFormat="1" applyFont="1" applyAlignment="1">
      <alignment horizontal="left" vertical="center"/>
    </xf>
    <xf numFmtId="166" fontId="3" fillId="0" borderId="0" xfId="0" applyNumberFormat="1" applyFont="1" applyAlignment="1">
      <alignment horizontal="left"/>
    </xf>
    <xf numFmtId="0" fontId="3" fillId="0" borderId="0" xfId="0" applyFont="1" applyAlignment="1">
      <alignment vertical="center"/>
    </xf>
    <xf numFmtId="0" fontId="0" fillId="8" borderId="0" xfId="0" applyFill="1" applyAlignment="1">
      <alignment horizontal="center"/>
    </xf>
    <xf numFmtId="0" fontId="15" fillId="0" borderId="0" xfId="0" applyFont="1" applyAlignment="1">
      <alignment horizontal="left" vertical="center" shrinkToFit="1"/>
    </xf>
    <xf numFmtId="0" fontId="0" fillId="0" borderId="20" xfId="0" applyBorder="1" applyAlignment="1">
      <alignment horizontal="center" vertical="center"/>
    </xf>
    <xf numFmtId="14" fontId="0" fillId="0" borderId="20" xfId="0" applyNumberFormat="1" applyBorder="1" applyAlignment="1">
      <alignment horizontal="center" vertical="center"/>
    </xf>
    <xf numFmtId="0" fontId="0" fillId="0" borderId="20" xfId="0" applyBorder="1" applyAlignment="1">
      <alignment horizontal="center" vertical="center" wrapText="1"/>
    </xf>
    <xf numFmtId="0" fontId="5" fillId="10" borderId="20" xfId="0" applyFont="1" applyFill="1" applyBorder="1" applyAlignment="1">
      <alignment horizontal="center" vertical="center"/>
    </xf>
    <xf numFmtId="0" fontId="5" fillId="0" borderId="2" xfId="0" applyFont="1"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14" fontId="0" fillId="0" borderId="0" xfId="0" applyNumberFormat="1"/>
    <xf numFmtId="0" fontId="0" fillId="0" borderId="29" xfId="0" applyBorder="1" applyAlignment="1">
      <alignment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14" fillId="0" borderId="8" xfId="0" applyFont="1" applyBorder="1"/>
    <xf numFmtId="0" fontId="0" fillId="0" borderId="3" xfId="0" applyBorder="1" applyAlignment="1">
      <alignment horizontal="lef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wrapText="1"/>
    </xf>
    <xf numFmtId="0" fontId="21" fillId="0" borderId="0" xfId="0" applyFont="1" applyAlignment="1">
      <alignment horizontal="center"/>
    </xf>
    <xf numFmtId="0" fontId="0" fillId="0" borderId="3" xfId="0" applyBorder="1" applyAlignment="1">
      <alignment vertical="top" wrapText="1"/>
    </xf>
    <xf numFmtId="0" fontId="0" fillId="0" borderId="0" xfId="0" applyAlignment="1">
      <alignment vertical="top" wrapText="1"/>
    </xf>
    <xf numFmtId="0" fontId="0" fillId="0" borderId="30" xfId="0" applyBorder="1"/>
    <xf numFmtId="0" fontId="0" fillId="0" borderId="31" xfId="0" applyBorder="1" applyAlignment="1">
      <alignment horizontal="center" vertical="center" wrapText="1"/>
    </xf>
    <xf numFmtId="0" fontId="0" fillId="0" borderId="3" xfId="0" applyBorder="1" applyAlignment="1" applyProtection="1">
      <alignment vertical="center" wrapText="1"/>
      <protection hidden="1"/>
    </xf>
    <xf numFmtId="0" fontId="0" fillId="0" borderId="0" xfId="0" applyAlignment="1" applyProtection="1">
      <alignment vertical="center" wrapText="1"/>
      <protection hidden="1"/>
    </xf>
    <xf numFmtId="0" fontId="0" fillId="0" borderId="1" xfId="0" applyBorder="1" applyAlignment="1">
      <alignment horizontal="left"/>
    </xf>
    <xf numFmtId="0" fontId="0" fillId="0" borderId="5" xfId="0" applyBorder="1" applyAlignment="1">
      <alignment horizontal="left"/>
    </xf>
    <xf numFmtId="0" fontId="5" fillId="6" borderId="0" xfId="0" applyFont="1" applyFill="1" applyAlignment="1">
      <alignment horizontal="center" vertical="center"/>
    </xf>
    <xf numFmtId="0" fontId="3" fillId="0" borderId="13" xfId="0" applyFont="1" applyBorder="1" applyAlignment="1" applyProtection="1">
      <alignment horizontal="center"/>
      <protection locked="0"/>
    </xf>
    <xf numFmtId="0" fontId="3" fillId="0" borderId="14" xfId="0" applyFont="1" applyBorder="1" applyAlignment="1" applyProtection="1">
      <alignment horizontal="center"/>
      <protection locked="0"/>
    </xf>
    <xf numFmtId="0" fontId="3" fillId="0" borderId="15" xfId="0" applyFont="1" applyBorder="1" applyAlignment="1" applyProtection="1">
      <alignment horizontal="center"/>
      <protection locked="0"/>
    </xf>
    <xf numFmtId="0" fontId="3" fillId="0" borderId="16" xfId="0" applyFont="1" applyBorder="1" applyAlignment="1" applyProtection="1">
      <alignment horizontal="center" vertical="center"/>
      <protection locked="0"/>
    </xf>
    <xf numFmtId="0" fontId="3" fillId="0" borderId="17" xfId="0" applyFont="1" applyBorder="1" applyAlignment="1" applyProtection="1">
      <alignment horizontal="center" vertical="center"/>
      <protection locked="0"/>
    </xf>
    <xf numFmtId="0" fontId="0" fillId="0" borderId="0" xfId="0" applyAlignment="1">
      <alignment horizontal="left"/>
    </xf>
    <xf numFmtId="0" fontId="0" fillId="0" borderId="26" xfId="0" applyBorder="1" applyAlignment="1">
      <alignment horizontal="left"/>
    </xf>
    <xf numFmtId="0" fontId="0" fillId="0" borderId="3" xfId="0" applyBorder="1" applyAlignment="1" applyProtection="1">
      <alignment horizontal="left"/>
      <protection hidden="1"/>
    </xf>
    <xf numFmtId="0" fontId="0" fillId="0" borderId="0" xfId="0" applyAlignment="1" applyProtection="1">
      <alignment horizontal="left"/>
      <protection hidden="1"/>
    </xf>
    <xf numFmtId="0" fontId="13" fillId="0" borderId="13" xfId="0" applyFont="1" applyBorder="1" applyAlignment="1" applyProtection="1">
      <alignment horizontal="center"/>
      <protection locked="0"/>
    </xf>
    <xf numFmtId="0" fontId="13" fillId="0" borderId="14" xfId="0" applyFont="1" applyBorder="1" applyAlignment="1" applyProtection="1">
      <alignment horizontal="center"/>
      <protection locked="0"/>
    </xf>
    <xf numFmtId="0" fontId="13" fillId="0" borderId="15" xfId="0" applyFont="1" applyBorder="1" applyAlignment="1" applyProtection="1">
      <alignment horizontal="center"/>
      <protection locked="0"/>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6" xfId="0" applyFont="1" applyFill="1" applyBorder="1" applyAlignment="1">
      <alignment horizontal="center"/>
    </xf>
    <xf numFmtId="0" fontId="3" fillId="0" borderId="13" xfId="0" applyFont="1" applyBorder="1" applyAlignment="1" applyProtection="1">
      <alignment horizontal="left" vertical="center"/>
      <protection locked="0"/>
    </xf>
    <xf numFmtId="0" fontId="3" fillId="0" borderId="14" xfId="0" applyFont="1" applyBorder="1" applyAlignment="1" applyProtection="1">
      <alignment horizontal="left" vertical="center"/>
      <protection locked="0"/>
    </xf>
    <xf numFmtId="0" fontId="3" fillId="0" borderId="15" xfId="0" applyFont="1" applyBorder="1" applyAlignment="1" applyProtection="1">
      <alignment horizontal="left" vertical="center"/>
      <protection locked="0"/>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3" xfId="0" applyBorder="1" applyAlignment="1">
      <alignment horizontal="left" wrapText="1"/>
    </xf>
    <xf numFmtId="0" fontId="0" fillId="0" borderId="0" xfId="0" applyAlignment="1">
      <alignment horizontal="left" wrapText="1"/>
    </xf>
    <xf numFmtId="0" fontId="3" fillId="0" borderId="18" xfId="0" applyFont="1" applyBorder="1" applyAlignment="1" applyProtection="1">
      <alignment horizontal="center" vertical="center"/>
      <protection locked="0"/>
    </xf>
    <xf numFmtId="0" fontId="0" fillId="5" borderId="0" xfId="0" applyFill="1" applyAlignment="1">
      <alignment horizontal="left"/>
    </xf>
    <xf numFmtId="0" fontId="4" fillId="2" borderId="4" xfId="0" applyFont="1" applyFill="1" applyBorder="1" applyAlignment="1">
      <alignment horizontal="center"/>
    </xf>
    <xf numFmtId="0" fontId="4" fillId="2" borderId="1" xfId="0" applyFont="1" applyFill="1" applyBorder="1" applyAlignment="1">
      <alignment horizontal="center"/>
    </xf>
    <xf numFmtId="0" fontId="3" fillId="3" borderId="16" xfId="0" applyFont="1" applyFill="1" applyBorder="1" applyAlignment="1" applyProtection="1">
      <alignment horizontal="center"/>
      <protection hidden="1"/>
    </xf>
    <xf numFmtId="0" fontId="3" fillId="3" borderId="18" xfId="0" applyFont="1" applyFill="1" applyBorder="1" applyAlignment="1" applyProtection="1">
      <alignment horizontal="center"/>
      <protection hidden="1"/>
    </xf>
    <xf numFmtId="0" fontId="3" fillId="0" borderId="13" xfId="0" applyFont="1" applyBorder="1" applyAlignment="1" applyProtection="1">
      <alignment horizontal="center" shrinkToFit="1"/>
      <protection locked="0"/>
    </xf>
    <xf numFmtId="0" fontId="3" fillId="0" borderId="14" xfId="0" applyFont="1" applyBorder="1" applyAlignment="1" applyProtection="1">
      <alignment horizontal="center" shrinkToFit="1"/>
      <protection locked="0"/>
    </xf>
    <xf numFmtId="0" fontId="3" fillId="0" borderId="15" xfId="0" applyFont="1" applyBorder="1" applyAlignment="1" applyProtection="1">
      <alignment horizontal="center" shrinkToFit="1"/>
      <protection locked="0"/>
    </xf>
    <xf numFmtId="0" fontId="0" fillId="0" borderId="13"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0" xfId="0" applyAlignment="1">
      <alignment horizontal="center"/>
    </xf>
    <xf numFmtId="0" fontId="0" fillId="0" borderId="12" xfId="0" applyBorder="1" applyAlignment="1">
      <alignment horizontal="center"/>
    </xf>
    <xf numFmtId="0" fontId="0" fillId="0" borderId="14" xfId="0" applyBorder="1" applyAlignment="1" applyProtection="1">
      <alignment horizontal="center"/>
      <protection locked="0"/>
    </xf>
    <xf numFmtId="0" fontId="9" fillId="0" borderId="32" xfId="0" applyFont="1" applyBorder="1" applyAlignment="1">
      <alignment horizontal="center" wrapText="1"/>
    </xf>
    <xf numFmtId="0" fontId="9" fillId="0" borderId="33" xfId="0" applyFont="1" applyBorder="1" applyAlignment="1">
      <alignment horizontal="center" wrapText="1"/>
    </xf>
    <xf numFmtId="0" fontId="9" fillId="0" borderId="34" xfId="0" applyFont="1" applyBorder="1" applyAlignment="1">
      <alignment horizontal="center" wrapText="1"/>
    </xf>
    <xf numFmtId="0" fontId="9" fillId="0" borderId="35" xfId="0" applyFont="1" applyBorder="1" applyAlignment="1">
      <alignment horizontal="center" wrapText="1"/>
    </xf>
    <xf numFmtId="0" fontId="9" fillId="0" borderId="0" xfId="0" applyFont="1" applyAlignment="1">
      <alignment horizontal="center" wrapText="1"/>
    </xf>
    <xf numFmtId="0" fontId="9" fillId="0" borderId="36" xfId="0" applyFont="1" applyBorder="1" applyAlignment="1">
      <alignment horizontal="center" wrapText="1"/>
    </xf>
    <xf numFmtId="0" fontId="9" fillId="0" borderId="37" xfId="0" applyFont="1" applyBorder="1" applyAlignment="1">
      <alignment horizontal="center" wrapText="1"/>
    </xf>
    <xf numFmtId="0" fontId="9" fillId="0" borderId="38" xfId="0" applyFont="1" applyBorder="1" applyAlignment="1">
      <alignment horizontal="center" wrapText="1"/>
    </xf>
    <xf numFmtId="0" fontId="9" fillId="0" borderId="39" xfId="0" applyFont="1" applyBorder="1" applyAlignment="1">
      <alignment horizontal="center" wrapText="1"/>
    </xf>
    <xf numFmtId="0" fontId="0" fillId="0" borderId="0" xfId="0" applyAlignment="1">
      <alignment horizontal="right"/>
    </xf>
    <xf numFmtId="0" fontId="3" fillId="0" borderId="13" xfId="0" applyFont="1" applyBorder="1" applyAlignment="1" applyProtection="1">
      <alignment horizontal="left"/>
      <protection locked="0"/>
    </xf>
    <xf numFmtId="0" fontId="3" fillId="0" borderId="14" xfId="0" applyFont="1" applyBorder="1" applyAlignment="1" applyProtection="1">
      <alignment horizontal="left"/>
      <protection locked="0"/>
    </xf>
    <xf numFmtId="0" fontId="3" fillId="0" borderId="15" xfId="0" applyFont="1" applyBorder="1" applyAlignment="1" applyProtection="1">
      <alignment horizontal="left"/>
      <protection locked="0"/>
    </xf>
    <xf numFmtId="165" fontId="3" fillId="0" borderId="13" xfId="0" applyNumberFormat="1" applyFont="1" applyBorder="1" applyAlignment="1" applyProtection="1">
      <alignment horizontal="left" vertical="center"/>
      <protection locked="0"/>
    </xf>
    <xf numFmtId="165" fontId="3" fillId="0" borderId="14" xfId="0" applyNumberFormat="1" applyFont="1" applyBorder="1" applyAlignment="1" applyProtection="1">
      <alignment horizontal="left" vertical="center"/>
      <protection locked="0"/>
    </xf>
    <xf numFmtId="165" fontId="3" fillId="0" borderId="15" xfId="0" applyNumberFormat="1" applyFont="1" applyBorder="1" applyAlignment="1" applyProtection="1">
      <alignment horizontal="left" vertical="center"/>
      <protection locked="0"/>
    </xf>
    <xf numFmtId="0" fontId="0" fillId="0" borderId="3" xfId="0" applyBorder="1" applyAlignment="1">
      <alignment horizontal="right" vertical="center" wrapText="1"/>
    </xf>
    <xf numFmtId="0" fontId="0" fillId="0" borderId="0" xfId="0" applyAlignment="1">
      <alignment horizontal="right" vertical="center" wrapText="1"/>
    </xf>
    <xf numFmtId="0" fontId="0" fillId="0" borderId="2" xfId="0" applyBorder="1" applyAlignment="1">
      <alignment horizontal="right" vertical="center" wrapText="1"/>
    </xf>
    <xf numFmtId="0" fontId="3" fillId="0" borderId="16" xfId="0" applyFont="1" applyBorder="1" applyAlignment="1" applyProtection="1">
      <alignment horizontal="center"/>
      <protection locked="0"/>
    </xf>
    <xf numFmtId="0" fontId="3" fillId="0" borderId="17" xfId="0" applyFont="1" applyBorder="1" applyAlignment="1" applyProtection="1">
      <alignment horizontal="center"/>
      <protection locked="0"/>
    </xf>
    <xf numFmtId="0" fontId="3" fillId="0" borderId="13" xfId="0" applyFont="1" applyBorder="1" applyProtection="1">
      <protection locked="0"/>
    </xf>
    <xf numFmtId="0" fontId="3" fillId="0" borderId="14" xfId="0" applyFont="1" applyBorder="1" applyProtection="1">
      <protection locked="0"/>
    </xf>
    <xf numFmtId="0" fontId="3" fillId="0" borderId="15" xfId="0" applyFont="1" applyBorder="1" applyProtection="1">
      <protection locked="0"/>
    </xf>
    <xf numFmtId="166" fontId="3" fillId="0" borderId="13" xfId="0" applyNumberFormat="1" applyFont="1" applyBorder="1" applyAlignment="1" applyProtection="1">
      <alignment horizontal="left"/>
      <protection locked="0"/>
    </xf>
    <xf numFmtId="166" fontId="3" fillId="0" borderId="14" xfId="0" applyNumberFormat="1" applyFont="1" applyBorder="1" applyAlignment="1" applyProtection="1">
      <alignment horizontal="left"/>
      <protection locked="0"/>
    </xf>
    <xf numFmtId="166" fontId="3" fillId="0" borderId="15" xfId="0" applyNumberFormat="1" applyFont="1" applyBorder="1" applyAlignment="1" applyProtection="1">
      <alignment horizontal="left"/>
      <protection locked="0"/>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pplyProtection="1">
      <alignment horizontal="left" vertical="center" wrapText="1"/>
      <protection hidden="1"/>
    </xf>
    <xf numFmtId="167" fontId="3" fillId="0" borderId="13" xfId="0" applyNumberFormat="1" applyFont="1" applyBorder="1" applyAlignment="1" applyProtection="1">
      <alignment horizontal="center" vertical="center"/>
      <protection locked="0"/>
    </xf>
    <xf numFmtId="167" fontId="3" fillId="0" borderId="14" xfId="0" applyNumberFormat="1" applyFont="1" applyBorder="1" applyAlignment="1" applyProtection="1">
      <alignment horizontal="center" vertical="center"/>
      <protection locked="0"/>
    </xf>
    <xf numFmtId="167" fontId="3" fillId="0" borderId="15" xfId="0" applyNumberFormat="1" applyFont="1" applyBorder="1" applyAlignment="1" applyProtection="1">
      <alignment horizontal="center" vertical="center"/>
      <protection locked="0"/>
    </xf>
    <xf numFmtId="164" fontId="3" fillId="0" borderId="13" xfId="0" applyNumberFormat="1" applyFont="1" applyBorder="1" applyAlignment="1" applyProtection="1">
      <alignment horizontal="left"/>
      <protection locked="0"/>
    </xf>
    <xf numFmtId="164" fontId="3" fillId="0" borderId="14" xfId="0" applyNumberFormat="1" applyFont="1" applyBorder="1" applyAlignment="1" applyProtection="1">
      <alignment horizontal="left"/>
      <protection locked="0"/>
    </xf>
    <xf numFmtId="164" fontId="3" fillId="0" borderId="15" xfId="0" applyNumberFormat="1" applyFont="1" applyBorder="1" applyAlignment="1" applyProtection="1">
      <alignment horizontal="left"/>
      <protection locked="0"/>
    </xf>
    <xf numFmtId="0" fontId="0" fillId="0" borderId="12" xfId="0" applyBorder="1" applyAlignment="1">
      <alignment horizontal="right"/>
    </xf>
    <xf numFmtId="0" fontId="3" fillId="0" borderId="13" xfId="0" applyFont="1" applyBorder="1" applyAlignment="1" applyProtection="1">
      <alignment horizontal="center" vertical="center"/>
      <protection locked="0"/>
    </xf>
    <xf numFmtId="0" fontId="3" fillId="0" borderId="14" xfId="0" applyFont="1" applyBorder="1" applyAlignment="1" applyProtection="1">
      <alignment horizontal="center" vertical="center"/>
      <protection locked="0"/>
    </xf>
    <xf numFmtId="0" fontId="3" fillId="0" borderId="15" xfId="0" applyFont="1" applyBorder="1" applyAlignment="1" applyProtection="1">
      <alignment horizontal="center" vertical="center"/>
      <protection locked="0"/>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15" fillId="0" borderId="13" xfId="0" applyFont="1" applyBorder="1" applyAlignment="1" applyProtection="1">
      <alignment horizontal="left" vertical="center" shrinkToFit="1"/>
      <protection locked="0"/>
    </xf>
    <xf numFmtId="0" fontId="15" fillId="0" borderId="14" xfId="0" applyFont="1" applyBorder="1" applyAlignment="1" applyProtection="1">
      <alignment horizontal="left" vertical="center" shrinkToFit="1"/>
      <protection locked="0"/>
    </xf>
    <xf numFmtId="0" fontId="15" fillId="0" borderId="13" xfId="0" applyFont="1" applyBorder="1" applyAlignment="1" applyProtection="1">
      <alignment horizontal="left"/>
      <protection locked="0"/>
    </xf>
    <xf numFmtId="0" fontId="15" fillId="0" borderId="14" xfId="0" applyFont="1" applyBorder="1" applyAlignment="1" applyProtection="1">
      <alignment horizontal="left"/>
      <protection locked="0"/>
    </xf>
    <xf numFmtId="0" fontId="15" fillId="0" borderId="15" xfId="0" applyFont="1" applyBorder="1" applyAlignment="1" applyProtection="1">
      <alignment horizontal="left"/>
      <protection locked="0"/>
    </xf>
    <xf numFmtId="0" fontId="3" fillId="0" borderId="23" xfId="0" applyFont="1" applyBorder="1" applyAlignment="1" applyProtection="1">
      <alignment horizontal="left" vertical="center"/>
      <protection locked="0"/>
    </xf>
    <xf numFmtId="0" fontId="3" fillId="0" borderId="24" xfId="0" applyFont="1" applyBorder="1" applyAlignment="1" applyProtection="1">
      <alignment horizontal="left" vertical="center"/>
      <protection locked="0"/>
    </xf>
    <xf numFmtId="0" fontId="3" fillId="0" borderId="25" xfId="0" applyFont="1" applyBorder="1" applyAlignment="1" applyProtection="1">
      <alignment horizontal="left" vertical="center"/>
      <protection locked="0"/>
    </xf>
    <xf numFmtId="0" fontId="3" fillId="0" borderId="14" xfId="0" applyFont="1" applyBorder="1" applyAlignment="1">
      <alignment horizontal="left" vertical="center"/>
    </xf>
    <xf numFmtId="0" fontId="3" fillId="0" borderId="15" xfId="0" applyFont="1" applyBorder="1" applyAlignment="1">
      <alignment horizontal="left" vertical="center"/>
    </xf>
    <xf numFmtId="0" fontId="5" fillId="0" borderId="4" xfId="0" applyFont="1" applyBorder="1" applyAlignment="1">
      <alignment horizontal="center" wrapText="1"/>
    </xf>
    <xf numFmtId="0" fontId="5" fillId="0" borderId="1" xfId="0" applyFont="1" applyBorder="1" applyAlignment="1">
      <alignment horizontal="center" wrapText="1"/>
    </xf>
    <xf numFmtId="0" fontId="0" fillId="0" borderId="3" xfId="0" applyBorder="1" applyAlignment="1">
      <alignment horizontal="left" vertical="center"/>
    </xf>
    <xf numFmtId="0" fontId="0" fillId="0" borderId="0" xfId="0" applyAlignment="1">
      <alignment horizontal="left" vertical="center"/>
    </xf>
    <xf numFmtId="0" fontId="15" fillId="0" borderId="15" xfId="0" applyFont="1" applyBorder="1" applyAlignment="1" applyProtection="1">
      <alignment horizontal="left" vertical="center" shrinkToFit="1"/>
      <protection locked="0"/>
    </xf>
    <xf numFmtId="0" fontId="9" fillId="0" borderId="0" xfId="0" applyFont="1" applyAlignment="1">
      <alignment horizontal="center" vertical="center"/>
    </xf>
    <xf numFmtId="0" fontId="4" fillId="2" borderId="20" xfId="0" applyFont="1" applyFill="1" applyBorder="1" applyAlignment="1">
      <alignment horizontal="center"/>
    </xf>
    <xf numFmtId="0" fontId="0" fillId="0" borderId="1" xfId="0" applyBorder="1" applyAlignment="1">
      <alignment horizontal="center" vertical="top"/>
    </xf>
    <xf numFmtId="0" fontId="0" fillId="0" borderId="27" xfId="0" applyBorder="1" applyAlignment="1">
      <alignment horizontal="left" vertical="top"/>
    </xf>
    <xf numFmtId="0" fontId="0" fillId="0" borderId="3"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xf>
    <xf numFmtId="0" fontId="0" fillId="0" borderId="6" xfId="0" applyBorder="1" applyAlignment="1">
      <alignment horizontal="left"/>
    </xf>
    <xf numFmtId="0" fontId="5" fillId="0" borderId="3" xfId="0" applyFont="1" applyBorder="1" applyAlignment="1">
      <alignment horizontal="left" vertical="center" wrapText="1"/>
    </xf>
    <xf numFmtId="0" fontId="5" fillId="0" borderId="0" xfId="0" applyFont="1" applyAlignment="1">
      <alignment horizontal="left" vertical="center" wrapText="1"/>
    </xf>
    <xf numFmtId="0" fontId="0" fillId="0" borderId="21" xfId="0" applyBorder="1" applyAlignment="1" applyProtection="1">
      <alignment horizontal="center"/>
      <protection locked="0"/>
    </xf>
    <xf numFmtId="0" fontId="0" fillId="0" borderId="22" xfId="0" applyBorder="1" applyAlignment="1" applyProtection="1">
      <alignment horizontal="center"/>
      <protection locked="0"/>
    </xf>
    <xf numFmtId="0" fontId="0" fillId="0" borderId="28" xfId="0" applyBorder="1" applyAlignment="1" applyProtection="1">
      <alignment horizontal="center"/>
      <protection locked="0"/>
    </xf>
    <xf numFmtId="0" fontId="7" fillId="0" borderId="8" xfId="0" applyFont="1" applyBorder="1" applyAlignment="1" applyProtection="1">
      <alignment horizontal="center" vertical="center" wrapText="1"/>
      <protection hidden="1"/>
    </xf>
    <xf numFmtId="0" fontId="7" fillId="0" borderId="0" xfId="0" applyFont="1" applyAlignment="1" applyProtection="1">
      <alignment horizontal="center" vertical="center" wrapText="1"/>
      <protection hidden="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8" fillId="0" borderId="1" xfId="0" applyFont="1" applyBorder="1" applyAlignment="1">
      <alignment horizontal="center" vertical="center"/>
    </xf>
    <xf numFmtId="0" fontId="3" fillId="0" borderId="16" xfId="0" applyFont="1" applyBorder="1" applyAlignment="1" applyProtection="1">
      <alignment horizontal="left"/>
      <protection locked="0"/>
    </xf>
    <xf numFmtId="0" fontId="3" fillId="0" borderId="18" xfId="0" applyFont="1" applyBorder="1" applyAlignment="1" applyProtection="1">
      <alignment horizontal="left"/>
      <protection locked="0"/>
    </xf>
    <xf numFmtId="0" fontId="3" fillId="0" borderId="17" xfId="0" applyFont="1" applyBorder="1" applyAlignment="1" applyProtection="1">
      <alignment horizontal="left"/>
      <protection locked="0"/>
    </xf>
    <xf numFmtId="0" fontId="3" fillId="4" borderId="13" xfId="0" applyFont="1" applyFill="1" applyBorder="1" applyAlignment="1" applyProtection="1">
      <alignment horizontal="center" vertical="center"/>
      <protection locked="0"/>
    </xf>
    <xf numFmtId="0" fontId="3" fillId="4" borderId="14" xfId="0" applyFont="1" applyFill="1" applyBorder="1" applyAlignment="1" applyProtection="1">
      <alignment horizontal="center" vertical="center"/>
      <protection locked="0"/>
    </xf>
    <xf numFmtId="0" fontId="3" fillId="4" borderId="15" xfId="0" applyFont="1" applyFill="1" applyBorder="1" applyAlignment="1" applyProtection="1">
      <alignment horizontal="center" vertical="center"/>
      <protection locked="0"/>
    </xf>
    <xf numFmtId="0" fontId="3" fillId="4" borderId="16" xfId="0" applyFont="1" applyFill="1" applyBorder="1" applyAlignment="1" applyProtection="1">
      <alignment horizontal="center"/>
      <protection locked="0"/>
    </xf>
    <xf numFmtId="0" fontId="3" fillId="4" borderId="17" xfId="0" applyFont="1" applyFill="1" applyBorder="1" applyAlignment="1" applyProtection="1">
      <alignment horizontal="center"/>
      <protection locked="0"/>
    </xf>
    <xf numFmtId="0" fontId="0" fillId="0" borderId="19" xfId="0" applyBorder="1" applyAlignment="1">
      <alignment horizontal="right"/>
    </xf>
    <xf numFmtId="0" fontId="7" fillId="0" borderId="0" xfId="0" applyFont="1" applyAlignment="1" applyProtection="1">
      <alignment horizontal="center" vertical="center" shrinkToFit="1"/>
      <protection hidden="1"/>
    </xf>
    <xf numFmtId="0" fontId="0" fillId="0" borderId="3" xfId="0" applyBorder="1" applyAlignment="1" applyProtection="1">
      <alignment horizontal="left" vertical="center" wrapText="1"/>
      <protection hidden="1"/>
    </xf>
    <xf numFmtId="0" fontId="8" fillId="0" borderId="4" xfId="0" applyFont="1" applyBorder="1" applyAlignment="1">
      <alignment horizontal="center" vertical="center"/>
    </xf>
    <xf numFmtId="0" fontId="0" fillId="0" borderId="10"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10"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0" fontId="0" fillId="0" borderId="6" xfId="0" applyBorder="1" applyAlignment="1" applyProtection="1">
      <alignment horizontal="center" vertical="center" wrapText="1"/>
      <protection locked="0"/>
    </xf>
    <xf numFmtId="0" fontId="0" fillId="0" borderId="0" xfId="0" applyAlignment="1">
      <alignment wrapText="1"/>
    </xf>
    <xf numFmtId="0" fontId="0" fillId="0" borderId="11" xfId="0" applyBorder="1" applyAlignment="1">
      <alignment horizontal="center"/>
    </xf>
    <xf numFmtId="0" fontId="0" fillId="0" borderId="10" xfId="0" applyBorder="1" applyAlignment="1">
      <alignment horizontal="center"/>
    </xf>
    <xf numFmtId="0" fontId="0" fillId="7" borderId="11" xfId="0" applyFill="1" applyBorder="1" applyAlignment="1">
      <alignment horizontal="center"/>
    </xf>
    <xf numFmtId="0" fontId="0" fillId="7" borderId="10" xfId="0" applyFill="1" applyBorder="1" applyAlignment="1">
      <alignment horizontal="center"/>
    </xf>
    <xf numFmtId="0" fontId="7" fillId="0" borderId="20" xfId="0" applyFont="1" applyBorder="1" applyAlignment="1">
      <alignment horizontal="center"/>
    </xf>
    <xf numFmtId="0" fontId="7" fillId="0" borderId="20" xfId="0" applyFont="1" applyBorder="1" applyAlignment="1">
      <alignment horizontal="center" vertical="center"/>
    </xf>
    <xf numFmtId="0" fontId="10" fillId="0" borderId="20" xfId="0" applyFont="1" applyBorder="1" applyAlignment="1">
      <alignment horizontal="center"/>
    </xf>
  </cellXfs>
  <cellStyles count="1">
    <cellStyle name="Normal" xfId="0" builtinId="0"/>
  </cellStyles>
  <dxfs count="49">
    <dxf>
      <font>
        <color theme="0"/>
      </font>
      <border>
        <left/>
        <right/>
        <top/>
        <bottom/>
      </border>
    </dxf>
    <dxf>
      <font>
        <b/>
        <i val="0"/>
        <color theme="0"/>
      </font>
      <fill>
        <patternFill>
          <bgColor rgb="FFFF0000"/>
        </patternFill>
      </fill>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b/>
        <i val="0"/>
        <color theme="0"/>
      </font>
      <fill>
        <patternFill>
          <bgColor rgb="FFFF0000"/>
        </patternFill>
      </fill>
    </dxf>
    <dxf>
      <font>
        <color theme="0"/>
      </font>
      <fill>
        <patternFill>
          <bgColor theme="0"/>
        </patternFill>
      </fill>
      <border>
        <left/>
        <right/>
        <top/>
        <bottom/>
        <vertical/>
        <horizontal/>
      </border>
    </dxf>
    <dxf>
      <font>
        <b/>
        <i val="0"/>
        <color theme="0"/>
      </font>
      <fill>
        <patternFill>
          <bgColor rgb="FFFF0000"/>
        </patternFill>
      </fill>
    </dxf>
    <dxf>
      <font>
        <b/>
        <i/>
        <color theme="0"/>
      </font>
      <fill>
        <patternFill>
          <bgColor rgb="FFFF0000"/>
        </patternFill>
      </fill>
    </dxf>
    <dxf>
      <font>
        <b/>
        <i/>
        <color theme="0"/>
      </font>
      <fill>
        <patternFill>
          <bgColor rgb="FFFF0000"/>
        </patternFill>
      </fill>
    </dxf>
    <dxf>
      <font>
        <b/>
        <i/>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b/>
        <i val="0"/>
        <color theme="0"/>
      </font>
      <fill>
        <patternFill>
          <bgColor rgb="FFFF0000"/>
        </patternFill>
      </fill>
    </dxf>
    <dxf>
      <border>
        <left/>
        <right/>
        <top/>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color theme="0"/>
      </font>
      <fill>
        <patternFill>
          <bgColor theme="0"/>
        </patternFill>
      </fill>
      <border>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style="thin">
          <color theme="1" tint="0.34998626667073579"/>
        </right>
        <top/>
        <bottom/>
        <vertical/>
        <horizontal/>
      </border>
    </dxf>
    <dxf>
      <font>
        <color theme="0"/>
      </font>
      <fill>
        <patternFill>
          <bgColor theme="0"/>
        </patternFill>
      </fill>
      <border>
        <left/>
        <right/>
        <top/>
        <bottom/>
        <vertical/>
        <horizontal/>
      </border>
    </dxf>
    <dxf>
      <font>
        <color theme="0"/>
      </font>
      <fill>
        <patternFill>
          <bgColor theme="0"/>
        </patternFill>
      </fill>
    </dxf>
    <dxf>
      <font>
        <color theme="0"/>
      </font>
      <fill>
        <patternFill>
          <fgColor theme="0"/>
        </patternFill>
      </fill>
      <border>
        <left/>
        <right/>
        <top/>
        <bottom/>
        <vertical/>
        <horizontal/>
      </border>
    </dxf>
    <dxf>
      <font>
        <color rgb="FF9C0006"/>
      </font>
      <fill>
        <patternFill>
          <bgColor rgb="FFFFC7CE"/>
        </patternFill>
      </fill>
    </dxf>
    <dxf>
      <font>
        <color rgb="FF9C0006"/>
      </font>
      <fill>
        <patternFill>
          <bgColor rgb="FFFFC7CE"/>
        </patternFill>
      </fill>
    </dxf>
    <dxf>
      <font>
        <color theme="0" tint="-4.9989318521683403E-2"/>
      </font>
      <fill>
        <patternFill>
          <bgColor theme="0" tint="-4.9989318521683403E-2"/>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border>
        <right style="thin">
          <color auto="1"/>
        </right>
        <vertical/>
        <horizontal/>
      </border>
    </dxf>
    <dxf>
      <border>
        <right style="thin">
          <color auto="1"/>
        </right>
        <vertical/>
        <horizontal/>
      </border>
    </dxf>
  </dxfs>
  <tableStyles count="0" defaultTableStyle="TableStyleMedium2" defaultPivotStyle="PivotStyleMedium9"/>
  <colors>
    <mruColors>
      <color rgb="FFFBC8AB"/>
      <color rgb="FFF9B691"/>
      <color rgb="FFF69660"/>
      <color rgb="FFF476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1</xdr:row>
      <xdr:rowOff>57150</xdr:rowOff>
    </xdr:from>
    <xdr:to>
      <xdr:col>9</xdr:col>
      <xdr:colOff>15240</xdr:colOff>
      <xdr:row>4</xdr:row>
      <xdr:rowOff>129540</xdr:rowOff>
    </xdr:to>
    <xdr:pic>
      <xdr:nvPicPr>
        <xdr:cNvPr id="1026" name="Imagem 2">
          <a:extLst>
            <a:ext uri="{FF2B5EF4-FFF2-40B4-BE49-F238E27FC236}">
              <a16:creationId xmlns:a16="http://schemas.microsoft.com/office/drawing/2014/main" id="{3D3696E7-A0BC-74E9-54AC-CF5EEE06A1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247650"/>
          <a:ext cx="1343025"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35</xdr:col>
      <xdr:colOff>160020</xdr:colOff>
      <xdr:row>207</xdr:row>
      <xdr:rowOff>15240</xdr:rowOff>
    </xdr:from>
    <xdr:to>
      <xdr:col>37</xdr:col>
      <xdr:colOff>13970</xdr:colOff>
      <xdr:row>210</xdr:row>
      <xdr:rowOff>0</xdr:rowOff>
    </xdr:to>
    <xdr:pic>
      <xdr:nvPicPr>
        <xdr:cNvPr id="2" name="Imagem 1">
          <a:extLst>
            <a:ext uri="{FF2B5EF4-FFF2-40B4-BE49-F238E27FC236}">
              <a16:creationId xmlns:a16="http://schemas.microsoft.com/office/drawing/2014/main" id="{8DE35573-460A-F142-4960-D3C5B88460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44640" y="25839420"/>
          <a:ext cx="219710" cy="48006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emigbr.sharepoint.com/personal/ruan_dutra_cemig_com_br/Documents/Documentos/Regulamenta&#231;&#227;o%20Lei%2014300/Formulario/Proposta%20Desbloqueado/Formulario-MiniGD_rev_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emigbr.sharepoint.com/personal/ruan_dutra_cemig_com_br/Documents/Documentos/Regulamenta&#231;&#227;o%20Lei%2014300/Formulario/Proposta%20Desbloqueado/Formulario-MicroGD_Rev_j%20DESBLO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ulário"/>
      <sheetName val="Seg Barragem"/>
      <sheetName val="Resp Seg Barragem"/>
      <sheetName val="Notas Explicativas"/>
      <sheetName val="Apoio"/>
      <sheetName val="Dados"/>
      <sheetName val="Conferencia"/>
      <sheetName val="ControleREV"/>
    </sheetNames>
    <sheetDataSet>
      <sheetData sheetId="0" refreshError="1">
        <row r="16">
          <cell r="E16" t="str">
            <v>A</v>
          </cell>
        </row>
        <row r="50">
          <cell r="K50">
            <v>0</v>
          </cell>
        </row>
        <row r="57">
          <cell r="L57" t="str">
            <v>Solar</v>
          </cell>
          <cell r="AT57" t="str">
            <v/>
          </cell>
        </row>
      </sheetData>
      <sheetData sheetId="1" refreshError="1"/>
      <sheetData sheetId="2" refreshError="1"/>
      <sheetData sheetId="3" refreshError="1"/>
      <sheetData sheetId="4" refreshError="1">
        <row r="12">
          <cell r="B12">
            <v>40</v>
          </cell>
        </row>
        <row r="13">
          <cell r="B13">
            <v>50</v>
          </cell>
        </row>
        <row r="14">
          <cell r="B14">
            <v>63</v>
          </cell>
        </row>
        <row r="15">
          <cell r="B15">
            <v>70</v>
          </cell>
        </row>
        <row r="16">
          <cell r="B16">
            <v>40</v>
          </cell>
        </row>
        <row r="17">
          <cell r="B17">
            <v>50</v>
          </cell>
        </row>
        <row r="18">
          <cell r="B18">
            <v>60</v>
          </cell>
        </row>
        <row r="19">
          <cell r="B19">
            <v>63</v>
          </cell>
        </row>
        <row r="20">
          <cell r="B20">
            <v>70</v>
          </cell>
        </row>
        <row r="21">
          <cell r="B21">
            <v>80</v>
          </cell>
        </row>
        <row r="22">
          <cell r="B22">
            <v>90</v>
          </cell>
        </row>
        <row r="23">
          <cell r="B23">
            <v>100</v>
          </cell>
        </row>
        <row r="24">
          <cell r="B24">
            <v>120</v>
          </cell>
        </row>
        <row r="25">
          <cell r="B25">
            <v>125</v>
          </cell>
        </row>
        <row r="26">
          <cell r="B26">
            <v>150</v>
          </cell>
        </row>
        <row r="27">
          <cell r="B27">
            <v>200</v>
          </cell>
        </row>
        <row r="28">
          <cell r="B28">
            <v>40</v>
          </cell>
        </row>
        <row r="29">
          <cell r="B29">
            <v>60</v>
          </cell>
        </row>
        <row r="30">
          <cell r="B30">
            <v>63</v>
          </cell>
        </row>
        <row r="31">
          <cell r="B31">
            <v>70</v>
          </cell>
        </row>
        <row r="32">
          <cell r="B32">
            <v>80</v>
          </cell>
        </row>
        <row r="33">
          <cell r="B33">
            <v>100</v>
          </cell>
        </row>
        <row r="34">
          <cell r="B34">
            <v>120</v>
          </cell>
        </row>
        <row r="35">
          <cell r="B35">
            <v>125</v>
          </cell>
        </row>
        <row r="36">
          <cell r="B36">
            <v>150</v>
          </cell>
        </row>
        <row r="37">
          <cell r="B37">
            <v>175</v>
          </cell>
        </row>
        <row r="38">
          <cell r="B38">
            <v>200</v>
          </cell>
        </row>
        <row r="39">
          <cell r="B39">
            <v>225</v>
          </cell>
        </row>
        <row r="40">
          <cell r="B40">
            <v>250</v>
          </cell>
        </row>
        <row r="41">
          <cell r="B41">
            <v>300</v>
          </cell>
        </row>
        <row r="42">
          <cell r="B42">
            <v>315</v>
          </cell>
        </row>
        <row r="43">
          <cell r="B43">
            <v>320</v>
          </cell>
        </row>
        <row r="44">
          <cell r="B44">
            <v>400</v>
          </cell>
        </row>
        <row r="45">
          <cell r="B45">
            <v>450</v>
          </cell>
        </row>
        <row r="46">
          <cell r="B46">
            <v>500</v>
          </cell>
        </row>
        <row r="47">
          <cell r="B47">
            <v>600</v>
          </cell>
        </row>
        <row r="48">
          <cell r="B48">
            <v>630</v>
          </cell>
        </row>
        <row r="49">
          <cell r="B49">
            <v>700</v>
          </cell>
        </row>
        <row r="50">
          <cell r="B50">
            <v>800</v>
          </cell>
        </row>
        <row r="59">
          <cell r="B59">
            <v>60</v>
          </cell>
        </row>
        <row r="60">
          <cell r="B60">
            <v>63</v>
          </cell>
        </row>
        <row r="61">
          <cell r="B61">
            <v>90</v>
          </cell>
        </row>
        <row r="62">
          <cell r="B62">
            <v>100</v>
          </cell>
        </row>
        <row r="63">
          <cell r="B63">
            <v>120</v>
          </cell>
        </row>
        <row r="64">
          <cell r="B64">
            <v>125</v>
          </cell>
        </row>
        <row r="65">
          <cell r="B65">
            <v>150</v>
          </cell>
        </row>
        <row r="66">
          <cell r="B66">
            <v>200</v>
          </cell>
        </row>
        <row r="67">
          <cell r="B67">
            <v>60</v>
          </cell>
        </row>
        <row r="68">
          <cell r="B68">
            <v>63</v>
          </cell>
        </row>
        <row r="69">
          <cell r="B69">
            <v>70</v>
          </cell>
        </row>
        <row r="70">
          <cell r="B70">
            <v>80</v>
          </cell>
        </row>
        <row r="71">
          <cell r="B71">
            <v>100</v>
          </cell>
        </row>
        <row r="72">
          <cell r="B72">
            <v>120</v>
          </cell>
        </row>
        <row r="73">
          <cell r="B73">
            <v>125</v>
          </cell>
        </row>
        <row r="74">
          <cell r="B74">
            <v>150</v>
          </cell>
        </row>
        <row r="75">
          <cell r="B75">
            <v>175</v>
          </cell>
        </row>
        <row r="76">
          <cell r="B76">
            <v>200</v>
          </cell>
        </row>
        <row r="77">
          <cell r="B77">
            <v>225</v>
          </cell>
        </row>
        <row r="78">
          <cell r="B78">
            <v>250</v>
          </cell>
        </row>
        <row r="79">
          <cell r="B79">
            <v>300</v>
          </cell>
        </row>
        <row r="80">
          <cell r="B80">
            <v>315</v>
          </cell>
        </row>
        <row r="81">
          <cell r="B81">
            <v>320</v>
          </cell>
        </row>
        <row r="82">
          <cell r="B82">
            <v>400</v>
          </cell>
        </row>
        <row r="83">
          <cell r="B83">
            <v>450</v>
          </cell>
        </row>
        <row r="84">
          <cell r="B84">
            <v>500</v>
          </cell>
        </row>
        <row r="85">
          <cell r="B85">
            <v>600</v>
          </cell>
        </row>
        <row r="86">
          <cell r="B86">
            <v>630</v>
          </cell>
        </row>
        <row r="87">
          <cell r="B87">
            <v>700</v>
          </cell>
        </row>
        <row r="88">
          <cell r="B88">
            <v>800</v>
          </cell>
        </row>
        <row r="89">
          <cell r="B89">
            <v>1000</v>
          </cell>
        </row>
        <row r="90">
          <cell r="B90">
            <v>1200</v>
          </cell>
        </row>
        <row r="91">
          <cell r="B91">
            <v>1500</v>
          </cell>
        </row>
        <row r="92">
          <cell r="B92">
            <v>1800</v>
          </cell>
        </row>
        <row r="93">
          <cell r="B93">
            <v>2100</v>
          </cell>
        </row>
      </sheetData>
      <sheetData sheetId="5" refreshError="1">
        <row r="3">
          <cell r="V3">
            <v>0</v>
          </cell>
        </row>
        <row r="4">
          <cell r="B4" t="str">
            <v>Conexão de GD em Unidade Consumidora Existente COM Alteração de Demanda Contratada</v>
          </cell>
          <cell r="R4">
            <v>1</v>
          </cell>
        </row>
        <row r="5">
          <cell r="B5" t="str">
            <v>Conexão de GD em Unidade Consumidora Existente SEM Alteração de Demanda Contratada</v>
          </cell>
          <cell r="P5">
            <v>112.5</v>
          </cell>
          <cell r="R5">
            <v>2</v>
          </cell>
          <cell r="V5" t="str">
            <v>Sim</v>
          </cell>
        </row>
        <row r="6">
          <cell r="B6" t="str">
            <v>GD Existente COM Alteração de Potência Ativa Instalada Total de Geração</v>
          </cell>
          <cell r="P6">
            <v>150</v>
          </cell>
          <cell r="R6">
            <v>3</v>
          </cell>
          <cell r="V6" t="str">
            <v>Não</v>
          </cell>
        </row>
        <row r="7">
          <cell r="B7" t="str">
            <v>Ligação de Nova Unidade Consumidora COM Geração Distribuída</v>
          </cell>
          <cell r="P7">
            <v>225</v>
          </cell>
          <cell r="R7">
            <v>4</v>
          </cell>
        </row>
        <row r="8">
          <cell r="P8">
            <v>300</v>
          </cell>
        </row>
        <row r="10">
          <cell r="I10" t="e">
            <v>#N/A</v>
          </cell>
          <cell r="J10" t="e">
            <v>#N/A</v>
          </cell>
          <cell r="K10" t="e">
            <v>#N/A</v>
          </cell>
          <cell r="L10" t="e">
            <v>#N/A</v>
          </cell>
        </row>
        <row r="20">
          <cell r="C20">
            <v>13800</v>
          </cell>
        </row>
        <row r="21">
          <cell r="C21">
            <v>22000</v>
          </cell>
        </row>
        <row r="22">
          <cell r="C22">
            <v>34500</v>
          </cell>
        </row>
        <row r="30">
          <cell r="B30" t="str">
            <v>Aéreo</v>
          </cell>
        </row>
        <row r="31">
          <cell r="B31" t="str">
            <v>Subterrâneo</v>
          </cell>
        </row>
        <row r="34">
          <cell r="B34" t="str">
            <v>∆-Y</v>
          </cell>
        </row>
        <row r="35">
          <cell r="B35" t="str">
            <v>∆-∆</v>
          </cell>
        </row>
        <row r="36">
          <cell r="B36" t="str">
            <v>Y-∆</v>
          </cell>
        </row>
        <row r="37">
          <cell r="B37" t="str">
            <v>Y-Y</v>
          </cell>
        </row>
      </sheetData>
      <sheetData sheetId="6" refreshError="1">
        <row r="2">
          <cell r="D2" t="str">
            <v>O campo "Número do Cliente" deve ser preenchido.</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ulário"/>
      <sheetName val="Seg Barragem"/>
      <sheetName val="Notas Explicativas"/>
      <sheetName val="Dados"/>
      <sheetName val="Apoio"/>
      <sheetName val="Conferencia"/>
      <sheetName val="Resp Seg Barragem"/>
      <sheetName val="ControleREV"/>
    </sheetNames>
    <sheetDataSet>
      <sheetData sheetId="0">
        <row r="45">
          <cell r="H45" t="str">
            <v xml:space="preserve"> Relé de Proteção Secundária</v>
          </cell>
        </row>
        <row r="47">
          <cell r="H47" t="str">
            <v/>
          </cell>
        </row>
        <row r="49">
          <cell r="H49" t="str">
            <v/>
          </cell>
        </row>
      </sheetData>
      <sheetData sheetId="1"/>
      <sheetData sheetId="2" refreshError="1"/>
      <sheetData sheetId="3">
        <row r="4">
          <cell r="D4">
            <v>0</v>
          </cell>
        </row>
        <row r="5">
          <cell r="D5">
            <v>0</v>
          </cell>
        </row>
        <row r="6">
          <cell r="D6">
            <v>0</v>
          </cell>
        </row>
        <row r="7">
          <cell r="D7">
            <v>0</v>
          </cell>
        </row>
        <row r="13">
          <cell r="B13" t="str">
            <v xml:space="preserve">Edificação Individual </v>
          </cell>
        </row>
        <row r="14">
          <cell r="B14" t="str">
            <v xml:space="preserve">Edificação de Uso Coletivo (telhado coletivo ou em área comum do condomínio)      </v>
          </cell>
        </row>
        <row r="15">
          <cell r="B15" t="str">
            <v xml:space="preserve">Edificação de Uso Coletivo (telhado independente e privativo)   </v>
          </cell>
        </row>
        <row r="16">
          <cell r="B16" t="str">
            <v>Agrupamento</v>
          </cell>
        </row>
        <row r="35">
          <cell r="B35" t="str">
            <v>Monopolar</v>
          </cell>
        </row>
        <row r="36">
          <cell r="B36" t="str">
            <v>Bipolar</v>
          </cell>
        </row>
        <row r="37">
          <cell r="B37" t="str">
            <v>Tripolar</v>
          </cell>
        </row>
        <row r="38">
          <cell r="B38" t="str">
            <v>Sem Disj. Geral</v>
          </cell>
        </row>
        <row r="42">
          <cell r="B42" t="str">
            <v>Monopolar</v>
          </cell>
        </row>
        <row r="43">
          <cell r="B43" t="str">
            <v>Bipolar</v>
          </cell>
        </row>
        <row r="44">
          <cell r="B44" t="str">
            <v>Tripolar</v>
          </cell>
        </row>
        <row r="45">
          <cell r="B45" t="str">
            <v>Sem Alter. Carga</v>
          </cell>
        </row>
      </sheetData>
      <sheetData sheetId="4">
        <row r="5">
          <cell r="A5" t="str">
            <v>GD Existente COM Alteração de Potência Ativa Instalada Total</v>
          </cell>
        </row>
        <row r="133">
          <cell r="B133">
            <v>100</v>
          </cell>
        </row>
        <row r="134">
          <cell r="B134">
            <v>120</v>
          </cell>
        </row>
        <row r="135">
          <cell r="B135">
            <v>125</v>
          </cell>
        </row>
        <row r="136">
          <cell r="B136">
            <v>150</v>
          </cell>
        </row>
        <row r="137">
          <cell r="B137">
            <v>175</v>
          </cell>
        </row>
        <row r="138">
          <cell r="B138">
            <v>200</v>
          </cell>
        </row>
        <row r="139">
          <cell r="B139">
            <v>250</v>
          </cell>
        </row>
        <row r="140">
          <cell r="B140">
            <v>300</v>
          </cell>
        </row>
        <row r="141">
          <cell r="B141">
            <v>315</v>
          </cell>
        </row>
        <row r="142">
          <cell r="B142">
            <v>320</v>
          </cell>
        </row>
        <row r="143">
          <cell r="B143">
            <v>350</v>
          </cell>
        </row>
        <row r="144">
          <cell r="B144">
            <v>400</v>
          </cell>
        </row>
        <row r="145">
          <cell r="B145">
            <v>500</v>
          </cell>
        </row>
        <row r="146">
          <cell r="B146">
            <v>600</v>
          </cell>
        </row>
        <row r="147">
          <cell r="B147">
            <v>630</v>
          </cell>
        </row>
        <row r="148">
          <cell r="B148">
            <v>800</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1">
    <tabColor rgb="FF00B050"/>
    <pageSetUpPr fitToPage="1"/>
  </sheetPr>
  <dimension ref="A2:AX254"/>
  <sheetViews>
    <sheetView showGridLines="0" showRowColHeaders="0" tabSelected="1" zoomScaleNormal="100" workbookViewId="0">
      <pane ySplit="9" topLeftCell="A194" activePane="bottomLeft" state="frozen"/>
      <selection pane="bottomLeft" activeCell="V210" sqref="V210:AV210"/>
    </sheetView>
  </sheetViews>
  <sheetFormatPr defaultColWidth="0" defaultRowHeight="14.4" x14ac:dyDescent="0.3"/>
  <cols>
    <col min="1" max="30" width="2.6640625" customWidth="1"/>
    <col min="31" max="31" width="3.88671875" customWidth="1"/>
    <col min="32" max="43" width="2.6640625" customWidth="1"/>
    <col min="44" max="44" width="3.44140625" customWidth="1"/>
    <col min="45" max="45" width="3.109375" customWidth="1"/>
    <col min="46" max="48" width="2.6640625" customWidth="1"/>
    <col min="49" max="49" width="0.6640625" customWidth="1"/>
    <col min="50" max="50" width="2.6640625" customWidth="1"/>
    <col min="51" max="16384" width="2.6640625" hidden="1"/>
  </cols>
  <sheetData>
    <row r="2" spans="2:49" ht="15" customHeight="1" x14ac:dyDescent="0.3">
      <c r="B2" s="13"/>
      <c r="C2" s="14"/>
      <c r="D2" s="14"/>
      <c r="E2" s="14"/>
      <c r="F2" s="14"/>
      <c r="G2" s="14"/>
      <c r="H2" s="14"/>
      <c r="I2" s="14"/>
      <c r="J2" s="14"/>
      <c r="K2" s="14"/>
      <c r="L2" s="204" t="str">
        <f>"      FORMULÁRIO DE SOLICITAÇÃO DE ACESSO PARA MICROGERAÇÃO DISTRIBUÍDA "&amp;IF(OR(AT80=0,AT80=""),"",IF(AT80&lt;=10," COM POTÊNCIA IGUAL OU INFERIOR A 10kW     "," COM POTÊNCIA SUPERIOR A 10 KW      "))</f>
        <v xml:space="preserve">      FORMULÁRIO DE SOLICITAÇÃO DE ACESSO PARA MICROGERAÇÃO DISTRIBUÍDA </v>
      </c>
      <c r="M2" s="204"/>
      <c r="N2" s="204"/>
      <c r="O2" s="204"/>
      <c r="P2" s="204"/>
      <c r="Q2" s="204"/>
      <c r="R2" s="204"/>
      <c r="S2" s="204"/>
      <c r="T2" s="204"/>
      <c r="U2" s="204"/>
      <c r="V2" s="204"/>
      <c r="W2" s="204"/>
      <c r="X2" s="204"/>
      <c r="Y2" s="204"/>
      <c r="Z2" s="204"/>
      <c r="AA2" s="204"/>
      <c r="AB2" s="204"/>
      <c r="AC2" s="204"/>
      <c r="AD2" s="204"/>
      <c r="AE2" s="204"/>
      <c r="AF2" s="204"/>
      <c r="AG2" s="204"/>
      <c r="AH2" s="204"/>
      <c r="AI2" s="204"/>
      <c r="AJ2" s="204"/>
      <c r="AK2" s="204"/>
      <c r="AL2" s="204"/>
      <c r="AM2" s="204"/>
      <c r="AN2" s="204"/>
      <c r="AO2" s="204"/>
      <c r="AP2" s="204"/>
      <c r="AQ2" s="204"/>
      <c r="AR2" s="204"/>
      <c r="AS2" s="204"/>
      <c r="AT2" s="41"/>
      <c r="AU2" s="41"/>
      <c r="AV2" s="41"/>
      <c r="AW2" s="15"/>
    </row>
    <row r="3" spans="2:49" ht="15" customHeight="1" x14ac:dyDescent="0.3">
      <c r="B3" s="10"/>
      <c r="L3" s="205"/>
      <c r="M3" s="205"/>
      <c r="N3" s="205"/>
      <c r="O3" s="205"/>
      <c r="P3" s="205"/>
      <c r="Q3" s="205"/>
      <c r="R3" s="205"/>
      <c r="S3" s="205"/>
      <c r="T3" s="205"/>
      <c r="U3" s="205"/>
      <c r="V3" s="205"/>
      <c r="W3" s="205"/>
      <c r="X3" s="205"/>
      <c r="Y3" s="205"/>
      <c r="Z3" s="205"/>
      <c r="AA3" s="205"/>
      <c r="AB3" s="205"/>
      <c r="AC3" s="205"/>
      <c r="AD3" s="205"/>
      <c r="AE3" s="205"/>
      <c r="AF3" s="205"/>
      <c r="AG3" s="205"/>
      <c r="AH3" s="205"/>
      <c r="AI3" s="205"/>
      <c r="AJ3" s="205"/>
      <c r="AK3" s="205"/>
      <c r="AL3" s="205"/>
      <c r="AM3" s="205"/>
      <c r="AN3" s="205"/>
      <c r="AO3" s="205"/>
      <c r="AP3" s="205"/>
      <c r="AQ3" s="205"/>
      <c r="AR3" s="205"/>
      <c r="AS3" s="205"/>
      <c r="AT3" s="42"/>
      <c r="AU3" s="42"/>
      <c r="AV3" s="42"/>
      <c r="AW3" s="8"/>
    </row>
    <row r="4" spans="2:49" ht="15" customHeight="1" x14ac:dyDescent="0.3">
      <c r="B4" s="10"/>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42"/>
      <c r="AU4" s="42"/>
      <c r="AV4" s="42"/>
      <c r="AW4" s="8"/>
    </row>
    <row r="5" spans="2:49" x14ac:dyDescent="0.3">
      <c r="B5" s="11"/>
      <c r="C5" s="1"/>
      <c r="D5" s="1"/>
      <c r="E5" s="1"/>
      <c r="F5" s="1"/>
      <c r="G5" s="1"/>
      <c r="H5" s="1"/>
      <c r="I5" s="1"/>
      <c r="J5" s="1"/>
      <c r="K5" s="1"/>
      <c r="L5" s="212" t="s">
        <v>350</v>
      </c>
      <c r="M5" s="212"/>
      <c r="N5" s="212"/>
      <c r="O5" s="212"/>
      <c r="P5" s="212"/>
      <c r="Q5" s="212"/>
      <c r="R5" s="212"/>
      <c r="S5" s="212"/>
      <c r="T5" s="212"/>
      <c r="U5" s="212"/>
      <c r="V5" s="212"/>
      <c r="W5" s="212"/>
      <c r="X5" s="212"/>
      <c r="Y5" s="212"/>
      <c r="Z5" s="212"/>
      <c r="AA5" s="212"/>
      <c r="AB5" s="212"/>
      <c r="AC5" s="212"/>
      <c r="AD5" s="212"/>
      <c r="AE5" s="212"/>
      <c r="AF5" s="212"/>
      <c r="AG5" s="212"/>
      <c r="AH5" s="212"/>
      <c r="AI5" s="212"/>
      <c r="AJ5" s="212"/>
      <c r="AK5" s="212"/>
      <c r="AL5" s="212"/>
      <c r="AM5" s="212"/>
      <c r="AN5" s="212"/>
      <c r="AO5" s="212"/>
      <c r="AP5" s="212"/>
      <c r="AQ5" s="212"/>
      <c r="AR5" s="212"/>
      <c r="AS5" s="212"/>
      <c r="AT5" s="212"/>
      <c r="AU5" s="212"/>
      <c r="AV5" s="212"/>
      <c r="AW5" s="12"/>
    </row>
    <row r="6" spans="2:49" ht="3" customHeight="1" x14ac:dyDescent="0.3"/>
    <row r="7" spans="2:49" s="56" customFormat="1" ht="9" customHeight="1" x14ac:dyDescent="0.3">
      <c r="B7" s="222" t="str">
        <f>Mensagem_Erro</f>
        <v>O campo "Número do Cliente" deve ser preenchido.</v>
      </c>
      <c r="C7" s="222"/>
      <c r="D7" s="222"/>
      <c r="E7" s="222"/>
      <c r="F7" s="222"/>
      <c r="G7" s="222"/>
      <c r="H7" s="222"/>
      <c r="I7" s="222"/>
      <c r="J7" s="222"/>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22"/>
      <c r="AL7" s="222"/>
      <c r="AM7" s="222"/>
      <c r="AN7" s="222"/>
      <c r="AO7" s="222"/>
      <c r="AP7" s="222"/>
      <c r="AQ7" s="222"/>
      <c r="AR7" s="222"/>
      <c r="AS7" s="222"/>
      <c r="AT7" s="222"/>
      <c r="AU7" s="222"/>
      <c r="AV7" s="222"/>
      <c r="AW7" s="222"/>
    </row>
    <row r="8" spans="2:49" s="56" customFormat="1" ht="9" customHeight="1" x14ac:dyDescent="0.3">
      <c r="B8" s="222"/>
      <c r="C8" s="222"/>
      <c r="D8" s="222"/>
      <c r="E8" s="222"/>
      <c r="F8" s="222"/>
      <c r="G8" s="222"/>
      <c r="H8" s="222"/>
      <c r="I8" s="222"/>
      <c r="J8" s="222"/>
      <c r="K8" s="222"/>
      <c r="L8" s="222"/>
      <c r="M8" s="222"/>
      <c r="N8" s="222"/>
      <c r="O8" s="222"/>
      <c r="P8" s="222"/>
      <c r="Q8" s="222"/>
      <c r="R8" s="222"/>
      <c r="S8" s="222"/>
      <c r="T8" s="222"/>
      <c r="U8" s="222"/>
      <c r="V8" s="222"/>
      <c r="W8" s="222"/>
      <c r="X8" s="222"/>
      <c r="Y8" s="222"/>
      <c r="Z8" s="222"/>
      <c r="AA8" s="222"/>
      <c r="AB8" s="222"/>
      <c r="AC8" s="222"/>
      <c r="AD8" s="222"/>
      <c r="AE8" s="222"/>
      <c r="AF8" s="222"/>
      <c r="AG8" s="222"/>
      <c r="AH8" s="222"/>
      <c r="AI8" s="222"/>
      <c r="AJ8" s="222"/>
      <c r="AK8" s="222"/>
      <c r="AL8" s="222"/>
      <c r="AM8" s="222"/>
      <c r="AN8" s="222"/>
      <c r="AO8" s="222"/>
      <c r="AP8" s="222"/>
      <c r="AQ8" s="222"/>
      <c r="AR8" s="222"/>
      <c r="AS8" s="222"/>
      <c r="AT8" s="222"/>
      <c r="AU8" s="222"/>
      <c r="AV8" s="222"/>
      <c r="AW8" s="222"/>
    </row>
    <row r="9" spans="2:49" ht="3" customHeight="1" x14ac:dyDescent="0.3"/>
    <row r="10" spans="2:49" x14ac:dyDescent="0.3">
      <c r="B10" s="103" t="s">
        <v>0</v>
      </c>
      <c r="C10" s="104"/>
      <c r="D10" s="104"/>
      <c r="E10" s="104"/>
      <c r="F10" s="104"/>
      <c r="G10" s="104"/>
      <c r="H10" s="104"/>
      <c r="I10" s="104"/>
      <c r="J10" s="104"/>
      <c r="K10" s="104"/>
      <c r="L10" s="104"/>
      <c r="M10" s="104"/>
      <c r="N10" s="104"/>
      <c r="O10" s="104"/>
      <c r="P10" s="104"/>
      <c r="Q10" s="104"/>
      <c r="R10" s="104"/>
      <c r="S10" s="104"/>
      <c r="T10" s="104"/>
      <c r="U10" s="104"/>
      <c r="V10" s="104"/>
      <c r="W10" s="104"/>
      <c r="X10" s="104"/>
      <c r="Y10" s="104"/>
      <c r="Z10" s="104"/>
      <c r="AA10" s="104"/>
      <c r="AB10" s="104"/>
      <c r="AC10" s="104"/>
      <c r="AD10" s="104"/>
      <c r="AE10" s="104"/>
      <c r="AF10" s="104"/>
      <c r="AG10" s="104"/>
      <c r="AH10" s="104"/>
      <c r="AI10" s="104"/>
      <c r="AJ10" s="104"/>
      <c r="AK10" s="104"/>
      <c r="AL10" s="104"/>
      <c r="AM10" s="104"/>
      <c r="AN10" s="104"/>
      <c r="AO10" s="104"/>
      <c r="AP10" s="104"/>
      <c r="AQ10" s="104"/>
      <c r="AR10" s="104"/>
      <c r="AS10" s="104"/>
      <c r="AT10" s="104"/>
      <c r="AU10" s="104"/>
      <c r="AV10" s="104"/>
      <c r="AW10" s="22"/>
    </row>
    <row r="11" spans="2:49" ht="3" customHeight="1" thickBot="1" x14ac:dyDescent="0.35">
      <c r="B11" s="39"/>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15"/>
    </row>
    <row r="12" spans="2:49" x14ac:dyDescent="0.3">
      <c r="B12" s="10" t="s">
        <v>18</v>
      </c>
      <c r="I12" s="165"/>
      <c r="J12" s="166"/>
      <c r="K12" s="166"/>
      <c r="L12" s="166"/>
      <c r="M12" s="167"/>
      <c r="Y12" s="136" t="s">
        <v>6</v>
      </c>
      <c r="Z12" s="136"/>
      <c r="AA12" s="136"/>
      <c r="AB12" s="136"/>
      <c r="AC12" s="136"/>
      <c r="AD12" s="136"/>
      <c r="AE12" s="136"/>
      <c r="AF12" s="136"/>
      <c r="AG12" s="91"/>
      <c r="AH12" s="92"/>
      <c r="AI12" s="92"/>
      <c r="AJ12" s="92"/>
      <c r="AK12" s="93"/>
      <c r="AW12" s="8"/>
    </row>
    <row r="13" spans="2:49" ht="3" customHeight="1" thickBot="1" x14ac:dyDescent="0.35">
      <c r="B13" s="9"/>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8"/>
    </row>
    <row r="14" spans="2:49" x14ac:dyDescent="0.3">
      <c r="B14" s="10" t="s">
        <v>54</v>
      </c>
      <c r="M14" s="20"/>
      <c r="N14" s="137"/>
      <c r="O14" s="138"/>
      <c r="P14" s="138"/>
      <c r="Q14" s="138"/>
      <c r="R14" s="138"/>
      <c r="S14" s="138"/>
      <c r="T14" s="138"/>
      <c r="U14" s="138"/>
      <c r="V14" s="138"/>
      <c r="W14" s="138"/>
      <c r="X14" s="138"/>
      <c r="Y14" s="138"/>
      <c r="Z14" s="138"/>
      <c r="AA14" s="138"/>
      <c r="AB14" s="138"/>
      <c r="AC14" s="138"/>
      <c r="AD14" s="138"/>
      <c r="AE14" s="138"/>
      <c r="AF14" s="138"/>
      <c r="AG14" s="138"/>
      <c r="AH14" s="138"/>
      <c r="AI14" s="138"/>
      <c r="AJ14" s="138"/>
      <c r="AK14" s="138"/>
      <c r="AL14" s="138"/>
      <c r="AM14" s="138"/>
      <c r="AN14" s="138"/>
      <c r="AO14" s="138"/>
      <c r="AP14" s="138"/>
      <c r="AQ14" s="138"/>
      <c r="AR14" s="138"/>
      <c r="AS14" s="138"/>
      <c r="AT14" s="138"/>
      <c r="AU14" s="138"/>
      <c r="AV14" s="139"/>
      <c r="AW14" s="8"/>
    </row>
    <row r="15" spans="2:49" ht="3" customHeight="1" thickBot="1" x14ac:dyDescent="0.35">
      <c r="B15" s="9"/>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8"/>
    </row>
    <row r="16" spans="2:49" x14ac:dyDescent="0.3">
      <c r="B16" s="10" t="s">
        <v>19</v>
      </c>
      <c r="E16" s="91"/>
      <c r="F16" s="93"/>
      <c r="H16" t="s">
        <v>21</v>
      </c>
      <c r="K16" s="106"/>
      <c r="L16" s="107"/>
      <c r="M16" s="107"/>
      <c r="N16" s="107"/>
      <c r="O16" s="107"/>
      <c r="P16" s="107"/>
      <c r="Q16" s="108"/>
      <c r="Y16" t="s">
        <v>17</v>
      </c>
      <c r="AC16" s="161"/>
      <c r="AD16" s="162"/>
      <c r="AE16" s="162"/>
      <c r="AF16" s="162"/>
      <c r="AG16" s="162"/>
      <c r="AH16" s="162"/>
      <c r="AI16" s="163"/>
      <c r="AJ16" s="3"/>
      <c r="AK16" s="3"/>
      <c r="AL16" s="3"/>
      <c r="AW16" s="8"/>
    </row>
    <row r="17" spans="2:49" ht="3" customHeight="1" thickBot="1" x14ac:dyDescent="0.35">
      <c r="B17" s="10"/>
      <c r="E17" s="2"/>
      <c r="AC17" s="4"/>
      <c r="AD17" s="4"/>
      <c r="AE17" s="4"/>
      <c r="AF17" s="4"/>
      <c r="AG17" s="4"/>
      <c r="AH17" s="4"/>
      <c r="AI17" s="4"/>
      <c r="AJ17" s="3"/>
      <c r="AK17" s="3"/>
      <c r="AL17" s="3"/>
      <c r="AW17" s="8"/>
    </row>
    <row r="18" spans="2:49" x14ac:dyDescent="0.3">
      <c r="B18" s="10" t="s">
        <v>20</v>
      </c>
      <c r="G18" s="137"/>
      <c r="H18" s="138"/>
      <c r="I18" s="138"/>
      <c r="J18" s="138"/>
      <c r="K18" s="138"/>
      <c r="L18" s="138"/>
      <c r="M18" s="138"/>
      <c r="N18" s="138"/>
      <c r="O18" s="138"/>
      <c r="P18" s="138"/>
      <c r="Q18" s="138"/>
      <c r="R18" s="138"/>
      <c r="S18" s="138"/>
      <c r="T18" s="138"/>
      <c r="U18" s="138"/>
      <c r="V18" s="138"/>
      <c r="W18" s="138"/>
      <c r="X18" s="138"/>
      <c r="Y18" s="138"/>
      <c r="Z18" s="138"/>
      <c r="AA18" s="138"/>
      <c r="AB18" s="138"/>
      <c r="AC18" s="138"/>
      <c r="AD18" s="139"/>
      <c r="AE18" s="136" t="s">
        <v>22</v>
      </c>
      <c r="AF18" s="136"/>
      <c r="AG18" s="136"/>
      <c r="AH18" s="164"/>
      <c r="AI18" s="91"/>
      <c r="AJ18" s="92"/>
      <c r="AK18" s="93"/>
      <c r="AL18" s="136" t="s">
        <v>46</v>
      </c>
      <c r="AM18" s="136"/>
      <c r="AN18" s="136"/>
      <c r="AO18" s="136"/>
      <c r="AP18" s="136"/>
      <c r="AQ18" s="136"/>
      <c r="AR18" s="91"/>
      <c r="AS18" s="92"/>
      <c r="AT18" s="92"/>
      <c r="AU18" s="92"/>
      <c r="AV18" s="93"/>
      <c r="AW18" s="8"/>
    </row>
    <row r="19" spans="2:49" ht="3" customHeight="1" thickBot="1" x14ac:dyDescent="0.35">
      <c r="B19" s="10"/>
      <c r="AW19" s="8"/>
    </row>
    <row r="20" spans="2:49" x14ac:dyDescent="0.3">
      <c r="B20" s="10" t="s">
        <v>26</v>
      </c>
      <c r="E20" s="137"/>
      <c r="F20" s="138"/>
      <c r="G20" s="138"/>
      <c r="H20" s="138"/>
      <c r="I20" s="138"/>
      <c r="J20" s="138"/>
      <c r="K20" s="138"/>
      <c r="L20" s="138"/>
      <c r="M20" s="138"/>
      <c r="N20" s="139"/>
      <c r="P20" s="136" t="s">
        <v>25</v>
      </c>
      <c r="Q20" s="136"/>
      <c r="R20" s="136"/>
      <c r="S20" s="136"/>
      <c r="T20" s="137"/>
      <c r="U20" s="138"/>
      <c r="V20" s="138"/>
      <c r="W20" s="138"/>
      <c r="X20" s="138"/>
      <c r="Y20" s="138"/>
      <c r="Z20" s="138"/>
      <c r="AA20" s="138"/>
      <c r="AB20" s="138"/>
      <c r="AC20" s="138"/>
      <c r="AD20" s="138"/>
      <c r="AE20" s="138"/>
      <c r="AF20" s="138"/>
      <c r="AG20" s="138"/>
      <c r="AH20" s="138"/>
      <c r="AI20" s="139"/>
      <c r="AK20" s="136" t="s">
        <v>23</v>
      </c>
      <c r="AL20" s="136"/>
      <c r="AM20" s="164"/>
      <c r="AN20" s="91" t="s">
        <v>326</v>
      </c>
      <c r="AO20" s="93"/>
      <c r="AQ20" s="136" t="s">
        <v>24</v>
      </c>
      <c r="AR20" s="164"/>
      <c r="AS20" s="158"/>
      <c r="AT20" s="159"/>
      <c r="AU20" s="159"/>
      <c r="AV20" s="160"/>
      <c r="AW20" s="8"/>
    </row>
    <row r="21" spans="2:49" ht="3" customHeight="1" thickBot="1" x14ac:dyDescent="0.35">
      <c r="B21" s="10"/>
      <c r="AW21" s="8"/>
    </row>
    <row r="22" spans="2:49" x14ac:dyDescent="0.3">
      <c r="B22" s="10" t="s">
        <v>1</v>
      </c>
      <c r="F22" s="140"/>
      <c r="G22" s="141"/>
      <c r="H22" s="141"/>
      <c r="I22" s="141"/>
      <c r="J22" s="142"/>
      <c r="L22" t="s">
        <v>242</v>
      </c>
      <c r="O22" s="151"/>
      <c r="P22" s="152"/>
      <c r="Q22" s="152"/>
      <c r="R22" s="152"/>
      <c r="S22" s="152"/>
      <c r="T22" s="153"/>
      <c r="V22" s="136" t="s">
        <v>76</v>
      </c>
      <c r="W22" s="136"/>
      <c r="X22" s="136"/>
      <c r="Y22" s="148"/>
      <c r="Z22" s="149"/>
      <c r="AA22" s="149"/>
      <c r="AB22" s="149"/>
      <c r="AC22" s="149"/>
      <c r="AD22" s="149"/>
      <c r="AE22" s="149"/>
      <c r="AF22" s="149"/>
      <c r="AG22" s="149"/>
      <c r="AH22" s="149"/>
      <c r="AI22" s="149"/>
      <c r="AJ22" s="149"/>
      <c r="AK22" s="149"/>
      <c r="AL22" s="149"/>
      <c r="AM22" s="149"/>
      <c r="AN22" s="149"/>
      <c r="AO22" s="149"/>
      <c r="AP22" s="149"/>
      <c r="AQ22" s="149"/>
      <c r="AR22" s="149"/>
      <c r="AS22" s="149"/>
      <c r="AT22" s="149"/>
      <c r="AU22" s="149"/>
      <c r="AV22" s="150"/>
      <c r="AW22" s="8"/>
    </row>
    <row r="23" spans="2:49" ht="3" customHeight="1" x14ac:dyDescent="0.3">
      <c r="B23" s="1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2"/>
    </row>
    <row r="24" spans="2:49" ht="3" customHeight="1" x14ac:dyDescent="0.3">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row>
    <row r="25" spans="2:49" x14ac:dyDescent="0.3">
      <c r="B25" s="115" t="s">
        <v>2</v>
      </c>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116"/>
      <c r="AC25" s="116"/>
      <c r="AD25" s="116"/>
      <c r="AE25" s="116"/>
      <c r="AF25" s="116"/>
      <c r="AG25" s="116"/>
      <c r="AH25" s="116"/>
      <c r="AI25" s="116"/>
      <c r="AJ25" s="116"/>
      <c r="AK25" s="116"/>
      <c r="AL25" s="116"/>
      <c r="AM25" s="116"/>
      <c r="AN25" s="116"/>
      <c r="AO25" s="116"/>
      <c r="AP25" s="116"/>
      <c r="AQ25" s="116"/>
      <c r="AR25" s="116"/>
      <c r="AS25" s="116"/>
      <c r="AT25" s="116"/>
      <c r="AU25" s="116"/>
      <c r="AV25" s="116"/>
      <c r="AW25" s="34"/>
    </row>
    <row r="26" spans="2:49" ht="3" customHeight="1" thickBot="1" x14ac:dyDescent="0.35">
      <c r="B26" s="13"/>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v>1620000</v>
      </c>
      <c r="AE26" s="14"/>
      <c r="AF26" s="14"/>
      <c r="AG26" s="14"/>
      <c r="AH26" s="14"/>
      <c r="AI26" s="14"/>
      <c r="AJ26" s="14"/>
      <c r="AK26" s="14"/>
      <c r="AL26" s="14"/>
      <c r="AM26" s="14"/>
      <c r="AN26" s="14"/>
      <c r="AO26" s="14"/>
      <c r="AP26" s="14"/>
      <c r="AQ26" s="14"/>
      <c r="AR26" s="14"/>
      <c r="AS26" s="14"/>
      <c r="AT26" s="14"/>
      <c r="AU26" s="14"/>
      <c r="AV26" s="14"/>
      <c r="AW26" s="15"/>
    </row>
    <row r="27" spans="2:49" x14ac:dyDescent="0.3">
      <c r="B27" s="10" t="s">
        <v>327</v>
      </c>
      <c r="T27" s="136" t="s">
        <v>3</v>
      </c>
      <c r="U27" s="136"/>
      <c r="V27" s="91"/>
      <c r="W27" s="93"/>
      <c r="X27" s="136" t="s">
        <v>4</v>
      </c>
      <c r="Y27" s="136"/>
      <c r="Z27" s="136"/>
      <c r="AA27" s="136"/>
      <c r="AB27" s="136"/>
      <c r="AC27" s="91"/>
      <c r="AD27" s="92"/>
      <c r="AE27" s="93"/>
      <c r="AG27" s="136" t="s">
        <v>5</v>
      </c>
      <c r="AH27" s="136"/>
      <c r="AI27" s="136"/>
      <c r="AJ27" s="136"/>
      <c r="AK27" s="136"/>
      <c r="AL27" s="91"/>
      <c r="AM27" s="92"/>
      <c r="AN27" s="93"/>
      <c r="AW27" s="8"/>
    </row>
    <row r="28" spans="2:49" ht="3" customHeight="1" thickBot="1" x14ac:dyDescent="0.35">
      <c r="B28" s="10"/>
      <c r="AF28" s="7"/>
      <c r="AG28" s="7"/>
      <c r="AH28" s="16"/>
      <c r="AI28" s="16"/>
      <c r="AO28" s="7"/>
      <c r="AW28" s="8"/>
    </row>
    <row r="29" spans="2:49" x14ac:dyDescent="0.3">
      <c r="B29" s="10" t="s">
        <v>244</v>
      </c>
      <c r="P29" s="117" t="str">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118"/>
      <c r="R29" s="201"/>
      <c r="S29" s="202"/>
      <c r="T29" s="202"/>
      <c r="U29" s="203"/>
      <c r="Y29" s="191" t="str">
        <f>IF(V27="","Indique o fuso",IF(AND(Apoio!I4="Ok",OR(V27="",Conferencia!B16=1)),"",IF(AND(AC27&lt;&gt;"",V27&lt;&gt;"",Apoio!I4&lt;&gt;"Ok"),"Verifique a Abscissa","De "&amp;VLOOKUP(V27,Apoio!B1:F4,2,FALSE)&amp;" a "&amp;VLOOKUP(V27,Apoio!B1:F4,3,FALSE))))</f>
        <v>Indique o fuso</v>
      </c>
      <c r="Z29" s="191"/>
      <c r="AA29" s="191"/>
      <c r="AB29" s="191"/>
      <c r="AC29" s="191"/>
      <c r="AD29" s="191"/>
      <c r="AE29" s="191"/>
      <c r="AG29" s="191" t="str">
        <f>IF(V27="","Indique o fuso",IF(V27="","",IF(AND(Apoio!K4="Ok",OR(V27="",Conferencia!B16=1)),"",IF(AND(AL27&lt;&gt;"",V27&lt;&gt;"",Apoio!K4&lt;&gt;"Ok"),"Verifique a Ordenada","De "&amp;VLOOKUP($V$27,Apoio!B1:F4,4,FALSE)&amp;" a "&amp;VLOOKUP($V$27,Apoio!B1:F4,5,FALSE)))))</f>
        <v>Indique o fuso</v>
      </c>
      <c r="AH29" s="191"/>
      <c r="AI29" s="191"/>
      <c r="AJ29" s="191"/>
      <c r="AK29" s="191"/>
      <c r="AL29" s="191"/>
      <c r="AM29" s="191"/>
      <c r="AN29" s="191"/>
      <c r="AW29" s="8"/>
    </row>
    <row r="30" spans="2:49" ht="3" customHeight="1" thickBot="1" x14ac:dyDescent="0.35">
      <c r="B30" s="10"/>
      <c r="AW30" s="8"/>
    </row>
    <row r="31" spans="2:49" x14ac:dyDescent="0.3">
      <c r="B31" s="10" t="s">
        <v>11</v>
      </c>
      <c r="AH31" s="94"/>
      <c r="AI31" s="95"/>
      <c r="AW31" s="8"/>
    </row>
    <row r="32" spans="2:49" ht="3" customHeight="1" x14ac:dyDescent="0.3">
      <c r="B32" s="10"/>
      <c r="AW32" s="8"/>
    </row>
    <row r="33" spans="1:49" ht="3" customHeight="1" thickBot="1" x14ac:dyDescent="0.35">
      <c r="B33" s="13"/>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5"/>
    </row>
    <row r="34" spans="1:49" ht="15" customHeight="1" x14ac:dyDescent="0.3">
      <c r="B34" s="154" t="str">
        <f>IF(Grupo="A","Para clientes do Grupo A:","")</f>
        <v/>
      </c>
      <c r="C34" s="155"/>
      <c r="D34" s="155"/>
      <c r="E34" s="155"/>
      <c r="F34" s="156"/>
      <c r="G34" t="s">
        <v>27</v>
      </c>
      <c r="T34" s="219"/>
      <c r="U34" s="220"/>
      <c r="X34" s="124" t="s">
        <v>156</v>
      </c>
      <c r="Y34" s="125"/>
      <c r="Z34" s="122"/>
      <c r="AA34" s="123"/>
      <c r="AB34" s="44" t="s">
        <v>158</v>
      </c>
      <c r="AC34" s="124" t="s">
        <v>157</v>
      </c>
      <c r="AD34" s="124"/>
      <c r="AE34" s="124"/>
      <c r="AF34" s="122"/>
      <c r="AG34" s="126"/>
      <c r="AH34" s="123"/>
      <c r="AK34" s="124" t="s">
        <v>156</v>
      </c>
      <c r="AL34" s="125"/>
      <c r="AM34" s="122"/>
      <c r="AN34" s="123"/>
      <c r="AO34" s="44" t="s">
        <v>158</v>
      </c>
      <c r="AP34" s="124" t="s">
        <v>157</v>
      </c>
      <c r="AQ34" s="124"/>
      <c r="AR34" s="124"/>
      <c r="AS34" s="122"/>
      <c r="AT34" s="126"/>
      <c r="AU34" s="123"/>
      <c r="AW34" s="8"/>
    </row>
    <row r="35" spans="1:49" ht="3" customHeight="1" thickBot="1" x14ac:dyDescent="0.35">
      <c r="B35" s="154"/>
      <c r="C35" s="155"/>
      <c r="D35" s="155"/>
      <c r="E35" s="155"/>
      <c r="F35" s="156"/>
      <c r="AW35" s="8"/>
    </row>
    <row r="36" spans="1:49" x14ac:dyDescent="0.3">
      <c r="A36" s="8"/>
      <c r="B36" s="154"/>
      <c r="C36" s="155"/>
      <c r="D36" s="155"/>
      <c r="E36" s="155"/>
      <c r="F36" s="156"/>
      <c r="G36" t="str">
        <f>IF(OR(TipoSE="Nº 1",TipoSE="Nº 5",TipoSE="Nº 8"),"Transformador particular (kVA):","Qte de potência distinta dos trafos:")</f>
        <v>Qte de potência distinta dos trafos:</v>
      </c>
      <c r="S36" s="216"/>
      <c r="T36" s="217"/>
      <c r="U36" s="218"/>
      <c r="X36" s="124" t="s">
        <v>156</v>
      </c>
      <c r="Y36" s="125"/>
      <c r="Z36" s="122"/>
      <c r="AA36" s="123"/>
      <c r="AB36" s="44" t="s">
        <v>158</v>
      </c>
      <c r="AC36" s="124" t="s">
        <v>157</v>
      </c>
      <c r="AD36" s="124"/>
      <c r="AE36" s="124"/>
      <c r="AF36" s="122"/>
      <c r="AG36" s="126"/>
      <c r="AH36" s="123"/>
      <c r="AK36" s="124" t="s">
        <v>156</v>
      </c>
      <c r="AL36" s="125"/>
      <c r="AM36" s="122"/>
      <c r="AN36" s="123"/>
      <c r="AO36" s="44" t="s">
        <v>158</v>
      </c>
      <c r="AP36" s="124" t="s">
        <v>157</v>
      </c>
      <c r="AQ36" s="124"/>
      <c r="AR36" s="124"/>
      <c r="AS36" s="122"/>
      <c r="AT36" s="126"/>
      <c r="AU36" s="123"/>
      <c r="AW36" s="8"/>
    </row>
    <row r="37" spans="1:49" ht="3" customHeight="1" x14ac:dyDescent="0.3">
      <c r="B37" s="1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2"/>
    </row>
    <row r="38" spans="1:49" ht="3" customHeight="1" thickBot="1" x14ac:dyDescent="0.35">
      <c r="B38" s="10"/>
      <c r="AW38" s="8"/>
    </row>
    <row r="39" spans="1:49" x14ac:dyDescent="0.3">
      <c r="B39" s="10" t="s">
        <v>60</v>
      </c>
      <c r="I39" s="213"/>
      <c r="J39" s="214"/>
      <c r="K39" s="214"/>
      <c r="L39" s="214"/>
      <c r="M39" s="214"/>
      <c r="N39" s="214"/>
      <c r="O39" s="214"/>
      <c r="P39" s="214"/>
      <c r="Q39" s="214"/>
      <c r="R39" s="214"/>
      <c r="S39" s="214"/>
      <c r="T39" s="214"/>
      <c r="U39" s="214"/>
      <c r="V39" s="214"/>
      <c r="W39" s="214"/>
      <c r="X39" s="214"/>
      <c r="Y39" s="214"/>
      <c r="Z39" s="214"/>
      <c r="AA39" s="214"/>
      <c r="AB39" s="214"/>
      <c r="AC39" s="214"/>
      <c r="AD39" s="214"/>
      <c r="AE39" s="214"/>
      <c r="AF39" s="214"/>
      <c r="AG39" s="214"/>
      <c r="AH39" s="214"/>
      <c r="AI39" s="214"/>
      <c r="AJ39" s="214"/>
      <c r="AK39" s="214"/>
      <c r="AL39" s="214"/>
      <c r="AM39" s="214"/>
      <c r="AN39" s="215"/>
      <c r="AO39" s="136" t="str">
        <f>IF(I39="GD Existente COM Alteração de Potência Ativa Instalada Total","Pot. Atual (kW):","")</f>
        <v/>
      </c>
      <c r="AP39" s="136"/>
      <c r="AQ39" s="136"/>
      <c r="AR39" s="136"/>
      <c r="AS39" s="136"/>
      <c r="AT39" s="136"/>
      <c r="AU39" s="146"/>
      <c r="AV39" s="147"/>
      <c r="AW39" s="8"/>
    </row>
    <row r="40" spans="1:49" ht="3" customHeight="1" thickBot="1" x14ac:dyDescent="0.35">
      <c r="B40" s="10"/>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7"/>
      <c r="AP40" s="7"/>
      <c r="AQ40" s="7"/>
      <c r="AR40" s="7"/>
      <c r="AS40" s="7"/>
      <c r="AT40" s="7"/>
      <c r="AU40" s="5"/>
      <c r="AV40" s="5"/>
      <c r="AW40" s="8"/>
    </row>
    <row r="41" spans="1:49" x14ac:dyDescent="0.3">
      <c r="B41" s="10" t="s">
        <v>12</v>
      </c>
      <c r="I41" s="213"/>
      <c r="J41" s="214"/>
      <c r="K41" s="214"/>
      <c r="L41" s="214"/>
      <c r="M41" s="214"/>
      <c r="N41" s="214"/>
      <c r="O41" s="214"/>
      <c r="P41" s="214"/>
      <c r="Q41" s="214"/>
      <c r="R41" s="214"/>
      <c r="S41" s="214"/>
      <c r="T41" s="214"/>
      <c r="U41" s="214"/>
      <c r="V41" s="214"/>
      <c r="W41" s="214"/>
      <c r="X41" s="214"/>
      <c r="Y41" s="214"/>
      <c r="Z41" s="214"/>
      <c r="AA41" s="214"/>
      <c r="AB41" s="214"/>
      <c r="AC41" s="214"/>
      <c r="AD41" s="214"/>
      <c r="AE41" s="214"/>
      <c r="AF41" s="214"/>
      <c r="AG41" s="214"/>
      <c r="AH41" s="214"/>
      <c r="AI41" s="17"/>
      <c r="AJ41" s="17"/>
      <c r="AK41" s="17"/>
      <c r="AL41" s="17"/>
      <c r="AM41" s="136" t="str">
        <f>IF(I39="GD Existente COM Alteração de Potência Ativa Instalada Total","Nova Pot. Total (kW):","")</f>
        <v/>
      </c>
      <c r="AN41" s="136"/>
      <c r="AO41" s="136"/>
      <c r="AP41" s="136"/>
      <c r="AQ41" s="136"/>
      <c r="AR41" s="136"/>
      <c r="AS41" s="136"/>
      <c r="AT41" s="136"/>
      <c r="AU41" s="146"/>
      <c r="AV41" s="147"/>
      <c r="AW41" s="8"/>
    </row>
    <row r="42" spans="1:49" ht="3" customHeight="1" x14ac:dyDescent="0.3">
      <c r="B42" s="10"/>
      <c r="I42" s="16"/>
      <c r="J42" s="16"/>
      <c r="K42" s="16"/>
      <c r="L42" s="16"/>
      <c r="M42" s="16"/>
      <c r="N42" s="16"/>
      <c r="O42" s="16"/>
      <c r="P42" s="16"/>
      <c r="Q42" s="16"/>
      <c r="R42" s="16"/>
      <c r="S42" s="16"/>
      <c r="T42" s="16"/>
      <c r="U42" s="17"/>
      <c r="V42" s="17"/>
      <c r="W42" s="17"/>
      <c r="X42" s="17"/>
      <c r="Y42" s="17"/>
      <c r="Z42" s="17"/>
      <c r="AA42" s="17"/>
      <c r="AB42" s="17"/>
      <c r="AC42" s="17"/>
      <c r="AD42" s="17"/>
      <c r="AE42" s="17"/>
      <c r="AF42" s="17"/>
      <c r="AG42" s="17"/>
      <c r="AH42" s="17"/>
      <c r="AI42" s="17"/>
      <c r="AJ42" s="17"/>
      <c r="AK42" s="17"/>
      <c r="AL42" s="17"/>
      <c r="AM42" s="7"/>
      <c r="AN42" s="7"/>
      <c r="AO42" s="7"/>
      <c r="AP42" s="7"/>
      <c r="AQ42" s="7"/>
      <c r="AR42" s="7"/>
      <c r="AS42" s="7"/>
      <c r="AT42" s="7"/>
      <c r="AU42" s="5"/>
      <c r="AV42" s="5"/>
      <c r="AW42" s="8"/>
    </row>
    <row r="43" spans="1:49" ht="3" customHeight="1" x14ac:dyDescent="0.3">
      <c r="B43" s="10"/>
      <c r="AW43" s="8"/>
    </row>
    <row r="44" spans="1:49" ht="3" customHeight="1" thickBot="1" x14ac:dyDescent="0.35">
      <c r="B44" s="10"/>
      <c r="AW44" s="8"/>
    </row>
    <row r="45" spans="1:49" x14ac:dyDescent="0.3">
      <c r="B45" s="143" t="s">
        <v>97</v>
      </c>
      <c r="C45" s="144"/>
      <c r="D45" s="144"/>
      <c r="E45" s="144"/>
      <c r="F45" s="144"/>
      <c r="G45" s="145"/>
      <c r="H45" s="98" t="str">
        <f>IF(Grupo="B"," Disjuntor Individual Atual:",IF(OR(TipoSE="Nº 1",TipoSE="Nº 5",TipoSE="Nº 8"),"Disjuntor de Baixa Tensão:"," Relé de Proteção Secundária"))</f>
        <v xml:space="preserve"> Relé de Proteção Secundária</v>
      </c>
      <c r="I45" s="99"/>
      <c r="J45" s="99"/>
      <c r="K45" s="99"/>
      <c r="L45" s="99"/>
      <c r="M45" s="99"/>
      <c r="N45" s="99"/>
      <c r="O45" s="99"/>
      <c r="P45" s="99"/>
      <c r="Q45" s="99"/>
      <c r="R45" s="99"/>
      <c r="S45" s="99"/>
      <c r="T45" s="99"/>
      <c r="U45" s="28"/>
      <c r="V45" s="28"/>
      <c r="W45" s="28"/>
      <c r="X45" s="28"/>
      <c r="Y45" s="28"/>
      <c r="Z45" s="28"/>
      <c r="AB45" s="91"/>
      <c r="AC45" s="92"/>
      <c r="AD45" s="92"/>
      <c r="AE45" s="92"/>
      <c r="AF45" s="93"/>
      <c r="AH45" s="91"/>
      <c r="AI45" s="92"/>
      <c r="AJ45" s="93"/>
      <c r="AK45" s="17" t="s">
        <v>28</v>
      </c>
      <c r="AO45" s="127" t="s">
        <v>352</v>
      </c>
      <c r="AP45" s="128"/>
      <c r="AQ45" s="128"/>
      <c r="AR45" s="128"/>
      <c r="AS45" s="128"/>
      <c r="AT45" s="128"/>
      <c r="AU45" s="128"/>
      <c r="AV45" s="129"/>
      <c r="AW45" s="8"/>
    </row>
    <row r="46" spans="1:49" ht="4.5" customHeight="1" thickBot="1" x14ac:dyDescent="0.35">
      <c r="B46" s="143"/>
      <c r="C46" s="144"/>
      <c r="D46" s="144"/>
      <c r="E46" s="144"/>
      <c r="F46" s="144"/>
      <c r="G46" s="145"/>
      <c r="H46" s="28"/>
      <c r="I46" s="28"/>
      <c r="J46" s="28"/>
      <c r="K46" s="28"/>
      <c r="L46" s="28"/>
      <c r="M46" s="28"/>
      <c r="N46" s="28"/>
      <c r="O46" s="28"/>
      <c r="P46" s="28"/>
      <c r="Q46" s="28"/>
      <c r="R46" s="28"/>
      <c r="S46" s="28"/>
      <c r="T46" s="28"/>
      <c r="U46" s="28"/>
      <c r="V46" s="28"/>
      <c r="W46" s="28"/>
      <c r="X46" s="28"/>
      <c r="Y46" s="28"/>
      <c r="Z46" s="28"/>
      <c r="AO46" s="130"/>
      <c r="AP46" s="131"/>
      <c r="AQ46" s="131"/>
      <c r="AR46" s="131"/>
      <c r="AS46" s="131"/>
      <c r="AT46" s="131"/>
      <c r="AU46" s="131"/>
      <c r="AV46" s="132"/>
      <c r="AW46" s="8"/>
    </row>
    <row r="47" spans="1:49" x14ac:dyDescent="0.3">
      <c r="B47" s="143"/>
      <c r="C47" s="144"/>
      <c r="D47" s="144"/>
      <c r="E47" s="144"/>
      <c r="F47" s="144"/>
      <c r="G47" s="145"/>
      <c r="H47" s="98" t="str">
        <f>IF(Grupo="A","",IF(OR(MAX(Dados!D4:D7)=1,MAX(Dados!D4:D7)=3)," Disjuntor Individual Solicitado para Alteração de Carga:",IF(AND(OR(MAX(Dados!D4:D7)=2,MAX(Dados!D4:D7)=4),MAX(Dados!D13:D17)&gt;1)," Disjuntor Geral do Padrão (Conforme ND 5.2):","")))</f>
        <v/>
      </c>
      <c r="I47" s="99"/>
      <c r="J47" s="99"/>
      <c r="K47" s="99"/>
      <c r="L47" s="99"/>
      <c r="M47" s="99"/>
      <c r="N47" s="99"/>
      <c r="O47" s="99"/>
      <c r="P47" s="99"/>
      <c r="Q47" s="99"/>
      <c r="R47" s="99"/>
      <c r="S47" s="99"/>
      <c r="T47" s="99"/>
      <c r="U47" s="99"/>
      <c r="V47" s="99"/>
      <c r="W47" s="99"/>
      <c r="X47" s="99"/>
      <c r="Y47" s="99"/>
      <c r="Z47" s="99"/>
      <c r="AB47" s="119"/>
      <c r="AC47" s="120"/>
      <c r="AD47" s="120"/>
      <c r="AE47" s="120"/>
      <c r="AF47" s="121"/>
      <c r="AH47" s="91"/>
      <c r="AI47" s="92"/>
      <c r="AJ47" s="93"/>
      <c r="AK47" s="17" t="str">
        <f>IF(H47="","","A")</f>
        <v/>
      </c>
      <c r="AO47" s="133"/>
      <c r="AP47" s="134"/>
      <c r="AQ47" s="134"/>
      <c r="AR47" s="134"/>
      <c r="AS47" s="134"/>
      <c r="AT47" s="134"/>
      <c r="AU47" s="134"/>
      <c r="AV47" s="135"/>
      <c r="AW47" s="8"/>
    </row>
    <row r="48" spans="1:49" ht="3" customHeight="1" thickBot="1" x14ac:dyDescent="0.35">
      <c r="B48" s="143"/>
      <c r="C48" s="144"/>
      <c r="D48" s="144"/>
      <c r="E48" s="144"/>
      <c r="F48" s="144"/>
      <c r="G48" s="145"/>
      <c r="H48" s="28"/>
      <c r="I48" s="28"/>
      <c r="J48" s="28"/>
      <c r="K48" s="28"/>
      <c r="L48" s="28"/>
      <c r="M48" s="28"/>
      <c r="N48" s="28"/>
      <c r="O48" s="28"/>
      <c r="P48" s="28"/>
      <c r="Q48" s="28"/>
      <c r="R48" s="28"/>
      <c r="S48" s="28"/>
      <c r="T48" s="28"/>
      <c r="U48" s="28"/>
      <c r="V48" s="28"/>
      <c r="W48" s="28"/>
      <c r="X48" s="28"/>
      <c r="Y48" s="28"/>
      <c r="Z48" s="28"/>
      <c r="AW48" s="8"/>
    </row>
    <row r="49" spans="1:49" ht="17.25" customHeight="1" x14ac:dyDescent="0.3">
      <c r="B49" s="143"/>
      <c r="C49" s="144"/>
      <c r="D49" s="144"/>
      <c r="E49" s="144"/>
      <c r="F49" s="144"/>
      <c r="G49" s="145"/>
      <c r="H49" s="98" t="str">
        <f>IF(Grupo="A","",IF(AND(OR(MAX(Dados!D4:D7)=1,MAX(Dados!D4:D7)=3),MAX(Dados!D13:D17)&gt;1)," Disjuntor Geral do Padrão (Conforme ND 5.2):",""))</f>
        <v/>
      </c>
      <c r="I49" s="99"/>
      <c r="J49" s="99"/>
      <c r="K49" s="99"/>
      <c r="L49" s="99"/>
      <c r="M49" s="99"/>
      <c r="N49" s="99"/>
      <c r="O49" s="99"/>
      <c r="P49" s="99"/>
      <c r="Q49" s="99"/>
      <c r="R49" s="99"/>
      <c r="S49" s="99"/>
      <c r="T49" s="99"/>
      <c r="U49" s="99"/>
      <c r="V49" s="99"/>
      <c r="W49" s="99"/>
      <c r="X49" s="99"/>
      <c r="Y49" s="99"/>
      <c r="Z49" s="99"/>
      <c r="AB49" s="100"/>
      <c r="AC49" s="101"/>
      <c r="AD49" s="101"/>
      <c r="AE49" s="101"/>
      <c r="AF49" s="102"/>
      <c r="AH49" s="100"/>
      <c r="AI49" s="101"/>
      <c r="AJ49" s="102"/>
      <c r="AK49" s="17" t="str">
        <f>IF(H49="","","A")</f>
        <v/>
      </c>
      <c r="AM49" s="17" t="s">
        <v>222</v>
      </c>
      <c r="AT49" s="165"/>
      <c r="AU49" s="166"/>
      <c r="AV49" s="167"/>
      <c r="AW49" s="84"/>
    </row>
    <row r="50" spans="1:49" ht="3" customHeight="1" x14ac:dyDescent="0.3">
      <c r="B50" s="10"/>
      <c r="AW50" s="8"/>
    </row>
    <row r="51" spans="1:49" ht="3" customHeight="1" thickBot="1" x14ac:dyDescent="0.35">
      <c r="B51" s="10"/>
      <c r="AW51" s="8"/>
    </row>
    <row r="52" spans="1:49" x14ac:dyDescent="0.3">
      <c r="B52" s="10" t="s">
        <v>13</v>
      </c>
      <c r="L52" s="94"/>
      <c r="M52" s="113"/>
      <c r="N52" s="113"/>
      <c r="O52" s="113"/>
      <c r="S52" t="s">
        <v>14</v>
      </c>
      <c r="X52" s="94"/>
      <c r="Y52" s="113"/>
      <c r="Z52" s="113"/>
      <c r="AA52" s="113"/>
      <c r="AB52" s="95"/>
      <c r="AE52" s="114" t="str">
        <f>IF(AND(OR(AH45&gt;=300,AH47&gt;=300,AH49&gt;=300),Ramal="Aéreo")," &lt;-- Atenção! Altere o tipo de ramal","")</f>
        <v/>
      </c>
      <c r="AF52" s="114"/>
      <c r="AG52" s="114"/>
      <c r="AH52" s="114"/>
      <c r="AI52" s="114"/>
      <c r="AJ52" s="114"/>
      <c r="AK52" s="114"/>
      <c r="AL52" s="114"/>
      <c r="AM52" s="114"/>
      <c r="AN52" s="114"/>
      <c r="AO52" s="114"/>
      <c r="AP52" s="114"/>
      <c r="AQ52" s="114"/>
      <c r="AR52" s="114"/>
      <c r="AS52" s="114"/>
      <c r="AT52" s="114"/>
      <c r="AW52" s="8"/>
    </row>
    <row r="53" spans="1:49" ht="3" customHeight="1" thickBot="1" x14ac:dyDescent="0.35">
      <c r="B53" s="10"/>
      <c r="X53" s="16"/>
      <c r="Y53" s="16"/>
      <c r="Z53" s="16"/>
      <c r="AA53" s="16"/>
      <c r="AB53" s="16"/>
      <c r="AW53" s="8"/>
    </row>
    <row r="54" spans="1:49" x14ac:dyDescent="0.3">
      <c r="A54" s="8"/>
      <c r="B54" s="29" t="str">
        <f>IF(MAX(Dados!D4:D7)&lt;4,"Haverá Mudança de Local do Padrão de Entrada:","")</f>
        <v>Haverá Mudança de Local do Padrão de Entrada:</v>
      </c>
      <c r="C54" s="28"/>
      <c r="D54" s="28"/>
      <c r="E54" s="28"/>
      <c r="F54" s="28"/>
      <c r="G54" s="28"/>
      <c r="H54" s="28"/>
      <c r="I54" s="28"/>
      <c r="J54" s="28"/>
      <c r="K54" s="28"/>
      <c r="L54" s="28"/>
      <c r="M54" s="28"/>
      <c r="N54" s="28"/>
      <c r="O54" s="28"/>
      <c r="P54" s="28"/>
      <c r="R54" s="94"/>
      <c r="S54" s="95"/>
      <c r="U54" s="96" t="str">
        <f>IF(AND(TipoSE="Nº 1",R54="Sim"),"&lt;-- Para SE Nº 1 não pode haver mudança de local do Padrão de Entrada. Altere...","")</f>
        <v/>
      </c>
      <c r="V54" s="96"/>
      <c r="W54" s="96"/>
      <c r="X54" s="96"/>
      <c r="Y54" s="96"/>
      <c r="Z54" s="96"/>
      <c r="AA54" s="96"/>
      <c r="AB54" s="96"/>
      <c r="AC54" s="96"/>
      <c r="AD54" s="96"/>
      <c r="AE54" s="96"/>
      <c r="AF54" s="96"/>
      <c r="AG54" s="96"/>
      <c r="AH54" s="96"/>
      <c r="AI54" s="96"/>
      <c r="AJ54" s="96"/>
      <c r="AK54" s="96"/>
      <c r="AL54" s="96"/>
      <c r="AM54" s="96"/>
      <c r="AN54" s="96"/>
      <c r="AO54" s="96"/>
      <c r="AP54" s="96"/>
      <c r="AQ54" s="96"/>
      <c r="AR54" s="96"/>
      <c r="AS54" s="96"/>
      <c r="AT54" s="96"/>
      <c r="AU54" s="96"/>
      <c r="AV54" s="97"/>
      <c r="AW54" s="8"/>
    </row>
    <row r="55" spans="1:49" ht="3" customHeight="1" x14ac:dyDescent="0.3">
      <c r="B55" s="10"/>
      <c r="AW55" s="8"/>
    </row>
    <row r="56" spans="1:49" ht="3" customHeight="1" x14ac:dyDescent="0.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row>
    <row r="57" spans="1:49" ht="15" customHeight="1" x14ac:dyDescent="0.3">
      <c r="B57" s="103" t="s">
        <v>282</v>
      </c>
      <c r="C57" s="104"/>
      <c r="D57" s="104"/>
      <c r="E57" s="104"/>
      <c r="F57" s="104"/>
      <c r="G57" s="104"/>
      <c r="H57" s="104"/>
      <c r="I57" s="104"/>
      <c r="J57" s="104"/>
      <c r="K57" s="104"/>
      <c r="L57" s="104"/>
      <c r="M57" s="104"/>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5"/>
    </row>
    <row r="58" spans="1:49" ht="3" customHeight="1" x14ac:dyDescent="0.3">
      <c r="B58" s="13"/>
      <c r="C58" s="14"/>
      <c r="D58" s="14"/>
      <c r="E58" s="76"/>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5"/>
    </row>
    <row r="59" spans="1:49" ht="15" customHeight="1" x14ac:dyDescent="0.3">
      <c r="B59" s="109" t="s">
        <v>284</v>
      </c>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47"/>
      <c r="AW59" s="48"/>
    </row>
    <row r="60" spans="1:49" ht="3" customHeight="1" x14ac:dyDescent="0.3">
      <c r="B60" s="46"/>
      <c r="C60" s="47"/>
      <c r="D60" s="47"/>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8"/>
    </row>
    <row r="61" spans="1:49" ht="30" customHeight="1" x14ac:dyDescent="0.3">
      <c r="B61" s="109" t="s">
        <v>285</v>
      </c>
      <c r="C61" s="110"/>
      <c r="D61" s="110"/>
      <c r="E61" s="110"/>
      <c r="F61" s="110"/>
      <c r="G61" s="110"/>
      <c r="H61" s="110"/>
      <c r="I61" s="110"/>
      <c r="J61" s="110"/>
      <c r="K61" s="110"/>
      <c r="L61" s="110"/>
      <c r="M61" s="110"/>
      <c r="N61" s="110"/>
      <c r="O61" s="110"/>
      <c r="P61" s="110"/>
      <c r="Q61" s="110"/>
      <c r="R61" s="110"/>
      <c r="S61" s="110"/>
      <c r="T61" s="110"/>
      <c r="U61" s="110"/>
      <c r="V61" s="110"/>
      <c r="W61" s="110"/>
      <c r="X61" s="110"/>
      <c r="Y61" s="110"/>
      <c r="Z61" s="110"/>
      <c r="AA61" s="110"/>
      <c r="AB61" s="110"/>
      <c r="AC61" s="110"/>
      <c r="AD61" s="110"/>
      <c r="AE61" s="110"/>
      <c r="AF61" s="110"/>
      <c r="AG61" s="110"/>
      <c r="AH61" s="110"/>
      <c r="AI61" s="110"/>
      <c r="AJ61" s="110"/>
      <c r="AK61" s="110"/>
      <c r="AL61" s="110"/>
      <c r="AM61" s="110"/>
      <c r="AN61" s="110"/>
      <c r="AO61" s="110"/>
      <c r="AP61" s="110"/>
      <c r="AQ61" s="110"/>
      <c r="AR61" s="110"/>
      <c r="AS61" s="110"/>
      <c r="AT61" s="110"/>
      <c r="AU61" s="110"/>
      <c r="AV61" s="110"/>
      <c r="AW61" s="48"/>
    </row>
    <row r="62" spans="1:49" ht="3" customHeight="1" x14ac:dyDescent="0.3">
      <c r="B62" s="46"/>
      <c r="C62" s="47"/>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8"/>
    </row>
    <row r="63" spans="1:49" ht="15" customHeight="1" x14ac:dyDescent="0.3">
      <c r="B63" s="46" t="s">
        <v>286</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c r="AW63" s="48"/>
    </row>
    <row r="64" spans="1:49" ht="3" customHeight="1" x14ac:dyDescent="0.3">
      <c r="B64" s="46"/>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c r="AU64" s="50"/>
      <c r="AV64" s="50"/>
      <c r="AW64" s="48"/>
    </row>
    <row r="65" spans="2:49" ht="15" customHeight="1" x14ac:dyDescent="0.3">
      <c r="B65" s="46" t="s">
        <v>287</v>
      </c>
      <c r="C65" s="47"/>
      <c r="D65" s="47"/>
      <c r="E65" s="47"/>
      <c r="F65" s="47"/>
      <c r="G65" s="47"/>
      <c r="H65" s="47"/>
      <c r="I65" s="47"/>
      <c r="J65" s="47"/>
      <c r="K65" s="47"/>
      <c r="L65" s="47"/>
      <c r="M65" s="47"/>
      <c r="N65" s="47"/>
      <c r="O65" s="47"/>
      <c r="P65" s="47"/>
      <c r="Q65" s="47"/>
      <c r="R65" s="47"/>
      <c r="S65" s="47"/>
      <c r="T65" s="47"/>
      <c r="U65" s="47"/>
      <c r="V65" s="47"/>
      <c r="W65" s="47"/>
      <c r="X65" s="47"/>
      <c r="Y65" s="47"/>
      <c r="Z65" s="47"/>
      <c r="AA65" s="47"/>
      <c r="AB65" s="47"/>
      <c r="AC65" s="47"/>
      <c r="AD65" s="47"/>
      <c r="AE65" s="47"/>
      <c r="AF65" s="47"/>
      <c r="AG65" s="47"/>
      <c r="AH65" s="47"/>
      <c r="AI65" s="47"/>
      <c r="AJ65" s="47"/>
      <c r="AK65" s="47"/>
      <c r="AL65" s="47"/>
      <c r="AM65" s="47"/>
      <c r="AN65" s="47"/>
      <c r="AO65" s="47"/>
      <c r="AP65" s="47"/>
      <c r="AQ65" s="47"/>
      <c r="AR65" s="47"/>
      <c r="AS65" s="47"/>
      <c r="AT65" s="47"/>
      <c r="AU65" s="47"/>
      <c r="AV65" s="47"/>
      <c r="AW65" s="48"/>
    </row>
    <row r="66" spans="2:49" ht="3" customHeight="1" x14ac:dyDescent="0.3">
      <c r="B66" s="10"/>
      <c r="AW66" s="8"/>
    </row>
    <row r="67" spans="2:49" ht="48" customHeight="1" x14ac:dyDescent="0.3">
      <c r="B67" s="111" t="s">
        <v>288</v>
      </c>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8"/>
    </row>
    <row r="68" spans="2:49" ht="3" customHeight="1" x14ac:dyDescent="0.3">
      <c r="B68" s="78"/>
      <c r="C68" s="53"/>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8"/>
    </row>
    <row r="69" spans="2:49" ht="30.75" customHeight="1" x14ac:dyDescent="0.3">
      <c r="B69" s="111" t="s">
        <v>310</v>
      </c>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8"/>
    </row>
    <row r="70" spans="2:49" ht="3" customHeight="1" x14ac:dyDescent="0.3">
      <c r="B70" s="77"/>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8"/>
    </row>
    <row r="71" spans="2:49" ht="30.75" customHeight="1" x14ac:dyDescent="0.3">
      <c r="B71" s="111" t="s">
        <v>311</v>
      </c>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8"/>
    </row>
    <row r="72" spans="2:49" ht="3" customHeight="1" x14ac:dyDescent="0.3">
      <c r="B72" s="77"/>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8"/>
    </row>
    <row r="73" spans="2:49" ht="30.75" customHeight="1" x14ac:dyDescent="0.3">
      <c r="B73" s="111" t="s">
        <v>312</v>
      </c>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8"/>
    </row>
    <row r="74" spans="2:49" ht="3" customHeight="1" x14ac:dyDescent="0.3">
      <c r="B74" s="77"/>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8"/>
    </row>
    <row r="75" spans="2:49" ht="30.75" customHeight="1" x14ac:dyDescent="0.3">
      <c r="B75" s="111" t="s">
        <v>313</v>
      </c>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8"/>
    </row>
    <row r="76" spans="2:49" ht="3" customHeight="1" x14ac:dyDescent="0.3">
      <c r="B76" s="79"/>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12"/>
    </row>
    <row r="77" spans="2:49" ht="3" customHeight="1" x14ac:dyDescent="0.3">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row>
    <row r="78" spans="2:49" x14ac:dyDescent="0.3">
      <c r="B78" s="115" t="s">
        <v>301</v>
      </c>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c r="AC78" s="116"/>
      <c r="AD78" s="116"/>
      <c r="AE78" s="116"/>
      <c r="AF78" s="116"/>
      <c r="AG78" s="116"/>
      <c r="AH78" s="116"/>
      <c r="AI78" s="116"/>
      <c r="AJ78" s="116"/>
      <c r="AK78" s="116"/>
      <c r="AL78" s="116"/>
      <c r="AM78" s="116"/>
      <c r="AN78" s="116"/>
      <c r="AO78" s="116"/>
      <c r="AP78" s="116"/>
      <c r="AQ78" s="116"/>
      <c r="AR78" s="116"/>
      <c r="AS78" s="116"/>
      <c r="AT78" s="116"/>
      <c r="AU78" s="116"/>
      <c r="AV78" s="116"/>
      <c r="AW78" s="34"/>
    </row>
    <row r="79" spans="2:49" ht="3" customHeight="1" thickBot="1" x14ac:dyDescent="0.35">
      <c r="B79" s="13"/>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5"/>
    </row>
    <row r="80" spans="2:49" ht="15" thickBot="1" x14ac:dyDescent="0.35">
      <c r="B80" s="10" t="s">
        <v>289</v>
      </c>
      <c r="L80" s="181" t="s">
        <v>349</v>
      </c>
      <c r="M80" s="182"/>
      <c r="N80" s="182"/>
      <c r="O80" s="182"/>
      <c r="P80" s="182"/>
      <c r="Q80" s="182"/>
      <c r="R80" s="182"/>
      <c r="S80" s="183"/>
      <c r="T80" s="184"/>
      <c r="U80" s="184"/>
      <c r="V80" s="184"/>
      <c r="W80" s="184"/>
      <c r="X80" s="184"/>
      <c r="Y80" s="184"/>
      <c r="Z80" s="185"/>
      <c r="AA80" t="s">
        <v>40</v>
      </c>
      <c r="AT80" s="117" t="str">
        <f>IF(OR(TipoFonte="Hidráulica",TipoFonte="Eólica"),P94,IF(AND(TipoFonte&lt;&gt;"Eólica",P92+P94=0),"",MIN(P92,P94)))</f>
        <v/>
      </c>
      <c r="AU80" s="118"/>
      <c r="AV80" s="118"/>
      <c r="AW80" s="8"/>
    </row>
    <row r="81" spans="2:49" ht="3" customHeight="1" thickBot="1" x14ac:dyDescent="0.35">
      <c r="B81" s="10"/>
      <c r="AW81" s="8"/>
    </row>
    <row r="82" spans="2:49" x14ac:dyDescent="0.3">
      <c r="B82" s="10" t="s">
        <v>295</v>
      </c>
      <c r="H82" s="106" t="s">
        <v>292</v>
      </c>
      <c r="I82" s="107"/>
      <c r="J82" s="107"/>
      <c r="K82" s="107"/>
      <c r="L82" s="107"/>
      <c r="M82" s="107"/>
      <c r="N82" s="107"/>
      <c r="O82" s="107"/>
      <c r="P82" s="107"/>
      <c r="Q82" s="107"/>
      <c r="R82" s="107"/>
      <c r="S82" s="107"/>
      <c r="T82" s="107"/>
      <c r="U82" s="107"/>
      <c r="V82" s="107"/>
      <c r="W82" s="107"/>
      <c r="X82" s="107"/>
      <c r="Y82" s="107"/>
      <c r="Z82" s="108"/>
      <c r="AB82" s="106"/>
      <c r="AC82" s="107"/>
      <c r="AD82" s="107"/>
      <c r="AE82" s="107"/>
      <c r="AF82" s="107"/>
      <c r="AG82" s="107"/>
      <c r="AH82" s="107"/>
      <c r="AI82" s="107"/>
      <c r="AJ82" s="107"/>
      <c r="AK82" s="107"/>
      <c r="AL82" s="107"/>
      <c r="AM82" s="107"/>
      <c r="AN82" s="107"/>
      <c r="AO82" s="107"/>
      <c r="AP82" s="107"/>
      <c r="AQ82" s="107"/>
      <c r="AR82" s="107"/>
      <c r="AS82" s="107"/>
      <c r="AT82" s="108"/>
      <c r="AW82" s="8"/>
    </row>
    <row r="83" spans="2:49" ht="3" customHeight="1" thickBot="1" x14ac:dyDescent="0.35">
      <c r="B83" s="10"/>
      <c r="AW83" s="8"/>
    </row>
    <row r="84" spans="2:49" x14ac:dyDescent="0.3">
      <c r="B84" s="10" t="s">
        <v>15</v>
      </c>
      <c r="L84" s="106"/>
      <c r="M84" s="107"/>
      <c r="N84" s="107"/>
      <c r="O84" s="107"/>
      <c r="P84" s="107"/>
      <c r="Q84" s="107"/>
      <c r="R84" s="107"/>
      <c r="S84" s="107"/>
      <c r="T84" s="107"/>
      <c r="U84" s="107"/>
      <c r="V84" s="107"/>
      <c r="W84" s="107"/>
      <c r="X84" s="107"/>
      <c r="Y84" s="107"/>
      <c r="Z84" s="107"/>
      <c r="AA84" s="107"/>
      <c r="AB84" s="107"/>
      <c r="AC84" s="107"/>
      <c r="AD84" s="108"/>
      <c r="AE84" s="221" t="s">
        <v>69</v>
      </c>
      <c r="AF84" s="136"/>
      <c r="AG84" s="136"/>
      <c r="AH84" s="136"/>
      <c r="AI84" s="136"/>
      <c r="AJ84" s="136"/>
      <c r="AK84" s="136"/>
      <c r="AL84" s="136"/>
      <c r="AM84" s="136"/>
      <c r="AN84" s="136"/>
      <c r="AO84" s="136"/>
      <c r="AP84" s="136"/>
      <c r="AQ84" s="136"/>
      <c r="AR84" s="164"/>
      <c r="AS84" s="94"/>
      <c r="AT84" s="113"/>
      <c r="AU84" s="113"/>
      <c r="AV84" s="95"/>
      <c r="AW84" s="8"/>
    </row>
    <row r="85" spans="2:49" ht="3" customHeight="1" x14ac:dyDescent="0.3">
      <c r="B85" s="1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2"/>
    </row>
    <row r="86" spans="2:49" ht="3" customHeight="1" x14ac:dyDescent="0.3">
      <c r="B86" s="206"/>
      <c r="C86" s="207"/>
      <c r="D86" s="207"/>
      <c r="E86" s="207"/>
      <c r="F86" s="207"/>
      <c r="G86" s="207"/>
      <c r="H86" s="207"/>
      <c r="I86" s="207"/>
      <c r="J86" s="207"/>
      <c r="K86" s="207"/>
      <c r="L86" s="207"/>
      <c r="M86" s="207"/>
      <c r="N86" s="207"/>
      <c r="O86" s="207"/>
      <c r="P86" s="207"/>
      <c r="Q86" s="207"/>
      <c r="R86" s="207"/>
      <c r="S86" s="207"/>
      <c r="T86" s="207"/>
      <c r="U86" s="207"/>
      <c r="V86" s="207"/>
      <c r="W86" s="207"/>
      <c r="X86" s="207"/>
      <c r="Y86" s="207"/>
      <c r="Z86" s="207"/>
      <c r="AA86" s="207"/>
      <c r="AB86" s="207"/>
      <c r="AC86" s="207"/>
      <c r="AD86" s="207"/>
      <c r="AE86" s="207"/>
      <c r="AF86" s="207"/>
      <c r="AG86" s="207"/>
      <c r="AH86" s="207"/>
      <c r="AI86" s="207"/>
      <c r="AJ86" s="207"/>
      <c r="AK86" s="207"/>
      <c r="AL86" s="207"/>
      <c r="AM86" s="207"/>
      <c r="AN86" s="207"/>
      <c r="AO86" s="207"/>
      <c r="AP86" s="207"/>
      <c r="AQ86" s="207"/>
      <c r="AR86" s="207"/>
      <c r="AS86" s="207"/>
      <c r="AT86" s="207"/>
      <c r="AU86" s="207"/>
      <c r="AV86" s="207"/>
      <c r="AW86" s="208"/>
    </row>
    <row r="87" spans="2:49" ht="30.75" customHeight="1" x14ac:dyDescent="0.3">
      <c r="B87" s="186" t="str">
        <f>IF(TipoFonte="Solar","Preencher o quadro abaixo para projeto de CENTRAL GERADORA FOTOVOLTAICA.",IF(TipoFonte="Hidráulica","Preencher o quadro abaixo para projeto de CENTRAL GERADORA HIDRELÉTRICA - CGH. Preencher também a seção de Segurança das Barragens conforme a Lei 12.334/2010",IF(OR(TipoFonte="Cogeração Qualificada",TipoFonte="Biomassa")," Preencher o quadro abaixo para projeto de CENTRAL GERADORA TÉRMICA.",IF(TipoFonte="Eólica"," Preencher o quadro abaixo para projeto de CENTRAL GERADORA EÓLICA.",""))))</f>
        <v>Preencher o quadro abaixo para projeto de CENTRAL GERADORA FOTOVOLTAICA.</v>
      </c>
      <c r="C87" s="187"/>
      <c r="D87" s="187"/>
      <c r="E87" s="187"/>
      <c r="F87" s="187"/>
      <c r="G87" s="187"/>
      <c r="H87" s="187"/>
      <c r="I87" s="187"/>
      <c r="J87" s="187"/>
      <c r="K87" s="187"/>
      <c r="L87" s="187"/>
      <c r="M87" s="187"/>
      <c r="N87" s="187"/>
      <c r="O87" s="187"/>
      <c r="P87" s="187"/>
      <c r="Q87" s="187"/>
      <c r="R87" s="187"/>
      <c r="S87" s="187"/>
      <c r="T87" s="187"/>
      <c r="U87" s="187"/>
      <c r="V87" s="187"/>
      <c r="W87" s="187"/>
      <c r="X87" s="187"/>
      <c r="Y87" s="187"/>
      <c r="Z87" s="187"/>
      <c r="AA87" s="187"/>
      <c r="AB87" s="187"/>
      <c r="AC87" s="187"/>
      <c r="AD87" s="187"/>
      <c r="AE87" s="187"/>
      <c r="AF87" s="187"/>
      <c r="AG87" s="187"/>
      <c r="AH87" s="187"/>
      <c r="AI87" s="187"/>
      <c r="AJ87" s="187"/>
      <c r="AK87" s="187"/>
      <c r="AL87" s="187"/>
      <c r="AM87" s="187"/>
      <c r="AN87" s="187"/>
      <c r="AO87" s="187"/>
      <c r="AP87" s="187"/>
      <c r="AQ87" s="187"/>
      <c r="AR87" s="187"/>
      <c r="AS87" s="187"/>
      <c r="AT87" s="187"/>
      <c r="AU87" s="187"/>
      <c r="AV87" s="187"/>
      <c r="AW87" s="8"/>
    </row>
    <row r="88" spans="2:49" ht="3" customHeight="1" x14ac:dyDescent="0.3">
      <c r="B88" s="37"/>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8"/>
      <c r="AQ88" s="38"/>
      <c r="AR88" s="38"/>
      <c r="AS88" s="38"/>
      <c r="AT88" s="38"/>
      <c r="AU88" s="38"/>
      <c r="AV88" s="38"/>
      <c r="AW88" s="8"/>
    </row>
    <row r="89" spans="2:49" ht="3" customHeight="1" x14ac:dyDescent="0.3">
      <c r="B89" s="10"/>
      <c r="AW89" s="8"/>
    </row>
    <row r="90" spans="2:49" ht="15" customHeight="1" x14ac:dyDescent="0.3">
      <c r="B90" s="10"/>
      <c r="C90" s="90" t="str">
        <f>IF(Dados!D6=3," Os dados abaixo deverão ser preenchidos considerando a condição final da usina (potência atual + potência acrescida)","")</f>
        <v/>
      </c>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c r="AH90" s="90"/>
      <c r="AI90" s="90"/>
      <c r="AJ90" s="90"/>
      <c r="AK90" s="90"/>
      <c r="AL90" s="90"/>
      <c r="AM90" s="90"/>
      <c r="AN90" s="90"/>
      <c r="AO90" s="90"/>
      <c r="AP90" s="90"/>
      <c r="AQ90" s="90"/>
      <c r="AR90" s="90"/>
      <c r="AS90" s="90"/>
      <c r="AT90" s="90"/>
      <c r="AU90" s="90"/>
      <c r="AW90" s="8"/>
    </row>
    <row r="91" spans="2:49" ht="6" customHeight="1" thickBot="1" x14ac:dyDescent="0.35">
      <c r="B91" s="10"/>
      <c r="AW91" s="8"/>
    </row>
    <row r="92" spans="2:49" ht="15" customHeight="1" x14ac:dyDescent="0.3">
      <c r="B92" s="10" t="str">
        <f>IF(TipoFonte="Solar","Potência Total Módulos (kW):",IF(OR(TipoFonte="Hidráulica",TipoFonte="Biomassa",TipoFonte="Cogeração Qualificada"),"Potência Aparente (kVA):",IF(TipoFonte="Eólica","Quantidade de Aerogeradores:","")))</f>
        <v>Potência Total Módulos (kW):</v>
      </c>
      <c r="P92" s="178"/>
      <c r="Q92" s="179"/>
      <c r="R92" s="179"/>
      <c r="S92" s="179"/>
      <c r="T92" s="179"/>
      <c r="U92" s="179"/>
      <c r="V92" s="180"/>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W92" s="8"/>
    </row>
    <row r="93" spans="2:49" ht="3.9" customHeight="1" thickBot="1" x14ac:dyDescent="0.35">
      <c r="B93" s="10"/>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W93" s="8"/>
    </row>
    <row r="94" spans="2:49" ht="15" customHeight="1" x14ac:dyDescent="0.3">
      <c r="B94" s="10" t="str">
        <f>IF(TipoFonte="Solar","Potência Total Inversores (kW):",IF(OR(TipoFonte="Hidráulica",TipoFonte="Biomassa",TipoFonte="Eólica",TipoFonte="Cogeração Qualificada"),"Potência Instalada (kW):",""))</f>
        <v>Potência Total Inversores (kW):</v>
      </c>
      <c r="P94" s="178"/>
      <c r="Q94" s="179"/>
      <c r="R94" s="179"/>
      <c r="S94" s="179"/>
      <c r="T94" s="179"/>
      <c r="U94" s="179"/>
      <c r="V94" s="180"/>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W94" s="8"/>
    </row>
    <row r="95" spans="2:49" ht="3.9" customHeight="1" thickBot="1" x14ac:dyDescent="0.35">
      <c r="B95" s="10"/>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W95" s="8"/>
    </row>
    <row r="96" spans="2:49" ht="15" customHeight="1" x14ac:dyDescent="0.3">
      <c r="B96" s="10" t="str">
        <f>IF(TipoFonte="Solar","Área dos Arranjos (m²):",IF(OR(TipoFonte="Hidráulica",TipoFonte="Biomassa",TipoFonte="Eólica",TipoFonte="Cogeração Qualificada"),"Fator de Potência:",""))</f>
        <v>Área dos Arranjos (m²):</v>
      </c>
      <c r="P96" s="178"/>
      <c r="Q96" s="179"/>
      <c r="R96" s="179"/>
      <c r="S96" s="179"/>
      <c r="T96" s="179"/>
      <c r="U96" s="179"/>
      <c r="V96" s="180"/>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W96" s="8"/>
    </row>
    <row r="97" spans="2:50" ht="3.9" customHeight="1" thickBot="1" x14ac:dyDescent="0.35">
      <c r="B97" s="10"/>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W97" s="8"/>
    </row>
    <row r="98" spans="2:50" ht="15" customHeight="1" x14ac:dyDescent="0.3">
      <c r="B98" s="10" t="str">
        <f>IF(TipoFonte="Solar","Quantidade de Módulos:",IF(TipoFonte="Hidráulica","Tensão (kV):",IF(OR(TipoFonte="Cogeração Qualificada",TipoFonte="Biomassa"),"Combustível:",IF(TipoFonte="Eólica","Fabricante dos Aerogeradores:",""))))</f>
        <v>Quantidade de Módulos:</v>
      </c>
      <c r="P98" s="178"/>
      <c r="Q98" s="179"/>
      <c r="R98" s="179"/>
      <c r="S98" s="179"/>
      <c r="T98" s="179"/>
      <c r="U98" s="179"/>
      <c r="V98" s="180"/>
      <c r="W98" s="17"/>
      <c r="X98" s="17"/>
      <c r="Y98" s="64"/>
      <c r="Z98" s="64"/>
      <c r="AA98" s="17"/>
      <c r="AB98" s="17"/>
      <c r="AC98" s="17"/>
      <c r="AD98" s="17"/>
      <c r="AE98" s="17"/>
      <c r="AF98" s="17"/>
      <c r="AG98" s="17"/>
      <c r="AH98" s="17"/>
      <c r="AI98" s="17"/>
      <c r="AJ98" s="17"/>
      <c r="AK98" s="17"/>
      <c r="AL98" s="17"/>
      <c r="AM98" s="17"/>
      <c r="AN98" s="17"/>
      <c r="AO98" s="17"/>
      <c r="AP98" s="17"/>
      <c r="AQ98" s="17"/>
      <c r="AR98" s="17"/>
      <c r="AS98" s="17"/>
      <c r="AT98" s="17"/>
      <c r="AU98" s="17"/>
      <c r="AW98" s="8"/>
    </row>
    <row r="99" spans="2:50" ht="3.9" customHeight="1" thickBot="1" x14ac:dyDescent="0.35">
      <c r="B99" s="10"/>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W99" s="8"/>
    </row>
    <row r="100" spans="2:50" ht="15" customHeight="1" x14ac:dyDescent="0.3">
      <c r="B100" s="10" t="str">
        <f>IF(TipoFonte="Solar","Modelo dos Módulos:",IF(OR(TipoFonte="Cogeração Qualificada",TipoFonte="Biomassa"),"Máquina Motriz (Motor/Turbina):",IF(TipoFonte="Eólica","Altura da pá (m):",IF(TipoFonte="Hidráulica","Nome do rio:",""))))</f>
        <v>Modelo dos Módulos:</v>
      </c>
      <c r="P100" s="176"/>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90"/>
      <c r="AW100" s="8"/>
    </row>
    <row r="101" spans="2:50" ht="3" customHeight="1" thickBot="1" x14ac:dyDescent="0.35">
      <c r="B101" s="10"/>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W101" s="8"/>
    </row>
    <row r="102" spans="2:50" ht="15" customHeight="1" x14ac:dyDescent="0.3">
      <c r="B102" s="10" t="str">
        <f>IF(TipoFonte="Solar","Fabricante dos Módulos:",IF(TipoFonte="Hidráulica","Nível Oper. Normal de Jusante (m):",IF(OR(TipoFonte="Cogeração Qualificada",TipoFonte="Biomassa"),"Ciclo Termodinâmico (Aberto/Fechado):",IF(TipoFonte="Eólica","Eixo do rotor:",""))))</f>
        <v>Fabricante dos Módulos:</v>
      </c>
      <c r="P102" s="176"/>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90"/>
      <c r="AW102" s="8"/>
      <c r="AX102" s="10"/>
    </row>
    <row r="103" spans="2:50" ht="3" customHeight="1" thickBot="1" x14ac:dyDescent="0.35">
      <c r="B103" s="10"/>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W103" s="8"/>
      <c r="AX103" s="10"/>
    </row>
    <row r="104" spans="2:50" x14ac:dyDescent="0.3">
      <c r="B104" s="10" t="str">
        <f>IF(TipoFonte="Solar","Quantidade de Inversores:",IF(OR(TipoFonte="Cogeração Qualificada",TipoFonte="Biomassa"),"Nº do Despacho de qualificação:",IF(TipoFonte="Eólica","Modelo dos Aerogeradores:",IF(TipoFonte="Hidráulica","Nível Opera. Normal de Montante (m):",""))))</f>
        <v>Quantidade de Inversores:</v>
      </c>
      <c r="P104" s="176"/>
      <c r="Q104" s="177"/>
      <c r="R104" s="177"/>
      <c r="S104" s="177"/>
      <c r="T104" s="177"/>
      <c r="U104" s="177"/>
      <c r="V104" s="17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W104" s="8"/>
      <c r="AX104" s="10"/>
    </row>
    <row r="105" spans="2:50" ht="3" customHeight="1" thickBot="1" x14ac:dyDescent="0.35">
      <c r="B105" s="10"/>
      <c r="P105" s="17"/>
      <c r="Q105" s="17"/>
      <c r="R105" s="17"/>
      <c r="S105" s="17"/>
      <c r="T105" s="17"/>
      <c r="U105" s="17"/>
      <c r="V105" s="17"/>
      <c r="W105" s="17"/>
      <c r="X105" s="17"/>
      <c r="Y105" s="64"/>
      <c r="Z105" s="64"/>
      <c r="AA105" s="17"/>
      <c r="AB105" s="17"/>
      <c r="AC105" s="17"/>
      <c r="AD105" s="17"/>
      <c r="AE105" s="17"/>
      <c r="AF105" s="17"/>
      <c r="AG105" s="17"/>
      <c r="AH105" s="17"/>
      <c r="AI105" s="17"/>
      <c r="AJ105" s="17"/>
      <c r="AK105" s="17"/>
      <c r="AL105" s="17"/>
      <c r="AM105" s="17"/>
      <c r="AN105" s="17"/>
      <c r="AO105" s="17"/>
      <c r="AP105" s="17"/>
      <c r="AQ105" s="17"/>
      <c r="AR105" s="17"/>
      <c r="AS105" s="17"/>
      <c r="AT105" s="17"/>
      <c r="AU105" s="17"/>
      <c r="AW105" s="8"/>
      <c r="AX105" s="10"/>
    </row>
    <row r="106" spans="2:50" x14ac:dyDescent="0.3">
      <c r="B106" s="10" t="str">
        <f>IF(TipoFonte="Solar","Modelo dos Inversores:",IF(TipoFonte="Hidráulica","Sub-bacia:",""))</f>
        <v>Modelo dos Inversores:</v>
      </c>
      <c r="P106" s="176"/>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90"/>
      <c r="AW106" s="8"/>
      <c r="AX106" s="10"/>
    </row>
    <row r="107" spans="2:50" ht="3" customHeight="1" thickBot="1" x14ac:dyDescent="0.35">
      <c r="B107" s="10"/>
      <c r="P107" s="17"/>
      <c r="Q107" s="17"/>
      <c r="R107" s="17"/>
      <c r="S107" s="17"/>
      <c r="T107" s="17"/>
      <c r="U107" s="17"/>
      <c r="V107" s="17"/>
      <c r="W107" s="17"/>
      <c r="X107" s="17"/>
      <c r="Y107" s="64"/>
      <c r="Z107" s="64"/>
      <c r="AA107" s="17"/>
      <c r="AB107" s="17"/>
      <c r="AC107" s="17"/>
      <c r="AD107" s="17"/>
      <c r="AE107" s="17"/>
      <c r="AF107" s="17"/>
      <c r="AG107" s="17"/>
      <c r="AH107" s="17"/>
      <c r="AI107" s="17"/>
      <c r="AJ107" s="17"/>
      <c r="AK107" s="17"/>
      <c r="AL107" s="17"/>
      <c r="AM107" s="17"/>
      <c r="AN107" s="17"/>
      <c r="AO107" s="17"/>
      <c r="AP107" s="17"/>
      <c r="AQ107" s="17"/>
      <c r="AR107" s="17"/>
      <c r="AS107" s="17"/>
      <c r="AT107" s="17"/>
      <c r="AU107" s="17"/>
      <c r="AW107" s="8"/>
      <c r="AX107" s="10"/>
    </row>
    <row r="108" spans="2:50" ht="15" customHeight="1" x14ac:dyDescent="0.3">
      <c r="B108" s="10" t="str">
        <f>IF(TipoFonte="Solar","Fabricante dos Inversores:","")</f>
        <v>Fabricante dos Inversores:</v>
      </c>
      <c r="D108" s="17"/>
      <c r="P108" s="176"/>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90"/>
      <c r="AW108" s="8"/>
      <c r="AX108" s="10"/>
    </row>
    <row r="109" spans="2:50" ht="3" customHeight="1" x14ac:dyDescent="0.3">
      <c r="B109" s="10"/>
      <c r="S109" s="64"/>
      <c r="T109" s="64"/>
      <c r="U109" s="64"/>
      <c r="V109" s="64"/>
      <c r="W109" s="64"/>
      <c r="X109" s="64"/>
      <c r="Y109" s="64"/>
      <c r="Z109" s="64"/>
      <c r="AW109" s="8"/>
    </row>
    <row r="110" spans="2:50" ht="3.9" customHeight="1" x14ac:dyDescent="0.3">
      <c r="B110" s="209"/>
      <c r="C110" s="210"/>
      <c r="D110" s="210"/>
      <c r="E110" s="210"/>
      <c r="F110" s="210"/>
      <c r="G110" s="210"/>
      <c r="H110" s="210"/>
      <c r="I110" s="210"/>
      <c r="J110" s="210"/>
      <c r="K110" s="210"/>
      <c r="L110" s="210"/>
      <c r="M110" s="210"/>
      <c r="N110" s="210"/>
      <c r="O110" s="210"/>
      <c r="P110" s="210"/>
      <c r="Q110" s="210"/>
      <c r="R110" s="210"/>
      <c r="S110" s="210"/>
      <c r="T110" s="210"/>
      <c r="U110" s="210"/>
      <c r="V110" s="210"/>
      <c r="W110" s="210"/>
      <c r="X110" s="210"/>
      <c r="Y110" s="210"/>
      <c r="Z110" s="210"/>
      <c r="AA110" s="210"/>
      <c r="AB110" s="210"/>
      <c r="AC110" s="210"/>
      <c r="AD110" s="210"/>
      <c r="AE110" s="210"/>
      <c r="AF110" s="210"/>
      <c r="AG110" s="210"/>
      <c r="AH110" s="210"/>
      <c r="AI110" s="210"/>
      <c r="AJ110" s="210"/>
      <c r="AK110" s="210"/>
      <c r="AL110" s="210"/>
      <c r="AM110" s="210"/>
      <c r="AN110" s="210"/>
      <c r="AO110" s="210"/>
      <c r="AP110" s="210"/>
      <c r="AQ110" s="210"/>
      <c r="AR110" s="210"/>
      <c r="AS110" s="210"/>
      <c r="AT110" s="210"/>
      <c r="AU110" s="210"/>
      <c r="AV110" s="210"/>
      <c r="AW110" s="211"/>
    </row>
    <row r="111" spans="2:50" ht="3.9" customHeight="1" x14ac:dyDescent="0.3">
      <c r="B111" s="206"/>
      <c r="C111" s="207"/>
      <c r="D111" s="207"/>
      <c r="E111" s="207"/>
      <c r="F111" s="207"/>
      <c r="G111" s="207"/>
      <c r="H111" s="207"/>
      <c r="I111" s="207"/>
      <c r="J111" s="207"/>
      <c r="K111" s="207"/>
      <c r="L111" s="207"/>
      <c r="M111" s="207"/>
      <c r="N111" s="207"/>
      <c r="O111" s="207"/>
      <c r="P111" s="207"/>
      <c r="Q111" s="207"/>
      <c r="R111" s="207"/>
      <c r="S111" s="207"/>
      <c r="T111" s="207"/>
      <c r="U111" s="207"/>
      <c r="V111" s="207"/>
      <c r="W111" s="207"/>
      <c r="X111" s="207"/>
      <c r="Y111" s="207"/>
      <c r="Z111" s="207"/>
      <c r="AA111" s="207"/>
      <c r="AB111" s="207"/>
      <c r="AC111" s="207"/>
      <c r="AD111" s="207"/>
      <c r="AE111" s="207"/>
      <c r="AF111" s="207"/>
      <c r="AG111" s="207"/>
      <c r="AH111" s="207"/>
      <c r="AI111" s="207"/>
      <c r="AJ111" s="207"/>
      <c r="AK111" s="207"/>
      <c r="AL111" s="207"/>
      <c r="AM111" s="207"/>
      <c r="AN111" s="207"/>
      <c r="AO111" s="207"/>
      <c r="AP111" s="207"/>
      <c r="AQ111" s="207"/>
      <c r="AR111" s="207"/>
      <c r="AS111" s="207"/>
      <c r="AT111" s="207"/>
      <c r="AU111" s="207"/>
      <c r="AV111" s="207"/>
      <c r="AW111" s="208"/>
    </row>
    <row r="112" spans="2:50" x14ac:dyDescent="0.3">
      <c r="B112" s="18" t="s">
        <v>16</v>
      </c>
      <c r="AW112" s="8"/>
    </row>
    <row r="113" spans="2:49" ht="3" customHeight="1" thickBot="1" x14ac:dyDescent="0.35">
      <c r="B113" s="10"/>
      <c r="AW113" s="8"/>
    </row>
    <row r="114" spans="2:49" x14ac:dyDescent="0.3">
      <c r="B114" s="10" t="s">
        <v>29</v>
      </c>
      <c r="K114" s="165"/>
      <c r="L114" s="166"/>
      <c r="M114" s="166"/>
      <c r="N114" s="166"/>
      <c r="O114" s="166"/>
      <c r="P114" s="166"/>
      <c r="Q114" s="166"/>
      <c r="R114" s="167"/>
      <c r="Y114" s="136" t="s">
        <v>31</v>
      </c>
      <c r="Z114" s="136"/>
      <c r="AA114" s="136"/>
      <c r="AB114" s="136"/>
      <c r="AC114" s="136"/>
      <c r="AD114" s="136"/>
      <c r="AE114" s="136"/>
      <c r="AF114" s="136"/>
      <c r="AG114" s="136"/>
      <c r="AH114" s="136"/>
      <c r="AI114" s="136"/>
      <c r="AJ114" s="136"/>
      <c r="AK114" s="164"/>
      <c r="AL114" s="165"/>
      <c r="AM114" s="166"/>
      <c r="AN114" s="166"/>
      <c r="AO114" s="166"/>
      <c r="AP114" s="166"/>
      <c r="AQ114" s="166"/>
      <c r="AR114" s="166"/>
      <c r="AS114" s="167"/>
      <c r="AW114" s="8"/>
    </row>
    <row r="115" spans="2:49" ht="3" customHeight="1" thickBot="1" x14ac:dyDescent="0.35">
      <c r="B115" s="10"/>
      <c r="AW115" s="8"/>
    </row>
    <row r="116" spans="2:49" x14ac:dyDescent="0.3">
      <c r="B116" s="10" t="s">
        <v>30</v>
      </c>
      <c r="H116" s="106"/>
      <c r="I116" s="107"/>
      <c r="J116" s="107"/>
      <c r="K116" s="107"/>
      <c r="L116" s="107"/>
      <c r="M116" s="107"/>
      <c r="N116" s="107"/>
      <c r="O116" s="107"/>
      <c r="P116" s="107"/>
      <c r="Q116" s="107"/>
      <c r="R116" s="108"/>
      <c r="Y116" t="s">
        <v>32</v>
      </c>
      <c r="AL116" s="94"/>
      <c r="AM116" s="95"/>
      <c r="AW116" s="8"/>
    </row>
    <row r="117" spans="2:49" ht="3" customHeight="1" thickBot="1" x14ac:dyDescent="0.35">
      <c r="B117" s="10"/>
      <c r="AW117" s="8"/>
    </row>
    <row r="118" spans="2:49" x14ac:dyDescent="0.3">
      <c r="B118" s="10" t="s">
        <v>33</v>
      </c>
      <c r="N118" s="106"/>
      <c r="O118" s="107"/>
      <c r="P118" s="107"/>
      <c r="Q118" s="107"/>
      <c r="R118" s="108"/>
      <c r="AW118" s="8"/>
    </row>
    <row r="119" spans="2:49" ht="3" customHeight="1" x14ac:dyDescent="0.3">
      <c r="B119" s="1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2"/>
    </row>
    <row r="120" spans="2:49" ht="3" customHeight="1" x14ac:dyDescent="0.3"/>
    <row r="121" spans="2:49" x14ac:dyDescent="0.3">
      <c r="B121" s="103" t="s">
        <v>302</v>
      </c>
      <c r="C121" s="104"/>
      <c r="D121" s="104"/>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c r="AA121" s="104"/>
      <c r="AB121" s="104"/>
      <c r="AC121" s="104"/>
      <c r="AD121" s="104"/>
      <c r="AE121" s="104"/>
      <c r="AF121" s="104"/>
      <c r="AG121" s="104"/>
      <c r="AH121" s="104"/>
      <c r="AI121" s="104"/>
      <c r="AJ121" s="104"/>
      <c r="AK121" s="104"/>
      <c r="AL121" s="104"/>
      <c r="AM121" s="104"/>
      <c r="AN121" s="104"/>
      <c r="AO121" s="104"/>
      <c r="AP121" s="104"/>
      <c r="AQ121" s="104"/>
      <c r="AR121" s="104"/>
      <c r="AS121" s="104"/>
      <c r="AT121" s="104"/>
      <c r="AU121" s="104"/>
      <c r="AV121" s="104"/>
      <c r="AW121" s="105"/>
    </row>
    <row r="122" spans="2:49" ht="3" customHeight="1" thickBot="1" x14ac:dyDescent="0.35">
      <c r="B122" s="10"/>
      <c r="AW122" s="8"/>
    </row>
    <row r="123" spans="2:49" x14ac:dyDescent="0.3">
      <c r="B123" s="10" t="s">
        <v>283</v>
      </c>
      <c r="R123" s="137" t="s">
        <v>229</v>
      </c>
      <c r="S123" s="138"/>
      <c r="T123" s="138"/>
      <c r="U123" s="138"/>
      <c r="V123" s="139"/>
      <c r="AW123" s="8"/>
    </row>
    <row r="124" spans="2:49" ht="3" customHeight="1" thickBot="1" x14ac:dyDescent="0.35">
      <c r="B124" s="10"/>
      <c r="AW124" s="8"/>
    </row>
    <row r="125" spans="2:49" x14ac:dyDescent="0.3">
      <c r="B125" s="10" t="str">
        <f>IF(R123="Sim","Sistema com possibilidade de operação ilhada:","")</f>
        <v/>
      </c>
      <c r="R125" s="137"/>
      <c r="S125" s="138"/>
      <c r="T125" s="138"/>
      <c r="U125" s="138"/>
      <c r="V125" s="139"/>
      <c r="AW125" s="8"/>
    </row>
    <row r="126" spans="2:49" ht="3" customHeight="1" thickBot="1" x14ac:dyDescent="0.35">
      <c r="B126" s="10"/>
      <c r="AW126" s="8"/>
    </row>
    <row r="127" spans="2:49" x14ac:dyDescent="0.3">
      <c r="B127" s="10"/>
      <c r="E127" t="str">
        <f>IF(R125="Sim","Chave de desconexão física:","")</f>
        <v/>
      </c>
      <c r="O127" s="137"/>
      <c r="P127" s="138"/>
      <c r="Q127" s="138"/>
      <c r="R127" s="138"/>
      <c r="S127" s="139"/>
      <c r="AB127" t="str">
        <f>IF(R125="Sim","Reconexão automática:","")</f>
        <v/>
      </c>
      <c r="AJ127" s="137"/>
      <c r="AK127" s="138"/>
      <c r="AL127" s="138"/>
      <c r="AM127" s="138"/>
      <c r="AN127" s="139"/>
      <c r="AW127" s="8"/>
    </row>
    <row r="128" spans="2:49" ht="3" customHeight="1" thickBot="1" x14ac:dyDescent="0.35">
      <c r="B128" s="10"/>
      <c r="AW128" s="8"/>
    </row>
    <row r="129" spans="2:49" x14ac:dyDescent="0.3">
      <c r="B129" s="10" t="str">
        <f>IF(R123="Sim","Capacidade do banco de baterias (kWh):","")</f>
        <v/>
      </c>
      <c r="P129" s="91"/>
      <c r="Q129" s="92"/>
      <c r="R129" s="92"/>
      <c r="S129" s="92"/>
      <c r="T129" s="92"/>
      <c r="U129" s="92"/>
      <c r="V129" s="92"/>
      <c r="W129" s="93"/>
      <c r="AW129" s="8"/>
    </row>
    <row r="130" spans="2:49" ht="3" customHeight="1" thickBot="1" x14ac:dyDescent="0.35">
      <c r="B130" s="10"/>
      <c r="AW130" s="8"/>
    </row>
    <row r="131" spans="2:49" x14ac:dyDescent="0.3">
      <c r="B131" s="10" t="str">
        <f>IF(R123="Sim","Potência total do banco de baterias (kW):","")</f>
        <v/>
      </c>
      <c r="P131" s="91"/>
      <c r="Q131" s="92"/>
      <c r="R131" s="92"/>
      <c r="S131" s="92"/>
      <c r="T131" s="92"/>
      <c r="U131" s="92"/>
      <c r="V131" s="92"/>
      <c r="W131" s="93"/>
      <c r="AW131" s="8"/>
    </row>
    <row r="132" spans="2:49" ht="3" customHeight="1" thickBot="1" x14ac:dyDescent="0.35">
      <c r="B132" s="10"/>
      <c r="AW132" s="8"/>
    </row>
    <row r="133" spans="2:49" x14ac:dyDescent="0.3">
      <c r="B133" s="10" t="str">
        <f>IF(R123="Sim","Capacidade nominal do banco de baterias (Ah):","")</f>
        <v/>
      </c>
      <c r="R133" s="91"/>
      <c r="S133" s="92"/>
      <c r="T133" s="92"/>
      <c r="U133" s="92"/>
      <c r="V133" s="92"/>
      <c r="W133" s="92"/>
      <c r="X133" s="92"/>
      <c r="Y133" s="93"/>
      <c r="AW133" s="8"/>
    </row>
    <row r="134" spans="2:49" ht="3" customHeight="1" thickBot="1" x14ac:dyDescent="0.35">
      <c r="B134" s="10"/>
      <c r="AW134" s="8"/>
    </row>
    <row r="135" spans="2:49" x14ac:dyDescent="0.3">
      <c r="B135" s="10" t="str">
        <f>IF(R123="Sim","Tensão do banco de baterias em corrente contínua (V):","")</f>
        <v/>
      </c>
      <c r="T135" s="91"/>
      <c r="U135" s="92"/>
      <c r="V135" s="92"/>
      <c r="W135" s="92"/>
      <c r="X135" s="92"/>
      <c r="Y135" s="92"/>
      <c r="Z135" s="92"/>
      <c r="AA135" s="93"/>
      <c r="AW135" s="8"/>
    </row>
    <row r="136" spans="2:49" ht="3" customHeight="1" thickBot="1" x14ac:dyDescent="0.35">
      <c r="B136" s="10"/>
      <c r="AW136" s="8"/>
    </row>
    <row r="137" spans="2:49" x14ac:dyDescent="0.3">
      <c r="B137" s="10" t="str">
        <f>IF(R123="Sim","Profundidade de descarga do banco de baterias (%):","")</f>
        <v/>
      </c>
      <c r="T137" s="91"/>
      <c r="U137" s="92"/>
      <c r="V137" s="92"/>
      <c r="W137" s="92"/>
      <c r="X137" s="92"/>
      <c r="Y137" s="92"/>
      <c r="Z137" s="92"/>
      <c r="AA137" s="93"/>
      <c r="AW137" s="8"/>
    </row>
    <row r="138" spans="2:49" ht="3" customHeight="1" thickBot="1" x14ac:dyDescent="0.35">
      <c r="B138" s="10"/>
      <c r="AW138" s="8"/>
    </row>
    <row r="139" spans="2:49" x14ac:dyDescent="0.3">
      <c r="B139" s="10" t="str">
        <f>IF(R123="Sim","Produção mensal da central geradora distribuída (kWh):","")</f>
        <v/>
      </c>
      <c r="U139" s="91"/>
      <c r="V139" s="92"/>
      <c r="W139" s="92"/>
      <c r="X139" s="92"/>
      <c r="Y139" s="92"/>
      <c r="Z139" s="92"/>
      <c r="AA139" s="92"/>
      <c r="AB139" s="93"/>
      <c r="AW139" s="8"/>
    </row>
    <row r="140" spans="2:49" ht="3" customHeight="1" x14ac:dyDescent="0.3">
      <c r="B140" s="1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2"/>
    </row>
    <row r="141" spans="2:49" ht="3" customHeight="1" x14ac:dyDescent="0.3"/>
    <row r="142" spans="2:49" ht="15" customHeight="1" x14ac:dyDescent="0.3">
      <c r="B142" s="103" t="s">
        <v>303</v>
      </c>
      <c r="C142" s="104"/>
      <c r="D142" s="104"/>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c r="AA142" s="104"/>
      <c r="AB142" s="104"/>
      <c r="AC142" s="104"/>
      <c r="AD142" s="104"/>
      <c r="AE142" s="104"/>
      <c r="AF142" s="104"/>
      <c r="AG142" s="104"/>
      <c r="AH142" s="104"/>
      <c r="AI142" s="104"/>
      <c r="AJ142" s="104"/>
      <c r="AK142" s="104"/>
      <c r="AL142" s="104"/>
      <c r="AM142" s="104"/>
      <c r="AN142" s="104"/>
      <c r="AO142" s="104"/>
      <c r="AP142" s="104"/>
      <c r="AQ142" s="104"/>
      <c r="AR142" s="104"/>
      <c r="AS142" s="104"/>
      <c r="AT142" s="104"/>
      <c r="AU142" s="104"/>
      <c r="AV142" s="104"/>
      <c r="AW142" s="105"/>
    </row>
    <row r="143" spans="2:49" ht="4.5" customHeight="1" x14ac:dyDescent="0.3">
      <c r="B143" s="10"/>
      <c r="E143" s="31"/>
      <c r="AW143" s="8"/>
    </row>
    <row r="144" spans="2:49" s="47" customFormat="1" ht="30" customHeight="1" x14ac:dyDescent="0.3">
      <c r="B144" s="109" t="s">
        <v>304</v>
      </c>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110"/>
      <c r="AL144" s="110"/>
      <c r="AM144" s="110"/>
      <c r="AN144" s="110"/>
      <c r="AO144" s="110"/>
      <c r="AP144" s="110"/>
      <c r="AQ144" s="110"/>
      <c r="AR144" s="110"/>
      <c r="AS144" s="110"/>
      <c r="AT144" s="110"/>
      <c r="AU144" s="110"/>
      <c r="AV144" s="110"/>
      <c r="AW144" s="48"/>
    </row>
    <row r="145" spans="2:49" s="47" customFormat="1" ht="3" customHeight="1" x14ac:dyDescent="0.3">
      <c r="B145" s="46"/>
      <c r="AW145" s="48"/>
    </row>
    <row r="146" spans="2:49" s="47" customFormat="1" ht="23.25" customHeight="1" x14ac:dyDescent="0.3">
      <c r="B146" s="223" t="s">
        <v>305</v>
      </c>
      <c r="C146" s="157"/>
      <c r="D146" s="157"/>
      <c r="E146" s="157"/>
      <c r="F146" s="157"/>
      <c r="G146" s="157"/>
      <c r="H146" s="157"/>
      <c r="I146" s="157"/>
      <c r="J146" s="157"/>
      <c r="K146" s="157"/>
      <c r="L146" s="157"/>
      <c r="M146" s="157"/>
      <c r="N146" s="157"/>
      <c r="O146" s="157"/>
      <c r="P146" s="157"/>
      <c r="Q146" s="157"/>
      <c r="R146" s="157"/>
      <c r="S146" s="157"/>
      <c r="T146" s="157"/>
      <c r="U146" s="157"/>
      <c r="V146" s="157"/>
      <c r="W146" s="157"/>
      <c r="X146" s="157"/>
      <c r="Y146" s="157"/>
      <c r="Z146" s="157"/>
      <c r="AA146" s="157"/>
      <c r="AB146" s="157"/>
      <c r="AC146" s="157"/>
      <c r="AD146" s="157"/>
      <c r="AE146" s="157"/>
      <c r="AF146" s="157"/>
      <c r="AG146" s="157"/>
      <c r="AH146" s="157"/>
      <c r="AI146" s="157"/>
      <c r="AJ146" s="157"/>
      <c r="AK146" s="157"/>
      <c r="AL146" s="157"/>
      <c r="AM146" s="157"/>
      <c r="AN146" s="157"/>
      <c r="AO146" s="157"/>
      <c r="AP146" s="157"/>
      <c r="AQ146" s="157"/>
      <c r="AR146" s="157"/>
      <c r="AS146" s="157"/>
      <c r="AT146" s="157"/>
      <c r="AU146" s="157"/>
      <c r="AV146" s="157"/>
      <c r="AW146" s="48"/>
    </row>
    <row r="147" spans="2:49" s="47" customFormat="1" x14ac:dyDescent="0.3">
      <c r="B147" s="223"/>
      <c r="C147" s="157"/>
      <c r="D147" s="157"/>
      <c r="E147" s="157"/>
      <c r="F147" s="157"/>
      <c r="G147" s="157"/>
      <c r="H147" s="157"/>
      <c r="I147" s="157"/>
      <c r="J147" s="157"/>
      <c r="K147" s="157"/>
      <c r="L147" s="157"/>
      <c r="M147" s="157"/>
      <c r="N147" s="157"/>
      <c r="O147" s="157"/>
      <c r="P147" s="157"/>
      <c r="Q147" s="157"/>
      <c r="R147" s="157"/>
      <c r="S147" s="157"/>
      <c r="T147" s="157"/>
      <c r="U147" s="157"/>
      <c r="V147" s="157"/>
      <c r="W147" s="157"/>
      <c r="X147" s="157"/>
      <c r="Y147" s="157"/>
      <c r="Z147" s="157"/>
      <c r="AA147" s="157"/>
      <c r="AB147" s="157"/>
      <c r="AC147" s="157"/>
      <c r="AD147" s="157"/>
      <c r="AE147" s="157"/>
      <c r="AF147" s="157"/>
      <c r="AG147" s="157"/>
      <c r="AH147" s="157"/>
      <c r="AI147" s="157"/>
      <c r="AJ147" s="157"/>
      <c r="AK147" s="157"/>
      <c r="AL147" s="157"/>
      <c r="AM147" s="157"/>
      <c r="AN147" s="157"/>
      <c r="AO147" s="157"/>
      <c r="AP147" s="157"/>
      <c r="AQ147" s="157"/>
      <c r="AR147" s="157"/>
      <c r="AS147" s="157"/>
      <c r="AT147" s="157"/>
      <c r="AU147" s="157"/>
      <c r="AV147" s="157"/>
      <c r="AW147" s="48"/>
    </row>
    <row r="148" spans="2:49" s="47" customFormat="1" ht="3" customHeight="1" x14ac:dyDescent="0.3">
      <c r="B148" s="49"/>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c r="AG148" s="50"/>
      <c r="AH148" s="50"/>
      <c r="AI148" s="50"/>
      <c r="AJ148" s="50"/>
      <c r="AK148" s="50"/>
      <c r="AL148" s="50"/>
      <c r="AM148" s="50"/>
      <c r="AN148" s="50"/>
      <c r="AO148" s="50"/>
      <c r="AP148" s="50"/>
      <c r="AQ148" s="50"/>
      <c r="AR148" s="50"/>
      <c r="AS148" s="50"/>
      <c r="AT148" s="50"/>
      <c r="AU148" s="50"/>
      <c r="AV148" s="50"/>
      <c r="AW148" s="48"/>
    </row>
    <row r="149" spans="2:49" s="47" customFormat="1" ht="17.100000000000001" customHeight="1" x14ac:dyDescent="0.3">
      <c r="B149" s="46" t="s">
        <v>306</v>
      </c>
      <c r="AW149" s="48"/>
    </row>
    <row r="150" spans="2:49" s="47" customFormat="1" ht="3" customHeight="1" x14ac:dyDescent="0.3">
      <c r="B150" s="46"/>
      <c r="AW150" s="48"/>
    </row>
    <row r="151" spans="2:49" s="47" customFormat="1" ht="17.100000000000001" customHeight="1" x14ac:dyDescent="0.3">
      <c r="B151" s="109" t="s">
        <v>307</v>
      </c>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c r="AA151" s="110"/>
      <c r="AB151" s="110"/>
      <c r="AC151" s="110"/>
      <c r="AD151" s="110"/>
      <c r="AE151" s="110"/>
      <c r="AF151" s="110"/>
      <c r="AG151" s="110"/>
      <c r="AH151" s="110"/>
      <c r="AI151" s="110"/>
      <c r="AJ151" s="110"/>
      <c r="AK151" s="110"/>
      <c r="AL151" s="110"/>
      <c r="AM151" s="110"/>
      <c r="AN151" s="110"/>
      <c r="AO151" s="110"/>
      <c r="AP151" s="110"/>
      <c r="AQ151" s="110"/>
      <c r="AR151" s="110"/>
      <c r="AS151" s="110"/>
      <c r="AT151" s="110"/>
      <c r="AU151" s="110"/>
      <c r="AV151" s="110"/>
      <c r="AW151" s="48"/>
    </row>
    <row r="152" spans="2:49" s="47" customFormat="1" ht="17.100000000000001" customHeight="1" x14ac:dyDescent="0.3">
      <c r="B152" s="109"/>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c r="AA152" s="110"/>
      <c r="AB152" s="110"/>
      <c r="AC152" s="110"/>
      <c r="AD152" s="110"/>
      <c r="AE152" s="110"/>
      <c r="AF152" s="110"/>
      <c r="AG152" s="110"/>
      <c r="AH152" s="110"/>
      <c r="AI152" s="110"/>
      <c r="AJ152" s="110"/>
      <c r="AK152" s="110"/>
      <c r="AL152" s="110"/>
      <c r="AM152" s="110"/>
      <c r="AN152" s="110"/>
      <c r="AO152" s="110"/>
      <c r="AP152" s="110"/>
      <c r="AQ152" s="110"/>
      <c r="AR152" s="110"/>
      <c r="AS152" s="110"/>
      <c r="AT152" s="110"/>
      <c r="AU152" s="110"/>
      <c r="AV152" s="110"/>
      <c r="AW152" s="48"/>
    </row>
    <row r="153" spans="2:49" s="47" customFormat="1" ht="3" customHeight="1" x14ac:dyDescent="0.3">
      <c r="B153" s="51"/>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48"/>
    </row>
    <row r="154" spans="2:49" s="47" customFormat="1" ht="17.100000000000001" customHeight="1" x14ac:dyDescent="0.3">
      <c r="B154" s="46" t="s">
        <v>308</v>
      </c>
      <c r="AW154" s="48"/>
    </row>
    <row r="155" spans="2:49" s="47" customFormat="1" ht="3" customHeight="1" x14ac:dyDescent="0.3">
      <c r="B155" s="46"/>
      <c r="AW155" s="48"/>
    </row>
    <row r="156" spans="2:49" s="47" customFormat="1" ht="17.100000000000001" customHeight="1" x14ac:dyDescent="0.3">
      <c r="B156" s="188" t="s">
        <v>309</v>
      </c>
      <c r="C156" s="189"/>
      <c r="D156" s="189"/>
      <c r="E156" s="189"/>
      <c r="F156" s="189"/>
      <c r="G156" s="189"/>
      <c r="H156" s="189"/>
      <c r="I156" s="189"/>
      <c r="J156" s="189"/>
      <c r="K156" s="189"/>
      <c r="L156" s="189"/>
      <c r="M156" s="189"/>
      <c r="N156" s="189"/>
      <c r="O156" s="189"/>
      <c r="P156" s="189"/>
      <c r="Q156" s="189"/>
      <c r="R156" s="189"/>
      <c r="S156" s="189"/>
      <c r="T156" s="189"/>
      <c r="U156" s="189"/>
      <c r="V156" s="189"/>
      <c r="W156" s="189"/>
      <c r="X156" s="189"/>
      <c r="Y156" s="189"/>
      <c r="Z156" s="189"/>
      <c r="AA156" s="189"/>
      <c r="AB156" s="189"/>
      <c r="AC156" s="189"/>
      <c r="AD156" s="189"/>
      <c r="AE156" s="189"/>
      <c r="AF156" s="189"/>
      <c r="AG156" s="189"/>
      <c r="AH156" s="189"/>
      <c r="AI156" s="189"/>
      <c r="AJ156" s="189"/>
      <c r="AK156" s="189"/>
      <c r="AL156" s="189"/>
      <c r="AM156" s="189"/>
      <c r="AN156" s="189"/>
      <c r="AO156" s="189"/>
      <c r="AP156" s="189"/>
      <c r="AQ156" s="189"/>
      <c r="AR156" s="189"/>
      <c r="AS156" s="189"/>
      <c r="AT156" s="189"/>
      <c r="AU156" s="189"/>
      <c r="AV156" s="189"/>
      <c r="AW156" s="48"/>
    </row>
    <row r="157" spans="2:49" s="47" customFormat="1" ht="3" customHeight="1" x14ac:dyDescent="0.3">
      <c r="B157" s="51"/>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48"/>
    </row>
    <row r="158" spans="2:49" s="47" customFormat="1" ht="30" customHeight="1" x14ac:dyDescent="0.3">
      <c r="B158" s="109" t="s">
        <v>314</v>
      </c>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c r="AR158" s="110"/>
      <c r="AS158" s="110"/>
      <c r="AT158" s="110"/>
      <c r="AU158" s="110"/>
      <c r="AV158" s="110"/>
      <c r="AW158" s="48"/>
    </row>
    <row r="159" spans="2:49" s="47" customFormat="1" ht="3" customHeight="1" x14ac:dyDescent="0.3">
      <c r="B159" s="51"/>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48"/>
    </row>
    <row r="160" spans="2:49" s="47" customFormat="1" ht="17.100000000000001" customHeight="1" x14ac:dyDescent="0.3">
      <c r="B160" s="46" t="s">
        <v>315</v>
      </c>
      <c r="AW160" s="48"/>
    </row>
    <row r="161" spans="2:49" s="47" customFormat="1" ht="3" customHeight="1" x14ac:dyDescent="0.3">
      <c r="B161" s="46"/>
      <c r="AW161" s="48"/>
    </row>
    <row r="162" spans="2:49" s="47" customFormat="1" ht="30" customHeight="1" x14ac:dyDescent="0.3">
      <c r="B162" s="195" t="s">
        <v>316</v>
      </c>
      <c r="C162" s="196"/>
      <c r="D162" s="196"/>
      <c r="E162" s="196"/>
      <c r="F162" s="196"/>
      <c r="G162" s="196"/>
      <c r="H162" s="196"/>
      <c r="I162" s="196"/>
      <c r="J162" s="196"/>
      <c r="K162" s="196"/>
      <c r="L162" s="196"/>
      <c r="M162" s="196"/>
      <c r="N162" s="196"/>
      <c r="O162" s="196"/>
      <c r="P162" s="196"/>
      <c r="Q162" s="196"/>
      <c r="R162" s="196"/>
      <c r="S162" s="196"/>
      <c r="T162" s="196"/>
      <c r="U162" s="196"/>
      <c r="V162" s="196"/>
      <c r="W162" s="196"/>
      <c r="X162" s="196"/>
      <c r="Y162" s="196"/>
      <c r="Z162" s="196"/>
      <c r="AA162" s="196"/>
      <c r="AB162" s="196"/>
      <c r="AC162" s="196"/>
      <c r="AD162" s="196"/>
      <c r="AE162" s="196"/>
      <c r="AF162" s="196"/>
      <c r="AG162" s="196"/>
      <c r="AH162" s="196"/>
      <c r="AI162" s="196"/>
      <c r="AJ162" s="196"/>
      <c r="AK162" s="196"/>
      <c r="AL162" s="196"/>
      <c r="AM162" s="196"/>
      <c r="AN162" s="196"/>
      <c r="AO162" s="196"/>
      <c r="AP162" s="196"/>
      <c r="AQ162" s="196"/>
      <c r="AR162" s="196"/>
      <c r="AS162" s="196"/>
      <c r="AT162" s="196"/>
      <c r="AU162" s="196"/>
      <c r="AV162" s="196"/>
      <c r="AW162" s="48"/>
    </row>
    <row r="163" spans="2:49" s="47" customFormat="1" ht="3" customHeight="1" x14ac:dyDescent="0.3">
      <c r="B163" s="82"/>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48"/>
    </row>
    <row r="164" spans="2:49" s="47" customFormat="1" ht="30" customHeight="1" x14ac:dyDescent="0.3">
      <c r="B164" s="109" t="s">
        <v>317</v>
      </c>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c r="AA164" s="110"/>
      <c r="AB164" s="110"/>
      <c r="AC164" s="110"/>
      <c r="AD164" s="110"/>
      <c r="AE164" s="110"/>
      <c r="AF164" s="110"/>
      <c r="AG164" s="110"/>
      <c r="AH164" s="110"/>
      <c r="AI164" s="110"/>
      <c r="AJ164" s="110"/>
      <c r="AK164" s="110"/>
      <c r="AL164" s="110"/>
      <c r="AM164" s="110"/>
      <c r="AN164" s="110"/>
      <c r="AO164" s="110"/>
      <c r="AP164" s="110"/>
      <c r="AQ164" s="110"/>
      <c r="AR164" s="110"/>
      <c r="AS164" s="110"/>
      <c r="AT164" s="110"/>
      <c r="AU164" s="110"/>
      <c r="AV164" s="110"/>
      <c r="AW164" s="48"/>
    </row>
    <row r="165" spans="2:49" s="47" customFormat="1" ht="3.9" customHeight="1" x14ac:dyDescent="0.3">
      <c r="B165" s="51"/>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48"/>
    </row>
    <row r="166" spans="2:49" ht="3" customHeight="1" x14ac:dyDescent="0.3">
      <c r="B166" s="10"/>
      <c r="AW166" s="8"/>
    </row>
    <row r="167" spans="2:49" ht="17.100000000000001" customHeight="1" x14ac:dyDescent="0.3">
      <c r="B167" s="10" t="s">
        <v>159</v>
      </c>
      <c r="AW167" s="8"/>
    </row>
    <row r="168" spans="2:49" ht="3" customHeight="1" x14ac:dyDescent="0.3">
      <c r="B168" s="1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2"/>
    </row>
    <row r="169" spans="2:49" ht="3" customHeight="1" x14ac:dyDescent="0.3"/>
    <row r="170" spans="2:49" x14ac:dyDescent="0.3">
      <c r="B170" s="192" t="s">
        <v>324</v>
      </c>
      <c r="C170" s="192"/>
      <c r="D170" s="192"/>
      <c r="E170" s="192"/>
      <c r="F170" s="192"/>
      <c r="G170" s="192"/>
      <c r="H170" s="192"/>
      <c r="I170" s="192"/>
      <c r="J170" s="192"/>
      <c r="K170" s="192"/>
      <c r="L170" s="192"/>
      <c r="M170" s="192"/>
      <c r="N170" s="192"/>
      <c r="O170" s="192"/>
      <c r="P170" s="192"/>
      <c r="Q170" s="192"/>
      <c r="R170" s="192"/>
      <c r="S170" s="192"/>
      <c r="T170" s="192"/>
      <c r="U170" s="192"/>
      <c r="V170" s="192"/>
      <c r="W170" s="192"/>
      <c r="X170" s="192"/>
      <c r="Y170" s="192"/>
      <c r="Z170" s="192"/>
      <c r="AA170" s="192"/>
      <c r="AB170" s="192"/>
      <c r="AC170" s="192"/>
      <c r="AD170" s="192"/>
      <c r="AE170" s="192"/>
      <c r="AF170" s="192"/>
      <c r="AG170" s="192"/>
      <c r="AH170" s="192"/>
      <c r="AI170" s="192"/>
      <c r="AJ170" s="192"/>
      <c r="AK170" s="192"/>
      <c r="AL170" s="192"/>
      <c r="AM170" s="192"/>
      <c r="AN170" s="192"/>
      <c r="AO170" s="192"/>
      <c r="AP170" s="192"/>
      <c r="AQ170" s="192"/>
      <c r="AR170" s="192"/>
      <c r="AS170" s="192"/>
      <c r="AT170" s="192"/>
      <c r="AU170" s="192"/>
      <c r="AV170" s="192"/>
      <c r="AW170" s="192"/>
    </row>
    <row r="171" spans="2:49" ht="3.75" customHeight="1" x14ac:dyDescent="0.3">
      <c r="B171" s="10"/>
      <c r="AW171" s="8"/>
    </row>
    <row r="172" spans="2:49" ht="15" customHeight="1" x14ac:dyDescent="0.3">
      <c r="B172" s="173" t="s">
        <v>140</v>
      </c>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c r="AA172" s="175"/>
      <c r="AB172" s="13" t="s">
        <v>137</v>
      </c>
      <c r="AC172" s="14"/>
      <c r="AD172" s="14"/>
      <c r="AE172" s="14"/>
      <c r="AF172" s="14"/>
      <c r="AG172" s="14"/>
      <c r="AH172" s="14"/>
      <c r="AI172" s="14"/>
      <c r="AJ172" s="14"/>
      <c r="AK172" s="14"/>
      <c r="AL172" s="14"/>
      <c r="AM172" s="14"/>
      <c r="AN172" s="14"/>
      <c r="AO172" s="14"/>
      <c r="AP172" s="14"/>
      <c r="AQ172" s="14"/>
      <c r="AR172" s="14"/>
      <c r="AS172" s="14"/>
      <c r="AT172" s="14"/>
      <c r="AU172" s="14"/>
      <c r="AV172" s="14"/>
      <c r="AW172" s="15"/>
    </row>
    <row r="173" spans="2:49" ht="20.25" customHeight="1" x14ac:dyDescent="0.3">
      <c r="B173" s="170" t="s">
        <v>139</v>
      </c>
      <c r="C173" s="171"/>
      <c r="D173" s="171"/>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c r="AA173" s="172"/>
      <c r="AB173" s="45" t="s">
        <v>138</v>
      </c>
      <c r="AC173" s="1"/>
      <c r="AD173" s="1"/>
      <c r="AE173" s="1"/>
      <c r="AF173" s="1"/>
      <c r="AG173" s="1"/>
      <c r="AH173" s="1"/>
      <c r="AI173" s="1"/>
      <c r="AJ173" s="1"/>
      <c r="AK173" s="1"/>
      <c r="AL173" s="1"/>
      <c r="AM173" s="1"/>
      <c r="AN173" s="1"/>
      <c r="AO173" s="1"/>
      <c r="AP173" s="1"/>
      <c r="AQ173" s="1"/>
      <c r="AR173" s="1"/>
      <c r="AS173" s="1"/>
      <c r="AT173" s="1"/>
      <c r="AU173" s="1"/>
      <c r="AV173" s="1"/>
      <c r="AW173" s="12"/>
    </row>
    <row r="174" spans="2:49" ht="15" customHeight="1" x14ac:dyDescent="0.3">
      <c r="B174" s="168" t="s">
        <v>141</v>
      </c>
      <c r="C174" s="169"/>
      <c r="D174" s="169"/>
      <c r="E174" s="169"/>
      <c r="F174" s="169"/>
      <c r="G174" s="169"/>
      <c r="H174" s="169"/>
      <c r="I174" s="169"/>
      <c r="J174" s="169"/>
      <c r="K174" s="169"/>
      <c r="L174" s="169"/>
      <c r="M174" s="169"/>
      <c r="N174" s="169"/>
      <c r="O174" s="169"/>
      <c r="P174" s="169"/>
      <c r="Q174" s="169"/>
      <c r="R174" s="169"/>
      <c r="S174" s="169"/>
      <c r="T174" s="169"/>
      <c r="U174" s="169"/>
      <c r="V174" s="169"/>
      <c r="W174" s="169"/>
      <c r="X174" s="169"/>
      <c r="Y174" s="169"/>
      <c r="Z174" s="169"/>
      <c r="AA174" s="169"/>
      <c r="AB174" s="197" t="s">
        <v>142</v>
      </c>
      <c r="AC174" s="197"/>
      <c r="AD174" s="197"/>
      <c r="AE174" s="197"/>
      <c r="AF174" s="197"/>
      <c r="AG174" s="197"/>
      <c r="AH174" s="197"/>
      <c r="AI174" s="197"/>
      <c r="AJ174" s="197"/>
      <c r="AK174" s="197"/>
      <c r="AL174" s="197"/>
      <c r="AM174" s="197"/>
      <c r="AN174" s="197"/>
      <c r="AO174" s="197"/>
      <c r="AP174" s="197"/>
      <c r="AQ174" s="197"/>
      <c r="AR174" s="197"/>
      <c r="AS174" s="197"/>
      <c r="AT174" s="197"/>
      <c r="AU174" s="197"/>
      <c r="AV174" s="197"/>
      <c r="AW174" s="198"/>
    </row>
    <row r="175" spans="2:49" ht="3" customHeight="1" x14ac:dyDescent="0.3">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row>
    <row r="176" spans="2:49" ht="15" customHeight="1" x14ac:dyDescent="0.3">
      <c r="B176" s="103" t="s">
        <v>318</v>
      </c>
      <c r="C176" s="104"/>
      <c r="D176" s="104"/>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c r="AA176" s="104"/>
      <c r="AB176" s="104"/>
      <c r="AC176" s="104"/>
      <c r="AD176" s="104"/>
      <c r="AE176" s="104"/>
      <c r="AF176" s="104"/>
      <c r="AG176" s="104"/>
      <c r="AH176" s="104"/>
      <c r="AI176" s="104"/>
      <c r="AJ176" s="104"/>
      <c r="AK176" s="104"/>
      <c r="AL176" s="104"/>
      <c r="AM176" s="104"/>
      <c r="AN176" s="104"/>
      <c r="AO176" s="104"/>
      <c r="AP176" s="104"/>
      <c r="AQ176" s="104"/>
      <c r="AR176" s="104"/>
      <c r="AS176" s="104"/>
      <c r="AT176" s="104"/>
      <c r="AU176" s="104"/>
      <c r="AV176" s="104"/>
      <c r="AW176" s="105"/>
    </row>
    <row r="177" spans="2:49" ht="3" customHeight="1" thickBot="1" x14ac:dyDescent="0.35">
      <c r="B177" s="10"/>
      <c r="E177" s="31"/>
      <c r="AW177" s="8"/>
    </row>
    <row r="178" spans="2:49" ht="15" customHeight="1" thickBot="1" x14ac:dyDescent="0.35">
      <c r="B178" s="70"/>
      <c r="C178" s="85"/>
      <c r="D178" s="71"/>
      <c r="E178" s="110" t="s">
        <v>319</v>
      </c>
      <c r="F178" s="110"/>
      <c r="G178" s="110"/>
      <c r="H178" s="110"/>
      <c r="I178" s="110"/>
      <c r="J178" s="110"/>
      <c r="K178" s="110"/>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110"/>
      <c r="AH178" s="110"/>
      <c r="AI178" s="110"/>
      <c r="AJ178" s="110"/>
      <c r="AK178" s="110"/>
      <c r="AL178" s="110"/>
      <c r="AM178" s="110"/>
      <c r="AN178" s="110"/>
      <c r="AO178" s="110"/>
      <c r="AP178" s="110"/>
      <c r="AQ178" s="110"/>
      <c r="AR178" s="110"/>
      <c r="AS178" s="110"/>
      <c r="AT178" s="110"/>
      <c r="AU178" s="110"/>
      <c r="AV178" s="110"/>
      <c r="AW178" s="48"/>
    </row>
    <row r="179" spans="2:49" ht="15" customHeight="1" x14ac:dyDescent="0.3">
      <c r="B179" s="46"/>
      <c r="C179" s="47"/>
      <c r="D179" s="47"/>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c r="AA179" s="110"/>
      <c r="AB179" s="110"/>
      <c r="AC179" s="110"/>
      <c r="AD179" s="110"/>
      <c r="AE179" s="110"/>
      <c r="AF179" s="110"/>
      <c r="AG179" s="110"/>
      <c r="AH179" s="110"/>
      <c r="AI179" s="110"/>
      <c r="AJ179" s="110"/>
      <c r="AK179" s="110"/>
      <c r="AL179" s="110"/>
      <c r="AM179" s="110"/>
      <c r="AN179" s="110"/>
      <c r="AO179" s="110"/>
      <c r="AP179" s="110"/>
      <c r="AQ179" s="110"/>
      <c r="AR179" s="110"/>
      <c r="AS179" s="110"/>
      <c r="AT179" s="110"/>
      <c r="AU179" s="110"/>
      <c r="AV179" s="110"/>
      <c r="AW179" s="48"/>
    </row>
    <row r="180" spans="2:49" ht="3" customHeight="1" thickBot="1" x14ac:dyDescent="0.35">
      <c r="B180" s="46"/>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8"/>
    </row>
    <row r="181" spans="2:49" ht="15" customHeight="1" thickBot="1" x14ac:dyDescent="0.35">
      <c r="B181" s="86"/>
      <c r="C181" s="85"/>
      <c r="D181" s="87"/>
      <c r="E181" s="157" t="s">
        <v>320</v>
      </c>
      <c r="F181" s="157"/>
      <c r="G181" s="157"/>
      <c r="H181" s="157"/>
      <c r="I181" s="157"/>
      <c r="J181" s="157"/>
      <c r="K181" s="157"/>
      <c r="L181" s="157"/>
      <c r="M181" s="157"/>
      <c r="N181" s="157"/>
      <c r="O181" s="157"/>
      <c r="P181" s="157"/>
      <c r="Q181" s="157"/>
      <c r="R181" s="157"/>
      <c r="S181" s="157"/>
      <c r="T181" s="157"/>
      <c r="U181" s="157"/>
      <c r="V181" s="157"/>
      <c r="W181" s="157"/>
      <c r="X181" s="157"/>
      <c r="Y181" s="157"/>
      <c r="Z181" s="157"/>
      <c r="AA181" s="157"/>
      <c r="AB181" s="157"/>
      <c r="AC181" s="157"/>
      <c r="AD181" s="157"/>
      <c r="AE181" s="157"/>
      <c r="AF181" s="157"/>
      <c r="AG181" s="157"/>
      <c r="AH181" s="157"/>
      <c r="AI181" s="157"/>
      <c r="AJ181" s="157"/>
      <c r="AK181" s="157"/>
      <c r="AL181" s="157"/>
      <c r="AM181" s="157"/>
      <c r="AN181" s="157"/>
      <c r="AO181" s="157"/>
      <c r="AP181" s="157"/>
      <c r="AQ181" s="157"/>
      <c r="AR181" s="157"/>
      <c r="AS181" s="157"/>
      <c r="AT181" s="157"/>
      <c r="AU181" s="157"/>
      <c r="AV181" s="157"/>
      <c r="AW181" s="48"/>
    </row>
    <row r="182" spans="2:49" ht="15" customHeight="1" x14ac:dyDescent="0.3">
      <c r="B182" s="86"/>
      <c r="C182" s="87"/>
      <c r="D182" s="87"/>
      <c r="E182" s="157"/>
      <c r="F182" s="157"/>
      <c r="G182" s="157"/>
      <c r="H182" s="157"/>
      <c r="I182" s="157"/>
      <c r="J182" s="157"/>
      <c r="K182" s="157"/>
      <c r="L182" s="157"/>
      <c r="M182" s="157"/>
      <c r="N182" s="157"/>
      <c r="O182" s="157"/>
      <c r="P182" s="157"/>
      <c r="Q182" s="157"/>
      <c r="R182" s="157"/>
      <c r="S182" s="157"/>
      <c r="T182" s="157"/>
      <c r="U182" s="157"/>
      <c r="V182" s="157"/>
      <c r="W182" s="157"/>
      <c r="X182" s="157"/>
      <c r="Y182" s="157"/>
      <c r="Z182" s="157"/>
      <c r="AA182" s="157"/>
      <c r="AB182" s="157"/>
      <c r="AC182" s="157"/>
      <c r="AD182" s="157"/>
      <c r="AE182" s="157"/>
      <c r="AF182" s="157"/>
      <c r="AG182" s="157"/>
      <c r="AH182" s="157"/>
      <c r="AI182" s="157"/>
      <c r="AJ182" s="157"/>
      <c r="AK182" s="157"/>
      <c r="AL182" s="157"/>
      <c r="AM182" s="157"/>
      <c r="AN182" s="157"/>
      <c r="AO182" s="157"/>
      <c r="AP182" s="157"/>
      <c r="AQ182" s="157"/>
      <c r="AR182" s="157"/>
      <c r="AS182" s="157"/>
      <c r="AT182" s="157"/>
      <c r="AU182" s="157"/>
      <c r="AV182" s="157"/>
      <c r="AW182" s="48"/>
    </row>
    <row r="183" spans="2:49" ht="3" customHeight="1" thickBot="1" x14ac:dyDescent="0.35">
      <c r="B183" s="86"/>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c r="AD183" s="87"/>
      <c r="AE183" s="87"/>
      <c r="AF183" s="87"/>
      <c r="AG183" s="87"/>
      <c r="AH183" s="87"/>
      <c r="AI183" s="87"/>
      <c r="AJ183" s="87"/>
      <c r="AK183" s="87"/>
      <c r="AL183" s="87"/>
      <c r="AM183" s="87"/>
      <c r="AN183" s="87"/>
      <c r="AO183" s="87"/>
      <c r="AP183" s="87"/>
      <c r="AQ183" s="87"/>
      <c r="AR183" s="87"/>
      <c r="AS183" s="87"/>
      <c r="AT183" s="87"/>
      <c r="AU183" s="87"/>
      <c r="AV183" s="87"/>
      <c r="AW183" s="48"/>
    </row>
    <row r="184" spans="2:49" ht="15" customHeight="1" thickBot="1" x14ac:dyDescent="0.35">
      <c r="B184" s="49"/>
      <c r="C184" s="85"/>
      <c r="D184" s="50"/>
      <c r="E184" s="157" t="s">
        <v>321</v>
      </c>
      <c r="F184" s="157"/>
      <c r="G184" s="157"/>
      <c r="H184" s="157"/>
      <c r="I184" s="157"/>
      <c r="J184" s="157"/>
      <c r="K184" s="157"/>
      <c r="L184" s="157"/>
      <c r="M184" s="157"/>
      <c r="N184" s="157"/>
      <c r="O184" s="157"/>
      <c r="P184" s="157"/>
      <c r="Q184" s="157"/>
      <c r="R184" s="157"/>
      <c r="S184" s="157"/>
      <c r="T184" s="157"/>
      <c r="U184" s="157"/>
      <c r="V184" s="157"/>
      <c r="W184" s="157"/>
      <c r="X184" s="157"/>
      <c r="Y184" s="157"/>
      <c r="Z184" s="157"/>
      <c r="AA184" s="157"/>
      <c r="AB184" s="157"/>
      <c r="AC184" s="157"/>
      <c r="AD184" s="157"/>
      <c r="AE184" s="157"/>
      <c r="AF184" s="157"/>
      <c r="AG184" s="157"/>
      <c r="AH184" s="157"/>
      <c r="AI184" s="157"/>
      <c r="AJ184" s="157"/>
      <c r="AK184" s="157"/>
      <c r="AL184" s="157"/>
      <c r="AM184" s="157"/>
      <c r="AN184" s="157"/>
      <c r="AO184" s="157"/>
      <c r="AP184" s="157"/>
      <c r="AQ184" s="157"/>
      <c r="AR184" s="157"/>
      <c r="AS184" s="157"/>
      <c r="AT184" s="157"/>
      <c r="AU184" s="157"/>
      <c r="AV184" s="157"/>
      <c r="AW184" s="48"/>
    </row>
    <row r="185" spans="2:49" ht="15" customHeight="1" x14ac:dyDescent="0.3">
      <c r="B185" s="86"/>
      <c r="C185" s="87"/>
      <c r="D185" s="87"/>
      <c r="E185" s="157"/>
      <c r="F185" s="157"/>
      <c r="G185" s="157"/>
      <c r="H185" s="157"/>
      <c r="I185" s="157"/>
      <c r="J185" s="157"/>
      <c r="K185" s="157"/>
      <c r="L185" s="157"/>
      <c r="M185" s="157"/>
      <c r="N185" s="157"/>
      <c r="O185" s="157"/>
      <c r="P185" s="157"/>
      <c r="Q185" s="157"/>
      <c r="R185" s="157"/>
      <c r="S185" s="157"/>
      <c r="T185" s="157"/>
      <c r="U185" s="157"/>
      <c r="V185" s="157"/>
      <c r="W185" s="157"/>
      <c r="X185" s="157"/>
      <c r="Y185" s="157"/>
      <c r="Z185" s="157"/>
      <c r="AA185" s="157"/>
      <c r="AB185" s="157"/>
      <c r="AC185" s="157"/>
      <c r="AD185" s="157"/>
      <c r="AE185" s="157"/>
      <c r="AF185" s="157"/>
      <c r="AG185" s="157"/>
      <c r="AH185" s="157"/>
      <c r="AI185" s="157"/>
      <c r="AJ185" s="157"/>
      <c r="AK185" s="157"/>
      <c r="AL185" s="157"/>
      <c r="AM185" s="157"/>
      <c r="AN185" s="157"/>
      <c r="AO185" s="157"/>
      <c r="AP185" s="157"/>
      <c r="AQ185" s="157"/>
      <c r="AR185" s="157"/>
      <c r="AS185" s="157"/>
      <c r="AT185" s="157"/>
      <c r="AU185" s="157"/>
      <c r="AV185" s="157"/>
      <c r="AW185" s="48"/>
    </row>
    <row r="186" spans="2:49" ht="3" customHeight="1" thickBot="1" x14ac:dyDescent="0.35">
      <c r="B186" s="49"/>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c r="AG186" s="50"/>
      <c r="AH186" s="50"/>
      <c r="AI186" s="50"/>
      <c r="AJ186" s="50"/>
      <c r="AK186" s="50"/>
      <c r="AL186" s="50"/>
      <c r="AM186" s="50"/>
      <c r="AN186" s="50"/>
      <c r="AO186" s="50"/>
      <c r="AP186" s="50"/>
      <c r="AQ186" s="50"/>
      <c r="AR186" s="50"/>
      <c r="AS186" s="50"/>
      <c r="AT186" s="50"/>
      <c r="AU186" s="50"/>
      <c r="AV186" s="50"/>
      <c r="AW186" s="48"/>
    </row>
    <row r="187" spans="2:49" ht="15" customHeight="1" thickBot="1" x14ac:dyDescent="0.35">
      <c r="B187" s="70"/>
      <c r="C187" s="85" t="s">
        <v>322</v>
      </c>
      <c r="D187" s="71"/>
      <c r="E187" s="110" t="s">
        <v>323</v>
      </c>
      <c r="F187" s="110"/>
      <c r="G187" s="110"/>
      <c r="H187" s="110"/>
      <c r="I187" s="110"/>
      <c r="J187" s="110"/>
      <c r="K187" s="110"/>
      <c r="L187" s="110"/>
      <c r="M187" s="110"/>
      <c r="N187" s="110"/>
      <c r="O187" s="110"/>
      <c r="P187" s="110"/>
      <c r="Q187" s="110"/>
      <c r="R187" s="110"/>
      <c r="S187" s="110"/>
      <c r="T187" s="110"/>
      <c r="U187" s="110"/>
      <c r="V187" s="110"/>
      <c r="W187" s="110"/>
      <c r="X187" s="110"/>
      <c r="Y187" s="110"/>
      <c r="Z187" s="110"/>
      <c r="AA187" s="110"/>
      <c r="AB187" s="110"/>
      <c r="AC187" s="110"/>
      <c r="AD187" s="110"/>
      <c r="AE187" s="110"/>
      <c r="AF187" s="110"/>
      <c r="AG187" s="110"/>
      <c r="AH187" s="110"/>
      <c r="AI187" s="110"/>
      <c r="AJ187" s="110"/>
      <c r="AK187" s="110"/>
      <c r="AL187" s="110"/>
      <c r="AM187" s="110"/>
      <c r="AN187" s="110"/>
      <c r="AO187" s="110"/>
      <c r="AP187" s="110"/>
      <c r="AQ187" s="110"/>
      <c r="AR187" s="110"/>
      <c r="AS187" s="110"/>
      <c r="AT187" s="110"/>
      <c r="AU187" s="110"/>
      <c r="AV187" s="110"/>
      <c r="AW187" s="48"/>
    </row>
    <row r="188" spans="2:49" ht="15" customHeight="1" x14ac:dyDescent="0.3">
      <c r="B188" s="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c r="AA188" s="110"/>
      <c r="AB188" s="110"/>
      <c r="AC188" s="110"/>
      <c r="AD188" s="110"/>
      <c r="AE188" s="110"/>
      <c r="AF188" s="110"/>
      <c r="AG188" s="110"/>
      <c r="AH188" s="110"/>
      <c r="AI188" s="110"/>
      <c r="AJ188" s="110"/>
      <c r="AK188" s="110"/>
      <c r="AL188" s="110"/>
      <c r="AM188" s="110"/>
      <c r="AN188" s="110"/>
      <c r="AO188" s="110"/>
      <c r="AP188" s="110"/>
      <c r="AQ188" s="110"/>
      <c r="AR188" s="110"/>
      <c r="AS188" s="110"/>
      <c r="AT188" s="110"/>
      <c r="AU188" s="110"/>
      <c r="AV188" s="110"/>
      <c r="AW188" s="8"/>
    </row>
    <row r="189" spans="2:49" ht="15" customHeight="1" x14ac:dyDescent="0.3">
      <c r="B189" s="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c r="AA189" s="110"/>
      <c r="AB189" s="110"/>
      <c r="AC189" s="110"/>
      <c r="AD189" s="110"/>
      <c r="AE189" s="110"/>
      <c r="AF189" s="110"/>
      <c r="AG189" s="110"/>
      <c r="AH189" s="110"/>
      <c r="AI189" s="110"/>
      <c r="AJ189" s="110"/>
      <c r="AK189" s="110"/>
      <c r="AL189" s="110"/>
      <c r="AM189" s="110"/>
      <c r="AN189" s="110"/>
      <c r="AO189" s="110"/>
      <c r="AP189" s="110"/>
      <c r="AQ189" s="110"/>
      <c r="AR189" s="110"/>
      <c r="AS189" s="110"/>
      <c r="AT189" s="110"/>
      <c r="AU189" s="110"/>
      <c r="AV189" s="110"/>
      <c r="AW189" s="8"/>
    </row>
    <row r="190" spans="2:49" ht="3" customHeight="1" x14ac:dyDescent="0.3">
      <c r="B190" s="74"/>
      <c r="C190" s="75"/>
      <c r="D190" s="75"/>
      <c r="E190" s="75"/>
      <c r="F190" s="75"/>
      <c r="G190" s="75"/>
      <c r="H190" s="75"/>
      <c r="I190" s="75"/>
      <c r="J190" s="75"/>
      <c r="K190" s="75"/>
      <c r="L190" s="75"/>
      <c r="M190" s="75"/>
      <c r="N190" s="75"/>
      <c r="O190" s="75"/>
      <c r="P190" s="75"/>
      <c r="Q190" s="75"/>
      <c r="R190" s="75"/>
      <c r="S190" s="75"/>
      <c r="T190" s="75"/>
      <c r="U190" s="75"/>
      <c r="V190" s="75"/>
      <c r="W190" s="75"/>
      <c r="X190" s="75"/>
      <c r="Y190" s="75"/>
      <c r="Z190" s="75"/>
      <c r="AA190" s="75"/>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9"/>
    </row>
    <row r="191" spans="2:49" ht="3" customHeight="1" x14ac:dyDescent="0.3"/>
    <row r="192" spans="2:49" x14ac:dyDescent="0.3">
      <c r="B192" s="192" t="s">
        <v>325</v>
      </c>
      <c r="C192" s="192"/>
      <c r="D192" s="192"/>
      <c r="E192" s="192"/>
      <c r="F192" s="192"/>
      <c r="G192" s="192"/>
      <c r="H192" s="192"/>
      <c r="I192" s="192"/>
      <c r="J192" s="192"/>
      <c r="K192" s="192"/>
      <c r="L192" s="192"/>
      <c r="M192" s="192"/>
      <c r="N192" s="192"/>
      <c r="O192" s="192"/>
      <c r="P192" s="192"/>
      <c r="Q192" s="192"/>
      <c r="R192" s="192"/>
      <c r="S192" s="192"/>
      <c r="T192" s="192"/>
      <c r="U192" s="192"/>
      <c r="V192" s="192"/>
      <c r="W192" s="192"/>
      <c r="X192" s="192"/>
      <c r="Y192" s="192"/>
      <c r="Z192" s="192"/>
      <c r="AA192" s="192"/>
      <c r="AB192" s="192"/>
      <c r="AC192" s="192"/>
      <c r="AD192" s="192"/>
      <c r="AE192" s="192"/>
      <c r="AF192" s="192"/>
      <c r="AG192" s="192"/>
      <c r="AH192" s="192"/>
      <c r="AI192" s="192"/>
      <c r="AJ192" s="192"/>
      <c r="AK192" s="192"/>
      <c r="AL192" s="192"/>
      <c r="AM192" s="192"/>
      <c r="AN192" s="192"/>
      <c r="AO192" s="192"/>
      <c r="AP192" s="192"/>
      <c r="AQ192" s="192"/>
      <c r="AR192" s="192"/>
      <c r="AS192" s="192"/>
      <c r="AT192" s="192"/>
      <c r="AU192" s="192"/>
      <c r="AV192" s="192"/>
      <c r="AW192" s="192"/>
    </row>
    <row r="193" spans="2:49" ht="3.75" customHeight="1" thickBot="1" x14ac:dyDescent="0.35">
      <c r="B193" s="10"/>
      <c r="AW193" s="8"/>
    </row>
    <row r="194" spans="2:49" x14ac:dyDescent="0.3">
      <c r="B194" s="10" t="s">
        <v>218</v>
      </c>
      <c r="O194" s="62"/>
      <c r="P194" s="62"/>
      <c r="Q194" s="106" t="s">
        <v>353</v>
      </c>
      <c r="R194" s="107"/>
      <c r="S194" s="107"/>
      <c r="T194" s="107"/>
      <c r="U194" s="107"/>
      <c r="V194" s="107"/>
      <c r="W194" s="107"/>
      <c r="X194" s="107"/>
      <c r="Y194" s="107"/>
      <c r="Z194" s="107"/>
      <c r="AA194" s="107"/>
      <c r="AB194" s="107"/>
      <c r="AC194" s="107"/>
      <c r="AD194" s="107"/>
      <c r="AE194" s="107"/>
      <c r="AF194" s="107"/>
      <c r="AG194" s="107"/>
      <c r="AH194" s="107"/>
      <c r="AI194" s="107"/>
      <c r="AJ194" s="107"/>
      <c r="AK194" s="107"/>
      <c r="AL194" s="107"/>
      <c r="AM194" s="107"/>
      <c r="AN194" s="107"/>
      <c r="AO194" s="107"/>
      <c r="AP194" s="107"/>
      <c r="AQ194" s="107"/>
      <c r="AR194" s="107"/>
      <c r="AS194" s="107"/>
      <c r="AT194" s="107"/>
      <c r="AU194" s="107"/>
      <c r="AV194" s="108"/>
      <c r="AW194" s="8"/>
    </row>
    <row r="195" spans="2:49" ht="3" customHeight="1" thickBot="1" x14ac:dyDescent="0.35">
      <c r="B195" s="10"/>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8"/>
    </row>
    <row r="196" spans="2:49" x14ac:dyDescent="0.3">
      <c r="B196" s="188" t="s">
        <v>216</v>
      </c>
      <c r="C196" s="189"/>
      <c r="D196" s="189"/>
      <c r="E196" s="189"/>
      <c r="F196" s="189"/>
      <c r="G196" s="189"/>
      <c r="H196" s="189"/>
      <c r="I196" s="189"/>
      <c r="J196" s="189"/>
      <c r="K196" s="189"/>
      <c r="L196" s="189"/>
      <c r="M196" s="189"/>
      <c r="N196" s="189"/>
      <c r="O196" s="106"/>
      <c r="P196" s="107"/>
      <c r="Q196" s="107"/>
      <c r="R196" s="107"/>
      <c r="S196" s="107"/>
      <c r="T196" s="107"/>
      <c r="U196" s="107"/>
      <c r="V196" s="107"/>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7"/>
      <c r="AR196" s="107"/>
      <c r="AS196" s="107"/>
      <c r="AT196" s="107"/>
      <c r="AU196" s="107"/>
      <c r="AV196" s="108"/>
      <c r="AW196" s="8"/>
    </row>
    <row r="197" spans="2:49" ht="3" customHeight="1" thickBot="1" x14ac:dyDescent="0.35">
      <c r="B197" s="188"/>
      <c r="C197" s="189"/>
      <c r="D197" s="189"/>
      <c r="E197" s="189"/>
      <c r="F197" s="189"/>
      <c r="G197" s="189"/>
      <c r="H197" s="189"/>
      <c r="I197" s="189"/>
      <c r="J197" s="189"/>
      <c r="K197" s="189"/>
      <c r="L197" s="189"/>
      <c r="M197" s="189"/>
      <c r="N197" s="189"/>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8"/>
    </row>
    <row r="198" spans="2:49" x14ac:dyDescent="0.3">
      <c r="B198" s="188"/>
      <c r="C198" s="189"/>
      <c r="D198" s="189"/>
      <c r="E198" s="189"/>
      <c r="F198" s="189"/>
      <c r="G198" s="189"/>
      <c r="H198" s="189"/>
      <c r="I198" s="189"/>
      <c r="J198" s="189"/>
      <c r="K198" s="189"/>
      <c r="L198" s="189"/>
      <c r="M198" s="189"/>
      <c r="N198" s="189"/>
      <c r="O198" s="106"/>
      <c r="P198" s="107"/>
      <c r="Q198" s="107"/>
      <c r="R198" s="107"/>
      <c r="S198" s="107"/>
      <c r="T198" s="107"/>
      <c r="U198" s="107"/>
      <c r="V198" s="107"/>
      <c r="W198" s="107"/>
      <c r="X198" s="107"/>
      <c r="Y198" s="107"/>
      <c r="Z198" s="107"/>
      <c r="AA198" s="107"/>
      <c r="AB198" s="107"/>
      <c r="AC198" s="107"/>
      <c r="AD198" s="107"/>
      <c r="AE198" s="107"/>
      <c r="AF198" s="107"/>
      <c r="AG198" s="107"/>
      <c r="AH198" s="107"/>
      <c r="AI198" s="107"/>
      <c r="AJ198" s="107"/>
      <c r="AK198" s="107"/>
      <c r="AL198" s="107"/>
      <c r="AM198" s="107"/>
      <c r="AN198" s="107"/>
      <c r="AO198" s="107"/>
      <c r="AP198" s="107"/>
      <c r="AQ198" s="107"/>
      <c r="AR198" s="107"/>
      <c r="AS198" s="107"/>
      <c r="AT198" s="107"/>
      <c r="AU198" s="107"/>
      <c r="AV198" s="108"/>
      <c r="AW198" s="8"/>
    </row>
    <row r="199" spans="2:49" ht="7.5" customHeight="1" thickBot="1" x14ac:dyDescent="0.35">
      <c r="B199" s="10"/>
      <c r="AW199" s="8"/>
    </row>
    <row r="200" spans="2:49" x14ac:dyDescent="0.3">
      <c r="B200" s="10" t="s">
        <v>1</v>
      </c>
      <c r="F200" s="140"/>
      <c r="G200" s="141"/>
      <c r="H200" s="141"/>
      <c r="I200" s="141"/>
      <c r="J200" s="142"/>
      <c r="L200" t="s">
        <v>240</v>
      </c>
      <c r="O200" s="151"/>
      <c r="P200" s="152"/>
      <c r="Q200" s="152"/>
      <c r="R200" s="152"/>
      <c r="S200" s="152"/>
      <c r="T200" s="153"/>
      <c r="V200" s="136" t="s">
        <v>76</v>
      </c>
      <c r="W200" s="136"/>
      <c r="X200" s="136"/>
      <c r="Y200" s="148"/>
      <c r="Z200" s="149"/>
      <c r="AA200" s="149"/>
      <c r="AB200" s="149"/>
      <c r="AC200" s="149"/>
      <c r="AD200" s="149"/>
      <c r="AE200" s="149"/>
      <c r="AF200" s="149"/>
      <c r="AG200" s="149"/>
      <c r="AH200" s="149"/>
      <c r="AI200" s="149"/>
      <c r="AJ200" s="149"/>
      <c r="AK200" s="149"/>
      <c r="AL200" s="149"/>
      <c r="AM200" s="149"/>
      <c r="AN200" s="149"/>
      <c r="AO200" s="149"/>
      <c r="AP200" s="149"/>
      <c r="AQ200" s="149"/>
      <c r="AR200" s="149"/>
      <c r="AS200" s="149"/>
      <c r="AT200" s="149"/>
      <c r="AU200" s="149"/>
      <c r="AV200" s="150"/>
      <c r="AW200" s="8"/>
    </row>
    <row r="201" spans="2:49" ht="3" customHeight="1" x14ac:dyDescent="0.3">
      <c r="B201" s="10"/>
      <c r="F201" s="60"/>
      <c r="G201" s="60"/>
      <c r="H201" s="60"/>
      <c r="I201" s="60"/>
      <c r="J201" s="60"/>
      <c r="O201" s="61"/>
      <c r="P201" s="61"/>
      <c r="Q201" s="61"/>
      <c r="R201" s="61"/>
      <c r="S201" s="61"/>
      <c r="T201" s="61"/>
      <c r="V201" s="7"/>
      <c r="W201" s="7"/>
      <c r="X201" s="7"/>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8"/>
    </row>
    <row r="202" spans="2:49" ht="3" customHeight="1" thickBot="1" x14ac:dyDescent="0.35">
      <c r="B202" s="10"/>
      <c r="AW202" s="8"/>
    </row>
    <row r="203" spans="2:49" ht="15" customHeight="1" x14ac:dyDescent="0.3">
      <c r="B203" s="10" t="s">
        <v>215</v>
      </c>
      <c r="G203" s="137"/>
      <c r="H203" s="138"/>
      <c r="I203" s="138"/>
      <c r="J203" s="138"/>
      <c r="K203" s="138"/>
      <c r="L203" s="138"/>
      <c r="M203" s="138"/>
      <c r="N203" s="138"/>
      <c r="O203" s="138"/>
      <c r="P203" s="138"/>
      <c r="Q203" s="138"/>
      <c r="R203" s="138"/>
      <c r="S203" s="138"/>
      <c r="T203" s="138"/>
      <c r="U203" s="138"/>
      <c r="V203" s="138"/>
      <c r="W203" s="138"/>
      <c r="X203" s="138"/>
      <c r="Y203" s="138"/>
      <c r="Z203" s="138"/>
      <c r="AA203" s="138"/>
      <c r="AB203" s="138"/>
      <c r="AC203" s="138"/>
      <c r="AD203" s="138"/>
      <c r="AE203" s="138"/>
      <c r="AF203" s="138"/>
      <c r="AG203" s="138"/>
      <c r="AH203" s="138"/>
      <c r="AI203" s="138"/>
      <c r="AJ203" s="138"/>
      <c r="AK203" s="138"/>
      <c r="AL203" s="138"/>
      <c r="AM203" s="138"/>
      <c r="AN203" s="138"/>
      <c r="AO203" s="138"/>
      <c r="AP203" s="138"/>
      <c r="AQ203" s="138"/>
      <c r="AR203" s="138"/>
      <c r="AS203" s="138"/>
      <c r="AT203" s="138"/>
      <c r="AU203" s="138"/>
      <c r="AV203" s="139"/>
      <c r="AW203" s="8"/>
    </row>
    <row r="204" spans="2:49" ht="3" customHeight="1" thickBot="1" x14ac:dyDescent="0.35">
      <c r="B204" s="10"/>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8"/>
    </row>
    <row r="205" spans="2:49" ht="15" customHeight="1" x14ac:dyDescent="0.3">
      <c r="B205" s="10"/>
      <c r="G205" s="137"/>
      <c r="H205" s="138"/>
      <c r="I205" s="138"/>
      <c r="J205" s="138"/>
      <c r="K205" s="138"/>
      <c r="L205" s="138"/>
      <c r="M205" s="138"/>
      <c r="N205" s="138"/>
      <c r="O205" s="138"/>
      <c r="P205" s="138"/>
      <c r="Q205" s="138"/>
      <c r="R205" s="138"/>
      <c r="S205" s="138"/>
      <c r="T205" s="138"/>
      <c r="U205" s="138"/>
      <c r="V205" s="138"/>
      <c r="W205" s="138"/>
      <c r="X205" s="138"/>
      <c r="Y205" s="138"/>
      <c r="Z205" s="138"/>
      <c r="AA205" s="138"/>
      <c r="AB205" s="138"/>
      <c r="AC205" s="138"/>
      <c r="AD205" s="138"/>
      <c r="AE205" s="138"/>
      <c r="AF205" s="138"/>
      <c r="AG205" s="138"/>
      <c r="AH205" s="138"/>
      <c r="AI205" s="138"/>
      <c r="AJ205" s="138"/>
      <c r="AK205" s="138"/>
      <c r="AL205" s="138"/>
      <c r="AM205" s="138"/>
      <c r="AN205" s="138"/>
      <c r="AO205" s="138"/>
      <c r="AP205" s="138"/>
      <c r="AQ205" s="138"/>
      <c r="AR205" s="138"/>
      <c r="AS205" s="138"/>
      <c r="AT205" s="138"/>
      <c r="AU205" s="138"/>
      <c r="AV205" s="139"/>
      <c r="AW205" s="8"/>
    </row>
    <row r="206" spans="2:49" ht="3" customHeight="1" thickBot="1" x14ac:dyDescent="0.35">
      <c r="B206" s="10"/>
      <c r="AW206" s="8"/>
    </row>
    <row r="207" spans="2:49" ht="15" customHeight="1" x14ac:dyDescent="0.3">
      <c r="B207" s="10"/>
      <c r="G207" s="137"/>
      <c r="H207" s="138"/>
      <c r="I207" s="138"/>
      <c r="J207" s="138"/>
      <c r="K207" s="138"/>
      <c r="L207" s="138"/>
      <c r="M207" s="138"/>
      <c r="N207" s="138"/>
      <c r="O207" s="138"/>
      <c r="P207" s="138"/>
      <c r="Q207" s="138"/>
      <c r="R207" s="138"/>
      <c r="S207" s="138"/>
      <c r="T207" s="138"/>
      <c r="U207" s="138"/>
      <c r="V207" s="138"/>
      <c r="W207" s="138"/>
      <c r="X207" s="138"/>
      <c r="Y207" s="138"/>
      <c r="Z207" s="138"/>
      <c r="AA207" s="138"/>
      <c r="AB207" s="138"/>
      <c r="AC207" s="138"/>
      <c r="AD207" s="138"/>
      <c r="AE207" s="138"/>
      <c r="AF207" s="138"/>
      <c r="AG207" s="138"/>
      <c r="AH207" s="138"/>
      <c r="AI207" s="138"/>
      <c r="AJ207" s="138"/>
      <c r="AK207" s="138"/>
      <c r="AL207" s="138"/>
      <c r="AM207" s="138"/>
      <c r="AN207" s="138"/>
      <c r="AO207" s="138"/>
      <c r="AP207" s="138"/>
      <c r="AQ207" s="138"/>
      <c r="AR207" s="138"/>
      <c r="AS207" s="138"/>
      <c r="AT207" s="138"/>
      <c r="AU207" s="138"/>
      <c r="AV207" s="139"/>
      <c r="AW207" s="8"/>
    </row>
    <row r="208" spans="2:49" x14ac:dyDescent="0.3">
      <c r="B208" s="35" t="s">
        <v>226</v>
      </c>
      <c r="C208" s="36"/>
      <c r="D208" s="36"/>
      <c r="E208" s="36"/>
      <c r="F208" s="36"/>
      <c r="G208" s="36"/>
      <c r="H208" s="36"/>
      <c r="I208" s="36"/>
      <c r="J208" s="36"/>
      <c r="K208" s="36"/>
      <c r="L208" s="36"/>
      <c r="M208" s="36"/>
      <c r="N208" s="36"/>
      <c r="O208" s="36"/>
      <c r="P208" s="36"/>
      <c r="Q208" s="36"/>
      <c r="R208" s="36"/>
      <c r="S208" s="36"/>
      <c r="T208" s="36"/>
      <c r="V208" s="194" t="s">
        <v>239</v>
      </c>
      <c r="W208" s="194"/>
      <c r="X208" s="194"/>
      <c r="Y208" s="194"/>
      <c r="Z208" s="194"/>
      <c r="AA208" s="194"/>
      <c r="AB208" s="194"/>
      <c r="AC208" s="194"/>
      <c r="AD208" s="194"/>
      <c r="AE208" s="194"/>
      <c r="AF208" s="194"/>
      <c r="AG208" s="194"/>
      <c r="AH208" s="194"/>
      <c r="AI208" s="194"/>
      <c r="AJ208" s="194"/>
      <c r="AK208" s="194"/>
      <c r="AL208" s="194"/>
      <c r="AM208" s="194"/>
      <c r="AN208" s="194"/>
      <c r="AO208" s="194"/>
      <c r="AP208" s="194"/>
      <c r="AQ208" s="194"/>
      <c r="AR208" s="194"/>
      <c r="AS208" s="194"/>
      <c r="AT208" s="194"/>
      <c r="AU208" s="194"/>
      <c r="AV208" s="194"/>
      <c r="AW208" s="8"/>
    </row>
    <row r="209" spans="1:50" ht="3.75" customHeight="1" thickBot="1" x14ac:dyDescent="0.35">
      <c r="B209" s="35"/>
      <c r="C209" s="36"/>
      <c r="D209" s="36"/>
      <c r="E209" s="36"/>
      <c r="F209" s="36"/>
      <c r="G209" s="36"/>
      <c r="H209" s="36"/>
      <c r="I209" s="36"/>
      <c r="J209" s="36"/>
      <c r="K209" s="36"/>
      <c r="L209" s="36"/>
      <c r="M209" s="36"/>
      <c r="N209" s="36"/>
      <c r="O209" s="36"/>
      <c r="P209" s="36"/>
      <c r="Q209" s="36"/>
      <c r="R209" s="36"/>
      <c r="S209" s="36"/>
      <c r="T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36"/>
      <c r="AR209" s="36"/>
      <c r="AS209" s="36"/>
      <c r="AT209" s="36"/>
      <c r="AU209" s="36"/>
      <c r="AV209" s="36"/>
      <c r="AW209" s="8"/>
    </row>
    <row r="210" spans="1:50" ht="21" customHeight="1" x14ac:dyDescent="0.3">
      <c r="B210" s="35"/>
      <c r="C210" s="91"/>
      <c r="D210" s="92"/>
      <c r="E210" s="92"/>
      <c r="F210" s="92"/>
      <c r="G210" s="92"/>
      <c r="H210" s="92"/>
      <c r="I210" s="92"/>
      <c r="J210" s="92"/>
      <c r="K210" s="92"/>
      <c r="L210" s="92"/>
      <c r="M210" s="92"/>
      <c r="N210" s="92"/>
      <c r="O210" s="92"/>
      <c r="P210" s="92"/>
      <c r="Q210" s="92"/>
      <c r="R210" s="92"/>
      <c r="S210" s="92"/>
      <c r="T210" s="93"/>
      <c r="V210" s="193"/>
      <c r="W210" s="193"/>
      <c r="X210" s="193"/>
      <c r="Y210" s="193"/>
      <c r="Z210" s="193"/>
      <c r="AA210" s="193"/>
      <c r="AB210" s="193"/>
      <c r="AC210" s="193"/>
      <c r="AD210" s="193"/>
      <c r="AE210" s="193"/>
      <c r="AF210" s="193"/>
      <c r="AG210" s="193"/>
      <c r="AH210" s="193"/>
      <c r="AI210" s="193"/>
      <c r="AJ210" s="193"/>
      <c r="AK210" s="193"/>
      <c r="AL210" s="193"/>
      <c r="AM210" s="193"/>
      <c r="AN210" s="193"/>
      <c r="AO210" s="193"/>
      <c r="AP210" s="193"/>
      <c r="AQ210" s="193"/>
      <c r="AR210" s="193"/>
      <c r="AS210" s="193"/>
      <c r="AT210" s="193"/>
      <c r="AU210" s="193"/>
      <c r="AV210" s="193"/>
      <c r="AW210" s="8"/>
    </row>
    <row r="211" spans="1:50" ht="11.25" customHeight="1" x14ac:dyDescent="0.3">
      <c r="B211" s="1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2"/>
    </row>
    <row r="212" spans="1:50" ht="3" customHeight="1" x14ac:dyDescent="0.3"/>
    <row r="213" spans="1:50" ht="3" customHeight="1" x14ac:dyDescent="0.3"/>
    <row r="214" spans="1:50" ht="15.75" customHeight="1" x14ac:dyDescent="0.3">
      <c r="B214" s="13"/>
      <c r="C214" s="14"/>
      <c r="D214" s="14"/>
      <c r="E214" s="204" t="s">
        <v>274</v>
      </c>
      <c r="F214" s="204"/>
      <c r="G214" s="204"/>
      <c r="H214" s="204"/>
      <c r="I214" s="204"/>
      <c r="J214" s="204"/>
      <c r="K214" s="204"/>
      <c r="L214" s="204"/>
      <c r="M214" s="204"/>
      <c r="N214" s="204"/>
      <c r="O214" s="204"/>
      <c r="P214" s="204"/>
      <c r="Q214" s="204"/>
      <c r="R214" s="204"/>
      <c r="S214" s="204"/>
      <c r="T214" s="204"/>
      <c r="U214" s="204"/>
      <c r="V214" s="204"/>
      <c r="W214" s="204"/>
      <c r="X214" s="204"/>
      <c r="Y214" s="204"/>
      <c r="Z214" s="204"/>
      <c r="AA214" s="204"/>
      <c r="AB214" s="204"/>
      <c r="AC214" s="204"/>
      <c r="AD214" s="204"/>
      <c r="AE214" s="204"/>
      <c r="AF214" s="204"/>
      <c r="AG214" s="204"/>
      <c r="AH214" s="204"/>
      <c r="AI214" s="204"/>
      <c r="AJ214" s="204"/>
      <c r="AK214" s="204"/>
      <c r="AL214" s="204"/>
      <c r="AM214" s="204"/>
      <c r="AN214" s="204"/>
      <c r="AO214" s="204"/>
      <c r="AP214" s="204"/>
      <c r="AQ214" s="204"/>
      <c r="AR214" s="204"/>
      <c r="AS214" s="204"/>
      <c r="AT214" s="41"/>
      <c r="AU214" s="41"/>
      <c r="AV214" s="41"/>
      <c r="AW214" s="15"/>
    </row>
    <row r="215" spans="1:50" ht="15.6" x14ac:dyDescent="0.3">
      <c r="B215" s="10"/>
      <c r="E215" s="205"/>
      <c r="F215" s="205"/>
      <c r="G215" s="205"/>
      <c r="H215" s="205"/>
      <c r="I215" s="205"/>
      <c r="J215" s="205"/>
      <c r="K215" s="205"/>
      <c r="L215" s="205"/>
      <c r="M215" s="205"/>
      <c r="N215" s="205"/>
      <c r="O215" s="205"/>
      <c r="P215" s="205"/>
      <c r="Q215" s="205"/>
      <c r="R215" s="205"/>
      <c r="S215" s="205"/>
      <c r="T215" s="205"/>
      <c r="U215" s="205"/>
      <c r="V215" s="205"/>
      <c r="W215" s="205"/>
      <c r="X215" s="205"/>
      <c r="Y215" s="205"/>
      <c r="Z215" s="205"/>
      <c r="AA215" s="205"/>
      <c r="AB215" s="205"/>
      <c r="AC215" s="205"/>
      <c r="AD215" s="205"/>
      <c r="AE215" s="205"/>
      <c r="AF215" s="205"/>
      <c r="AG215" s="205"/>
      <c r="AH215" s="205"/>
      <c r="AI215" s="205"/>
      <c r="AJ215" s="205"/>
      <c r="AK215" s="205"/>
      <c r="AL215" s="205"/>
      <c r="AM215" s="205"/>
      <c r="AN215" s="205"/>
      <c r="AO215" s="205"/>
      <c r="AP215" s="205"/>
      <c r="AQ215" s="205"/>
      <c r="AR215" s="205"/>
      <c r="AS215" s="205"/>
      <c r="AT215" s="42"/>
      <c r="AU215" s="42"/>
      <c r="AV215" s="42"/>
      <c r="AW215" s="8"/>
    </row>
    <row r="216" spans="1:50" ht="15.6" x14ac:dyDescent="0.3">
      <c r="B216" s="10"/>
      <c r="E216" s="205"/>
      <c r="F216" s="205"/>
      <c r="G216" s="205"/>
      <c r="H216" s="205"/>
      <c r="I216" s="205"/>
      <c r="J216" s="205"/>
      <c r="K216" s="205"/>
      <c r="L216" s="205"/>
      <c r="M216" s="205"/>
      <c r="N216" s="205"/>
      <c r="O216" s="205"/>
      <c r="P216" s="205"/>
      <c r="Q216" s="205"/>
      <c r="R216" s="205"/>
      <c r="S216" s="205"/>
      <c r="T216" s="205"/>
      <c r="U216" s="205"/>
      <c r="V216" s="205"/>
      <c r="W216" s="205"/>
      <c r="X216" s="205"/>
      <c r="Y216" s="205"/>
      <c r="Z216" s="205"/>
      <c r="AA216" s="205"/>
      <c r="AB216" s="205"/>
      <c r="AC216" s="205"/>
      <c r="AD216" s="205"/>
      <c r="AE216" s="205"/>
      <c r="AF216" s="205"/>
      <c r="AG216" s="205"/>
      <c r="AH216" s="205"/>
      <c r="AI216" s="205"/>
      <c r="AJ216" s="205"/>
      <c r="AK216" s="205"/>
      <c r="AL216" s="205"/>
      <c r="AM216" s="205"/>
      <c r="AN216" s="205"/>
      <c r="AO216" s="205"/>
      <c r="AP216" s="205"/>
      <c r="AQ216" s="205"/>
      <c r="AR216" s="205"/>
      <c r="AS216" s="205"/>
      <c r="AT216" s="42"/>
      <c r="AU216" s="42"/>
      <c r="AV216" s="42"/>
      <c r="AW216" s="8"/>
    </row>
    <row r="217" spans="1:50" x14ac:dyDescent="0.3">
      <c r="B217" s="224" t="s">
        <v>279</v>
      </c>
      <c r="C217" s="212"/>
      <c r="D217" s="212"/>
      <c r="E217" s="212"/>
      <c r="F217" s="212"/>
      <c r="G217" s="212"/>
      <c r="H217" s="212"/>
      <c r="I217" s="212"/>
      <c r="J217" s="212"/>
      <c r="K217" s="212"/>
      <c r="L217" s="212"/>
      <c r="M217" s="212"/>
      <c r="N217" s="212"/>
      <c r="O217" s="212"/>
      <c r="P217" s="212"/>
      <c r="Q217" s="212"/>
      <c r="R217" s="212"/>
      <c r="S217" s="212"/>
      <c r="T217" s="212"/>
      <c r="U217" s="212"/>
      <c r="V217" s="212"/>
      <c r="W217" s="212"/>
      <c r="X217" s="212"/>
      <c r="Y217" s="212"/>
      <c r="Z217" s="212"/>
      <c r="AA217" s="212"/>
      <c r="AB217" s="212"/>
      <c r="AC217" s="212"/>
      <c r="AD217" s="212"/>
      <c r="AE217" s="212"/>
      <c r="AF217" s="212"/>
      <c r="AG217" s="212"/>
      <c r="AH217" s="212"/>
      <c r="AI217" s="212"/>
      <c r="AJ217" s="212"/>
      <c r="AK217" s="212"/>
      <c r="AL217" s="212"/>
      <c r="AM217" s="212"/>
      <c r="AN217" s="212"/>
      <c r="AO217" s="212"/>
      <c r="AP217" s="212"/>
      <c r="AQ217" s="212"/>
      <c r="AR217" s="212"/>
      <c r="AS217" s="212"/>
      <c r="AT217" s="212"/>
      <c r="AU217" s="212"/>
      <c r="AV217" s="212"/>
      <c r="AW217" s="12"/>
    </row>
    <row r="218" spans="1:50" ht="3" customHeight="1" x14ac:dyDescent="0.3"/>
    <row r="219" spans="1:50" x14ac:dyDescent="0.3">
      <c r="A219" s="56"/>
      <c r="B219" s="222" t="str">
        <f>IF(OR(C225="",C229="",C232="",C236="",C240=""),"Há perguntas sem resposta. Favor conferir se as 5 perguntas foram respondidas","")</f>
        <v>Há perguntas sem resposta. Favor conferir se as 5 perguntas foram respondidas</v>
      </c>
      <c r="C219" s="222"/>
      <c r="D219" s="222"/>
      <c r="E219" s="222"/>
      <c r="F219" s="222"/>
      <c r="G219" s="222"/>
      <c r="H219" s="222"/>
      <c r="I219" s="222"/>
      <c r="J219" s="222"/>
      <c r="K219" s="222"/>
      <c r="L219" s="222"/>
      <c r="M219" s="222"/>
      <c r="N219" s="222"/>
      <c r="O219" s="222"/>
      <c r="P219" s="222"/>
      <c r="Q219" s="222"/>
      <c r="R219" s="222"/>
      <c r="S219" s="222"/>
      <c r="T219" s="222"/>
      <c r="U219" s="222"/>
      <c r="V219" s="222"/>
      <c r="W219" s="222"/>
      <c r="X219" s="222"/>
      <c r="Y219" s="222"/>
      <c r="Z219" s="222"/>
      <c r="AA219" s="222"/>
      <c r="AB219" s="222"/>
      <c r="AC219" s="222"/>
      <c r="AD219" s="222"/>
      <c r="AE219" s="222"/>
      <c r="AF219" s="222"/>
      <c r="AG219" s="222"/>
      <c r="AH219" s="222"/>
      <c r="AI219" s="222"/>
      <c r="AJ219" s="222"/>
      <c r="AK219" s="222"/>
      <c r="AL219" s="222"/>
      <c r="AM219" s="222"/>
      <c r="AN219" s="222"/>
      <c r="AO219" s="222"/>
      <c r="AP219" s="222"/>
      <c r="AQ219" s="222"/>
      <c r="AR219" s="222"/>
      <c r="AS219" s="222"/>
      <c r="AT219" s="222"/>
      <c r="AU219" s="222"/>
      <c r="AV219" s="222"/>
      <c r="AW219" s="222"/>
      <c r="AX219" s="56"/>
    </row>
    <row r="220" spans="1:50" x14ac:dyDescent="0.3">
      <c r="A220" s="56"/>
      <c r="B220" s="222"/>
      <c r="C220" s="222"/>
      <c r="D220" s="222"/>
      <c r="E220" s="222"/>
      <c r="F220" s="222"/>
      <c r="G220" s="222"/>
      <c r="H220" s="222"/>
      <c r="I220" s="222"/>
      <c r="J220" s="222"/>
      <c r="K220" s="222"/>
      <c r="L220" s="222"/>
      <c r="M220" s="222"/>
      <c r="N220" s="222"/>
      <c r="O220" s="222"/>
      <c r="P220" s="222"/>
      <c r="Q220" s="222"/>
      <c r="R220" s="222"/>
      <c r="S220" s="222"/>
      <c r="T220" s="222"/>
      <c r="U220" s="222"/>
      <c r="V220" s="222"/>
      <c r="W220" s="222"/>
      <c r="X220" s="222"/>
      <c r="Y220" s="222"/>
      <c r="Z220" s="222"/>
      <c r="AA220" s="222"/>
      <c r="AB220" s="222"/>
      <c r="AC220" s="222"/>
      <c r="AD220" s="222"/>
      <c r="AE220" s="222"/>
      <c r="AF220" s="222"/>
      <c r="AG220" s="222"/>
      <c r="AH220" s="222"/>
      <c r="AI220" s="222"/>
      <c r="AJ220" s="222"/>
      <c r="AK220" s="222"/>
      <c r="AL220" s="222"/>
      <c r="AM220" s="222"/>
      <c r="AN220" s="222"/>
      <c r="AO220" s="222"/>
      <c r="AP220" s="222"/>
      <c r="AQ220" s="222"/>
      <c r="AR220" s="222"/>
      <c r="AS220" s="222"/>
      <c r="AT220" s="222"/>
      <c r="AU220" s="222"/>
      <c r="AV220" s="222"/>
      <c r="AW220" s="222"/>
      <c r="AX220" s="56"/>
    </row>
    <row r="221" spans="1:50" x14ac:dyDescent="0.3">
      <c r="B221" s="103" t="s">
        <v>275</v>
      </c>
      <c r="C221" s="104"/>
      <c r="D221" s="104"/>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c r="AA221" s="104"/>
      <c r="AB221" s="104"/>
      <c r="AC221" s="104"/>
      <c r="AD221" s="104"/>
      <c r="AE221" s="104"/>
      <c r="AF221" s="104"/>
      <c r="AG221" s="104"/>
      <c r="AH221" s="104"/>
      <c r="AI221" s="104"/>
      <c r="AJ221" s="104"/>
      <c r="AK221" s="104"/>
      <c r="AL221" s="104"/>
      <c r="AM221" s="104"/>
      <c r="AN221" s="104"/>
      <c r="AO221" s="104"/>
      <c r="AP221" s="104"/>
      <c r="AQ221" s="104"/>
      <c r="AR221" s="104"/>
      <c r="AS221" s="104"/>
      <c r="AT221" s="104"/>
      <c r="AU221" s="104"/>
      <c r="AV221" s="104"/>
      <c r="AW221" s="105"/>
    </row>
    <row r="222" spans="1:50" ht="3" customHeight="1" x14ac:dyDescent="0.3">
      <c r="B222" s="10"/>
      <c r="E222" s="31"/>
      <c r="AW222" s="8"/>
    </row>
    <row r="223" spans="1:50" x14ac:dyDescent="0.3">
      <c r="A223" s="47"/>
      <c r="B223" s="199" t="s">
        <v>255</v>
      </c>
      <c r="C223" s="200"/>
      <c r="D223" s="200"/>
      <c r="E223" s="200"/>
      <c r="F223" s="200"/>
      <c r="G223" s="200"/>
      <c r="H223" s="200"/>
      <c r="I223" s="200"/>
      <c r="J223" s="200"/>
      <c r="K223" s="200"/>
      <c r="L223" s="200"/>
      <c r="M223" s="200"/>
      <c r="N223" s="200"/>
      <c r="O223" s="200"/>
      <c r="P223" s="200"/>
      <c r="Q223" s="200"/>
      <c r="R223" s="200"/>
      <c r="S223" s="200"/>
      <c r="T223" s="200"/>
      <c r="U223" s="200"/>
      <c r="V223" s="200"/>
      <c r="W223" s="200"/>
      <c r="X223" s="200"/>
      <c r="Y223" s="200"/>
      <c r="Z223" s="200"/>
      <c r="AA223" s="200"/>
      <c r="AB223" s="200"/>
      <c r="AC223" s="200"/>
      <c r="AD223" s="200"/>
      <c r="AE223" s="200"/>
      <c r="AF223" s="200"/>
      <c r="AG223" s="200"/>
      <c r="AH223" s="200"/>
      <c r="AI223" s="200"/>
      <c r="AJ223" s="200"/>
      <c r="AK223" s="200"/>
      <c r="AL223" s="200"/>
      <c r="AM223" s="200"/>
      <c r="AN223" s="200"/>
      <c r="AV223" s="71"/>
      <c r="AW223" s="69"/>
      <c r="AX223" s="47"/>
    </row>
    <row r="224" spans="1:50" ht="3" customHeight="1" x14ac:dyDescent="0.3">
      <c r="A224" s="47"/>
      <c r="B224" s="49"/>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c r="AG224" s="50"/>
      <c r="AH224" s="50"/>
      <c r="AI224" s="50"/>
      <c r="AJ224" s="50"/>
      <c r="AK224" s="50"/>
      <c r="AL224" s="50"/>
      <c r="AM224" s="50"/>
      <c r="AN224" s="50"/>
      <c r="AO224" s="71"/>
      <c r="AP224" s="71"/>
      <c r="AQ224" s="71"/>
      <c r="AR224" s="71"/>
      <c r="AS224" s="71"/>
      <c r="AT224" s="71"/>
      <c r="AU224" s="71"/>
      <c r="AV224" s="50"/>
      <c r="AW224" s="48"/>
      <c r="AX224" s="47"/>
    </row>
    <row r="225" spans="1:50" ht="35.1" customHeight="1" x14ac:dyDescent="0.3">
      <c r="A225" s="47"/>
      <c r="B225" s="46"/>
      <c r="C225" s="225"/>
      <c r="D225" s="226"/>
      <c r="E225" s="226"/>
      <c r="F225" s="226"/>
      <c r="G225" s="226"/>
      <c r="H225" s="226"/>
      <c r="I225" s="226"/>
      <c r="J225" s="226"/>
      <c r="K225" s="226"/>
      <c r="L225" s="226"/>
      <c r="M225" s="226"/>
      <c r="N225" s="226"/>
      <c r="O225" s="226"/>
      <c r="P225" s="226"/>
      <c r="Q225" s="226"/>
      <c r="R225" s="226"/>
      <c r="S225" s="226"/>
      <c r="T225" s="226"/>
      <c r="U225" s="226"/>
      <c r="V225" s="226"/>
      <c r="W225" s="226"/>
      <c r="X225" s="226"/>
      <c r="Y225" s="226"/>
      <c r="Z225" s="226"/>
      <c r="AA225" s="226"/>
      <c r="AB225" s="226"/>
      <c r="AC225" s="226"/>
      <c r="AD225" s="226"/>
      <c r="AE225" s="226"/>
      <c r="AF225" s="226"/>
      <c r="AG225" s="226"/>
      <c r="AH225" s="226"/>
      <c r="AI225" s="226"/>
      <c r="AJ225" s="226"/>
      <c r="AK225" s="226"/>
      <c r="AL225" s="226"/>
      <c r="AM225" s="226"/>
      <c r="AN225" s="226"/>
      <c r="AO225" s="226"/>
      <c r="AP225" s="226"/>
      <c r="AQ225" s="226"/>
      <c r="AR225" s="226"/>
      <c r="AS225" s="226"/>
      <c r="AT225" s="226"/>
      <c r="AU225" s="227"/>
      <c r="AV225" s="47"/>
      <c r="AW225" s="48"/>
      <c r="AX225" s="47"/>
    </row>
    <row r="226" spans="1:50" ht="3" customHeight="1" x14ac:dyDescent="0.3">
      <c r="A226" s="47"/>
      <c r="B226" s="46"/>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c r="AA226" s="47"/>
      <c r="AB226" s="47"/>
      <c r="AC226" s="47"/>
      <c r="AD226" s="47"/>
      <c r="AE226" s="47"/>
      <c r="AF226" s="47"/>
      <c r="AG226" s="47"/>
      <c r="AH226" s="47"/>
      <c r="AI226" s="47"/>
      <c r="AJ226" s="47"/>
      <c r="AK226" s="47"/>
      <c r="AL226" s="47"/>
      <c r="AM226" s="47"/>
      <c r="AN226" s="47"/>
      <c r="AO226" s="47"/>
      <c r="AP226" s="47"/>
      <c r="AQ226" s="47"/>
      <c r="AR226" s="47"/>
      <c r="AS226" s="47"/>
      <c r="AT226" s="47"/>
      <c r="AU226" s="47"/>
      <c r="AV226" s="47"/>
      <c r="AW226" s="48"/>
      <c r="AX226" s="47"/>
    </row>
    <row r="227" spans="1:50" x14ac:dyDescent="0.3">
      <c r="A227" s="47"/>
      <c r="B227" s="199" t="s">
        <v>256</v>
      </c>
      <c r="C227" s="200"/>
      <c r="D227" s="200"/>
      <c r="E227" s="200"/>
      <c r="F227" s="200"/>
      <c r="G227" s="200"/>
      <c r="H227" s="200"/>
      <c r="I227" s="200"/>
      <c r="J227" s="200"/>
      <c r="K227" s="200"/>
      <c r="L227" s="200"/>
      <c r="M227" s="200"/>
      <c r="N227" s="200"/>
      <c r="O227" s="200"/>
      <c r="P227" s="200"/>
      <c r="Q227" s="200"/>
      <c r="R227" s="200"/>
      <c r="S227" s="200"/>
      <c r="T227" s="200"/>
      <c r="U227" s="200"/>
      <c r="V227" s="200"/>
      <c r="W227" s="200"/>
      <c r="X227" s="200"/>
      <c r="Y227" s="200"/>
      <c r="Z227" s="200"/>
      <c r="AA227" s="200"/>
      <c r="AB227" s="200"/>
      <c r="AC227" s="200"/>
      <c r="AD227" s="200"/>
      <c r="AE227" s="200"/>
      <c r="AF227" s="200"/>
      <c r="AG227" s="200"/>
      <c r="AH227" s="200"/>
      <c r="AI227" s="200"/>
      <c r="AJ227" s="200"/>
      <c r="AK227" s="200"/>
      <c r="AL227" s="71"/>
      <c r="AM227" s="71"/>
      <c r="AN227" s="71"/>
      <c r="AO227" s="71"/>
      <c r="AP227" s="71"/>
      <c r="AQ227" s="71"/>
      <c r="AR227" s="71"/>
      <c r="AS227" s="71"/>
      <c r="AT227" s="71"/>
      <c r="AU227" s="71"/>
      <c r="AV227" s="71"/>
      <c r="AW227" s="48"/>
      <c r="AX227" s="47"/>
    </row>
    <row r="228" spans="1:50" ht="3" customHeight="1" x14ac:dyDescent="0.3">
      <c r="A228" s="47"/>
      <c r="B228" s="51"/>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48"/>
      <c r="AX228" s="47"/>
    </row>
    <row r="229" spans="1:50" ht="35.1" customHeight="1" x14ac:dyDescent="0.3">
      <c r="A229" s="47"/>
      <c r="B229" s="46"/>
      <c r="C229" s="225"/>
      <c r="D229" s="226"/>
      <c r="E229" s="226"/>
      <c r="F229" s="226"/>
      <c r="G229" s="226"/>
      <c r="H229" s="226"/>
      <c r="I229" s="226"/>
      <c r="J229" s="226"/>
      <c r="K229" s="226"/>
      <c r="L229" s="226"/>
      <c r="M229" s="226"/>
      <c r="N229" s="226"/>
      <c r="O229" s="226"/>
      <c r="P229" s="226"/>
      <c r="Q229" s="226"/>
      <c r="R229" s="226"/>
      <c r="S229" s="226"/>
      <c r="T229" s="226"/>
      <c r="U229" s="226"/>
      <c r="V229" s="226"/>
      <c r="W229" s="226"/>
      <c r="X229" s="226"/>
      <c r="Y229" s="226"/>
      <c r="Z229" s="226"/>
      <c r="AA229" s="226"/>
      <c r="AB229" s="226"/>
      <c r="AC229" s="226"/>
      <c r="AD229" s="226"/>
      <c r="AE229" s="226"/>
      <c r="AF229" s="226"/>
      <c r="AG229" s="226"/>
      <c r="AH229" s="226"/>
      <c r="AI229" s="226"/>
      <c r="AJ229" s="226"/>
      <c r="AK229" s="226"/>
      <c r="AL229" s="226"/>
      <c r="AM229" s="226"/>
      <c r="AN229" s="226"/>
      <c r="AO229" s="226"/>
      <c r="AP229" s="226"/>
      <c r="AQ229" s="226"/>
      <c r="AR229" s="226"/>
      <c r="AS229" s="226"/>
      <c r="AT229" s="226"/>
      <c r="AU229" s="227"/>
      <c r="AV229" s="47"/>
      <c r="AW229" s="48"/>
      <c r="AX229" s="47"/>
    </row>
    <row r="230" spans="1:50" ht="3" customHeight="1" x14ac:dyDescent="0.3">
      <c r="A230" s="47"/>
      <c r="B230" s="51"/>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48"/>
      <c r="AX230" s="47"/>
    </row>
    <row r="231" spans="1:50" x14ac:dyDescent="0.3">
      <c r="A231" s="47"/>
      <c r="B231" s="199" t="s">
        <v>262</v>
      </c>
      <c r="C231" s="200"/>
      <c r="D231" s="200"/>
      <c r="E231" s="200"/>
      <c r="F231" s="200"/>
      <c r="G231" s="200"/>
      <c r="H231" s="200"/>
      <c r="I231" s="200"/>
      <c r="J231" s="200"/>
      <c r="K231" s="200"/>
      <c r="L231" s="200"/>
      <c r="M231" s="200"/>
      <c r="N231" s="200"/>
      <c r="O231" s="200"/>
      <c r="P231" s="200"/>
      <c r="Q231" s="200"/>
      <c r="R231" s="200"/>
      <c r="S231" s="200"/>
      <c r="T231" s="200"/>
      <c r="U231" s="200"/>
      <c r="V231" s="200"/>
      <c r="W231" s="200"/>
      <c r="X231" s="200"/>
      <c r="Y231" s="200"/>
      <c r="Z231" s="200"/>
      <c r="AA231" s="200"/>
      <c r="AB231" s="200"/>
      <c r="AC231" s="200"/>
      <c r="AD231" s="200"/>
      <c r="AE231" s="200"/>
      <c r="AF231" s="200"/>
      <c r="AG231" s="200"/>
      <c r="AH231" s="71"/>
      <c r="AI231" s="71"/>
      <c r="AJ231" s="71"/>
      <c r="AK231" s="71"/>
      <c r="AL231" s="71"/>
      <c r="AM231" s="71"/>
      <c r="AN231" s="71"/>
      <c r="AO231" s="71"/>
      <c r="AP231" s="71"/>
      <c r="AQ231" s="71"/>
      <c r="AR231" s="71"/>
      <c r="AS231" s="71"/>
      <c r="AT231" s="71"/>
      <c r="AU231" s="71"/>
      <c r="AV231" s="71"/>
      <c r="AW231" s="48"/>
      <c r="AX231" s="47"/>
    </row>
    <row r="232" spans="1:50" ht="35.1" customHeight="1" x14ac:dyDescent="0.3">
      <c r="A232" s="47"/>
      <c r="B232" s="70"/>
      <c r="C232" s="228"/>
      <c r="D232" s="229"/>
      <c r="E232" s="229"/>
      <c r="F232" s="229"/>
      <c r="G232" s="229"/>
      <c r="H232" s="229"/>
      <c r="I232" s="229"/>
      <c r="J232" s="229"/>
      <c r="K232" s="229"/>
      <c r="L232" s="229"/>
      <c r="M232" s="229"/>
      <c r="N232" s="229"/>
      <c r="O232" s="229"/>
      <c r="P232" s="229"/>
      <c r="Q232" s="229"/>
      <c r="R232" s="229"/>
      <c r="S232" s="229"/>
      <c r="T232" s="229"/>
      <c r="U232" s="229"/>
      <c r="V232" s="229"/>
      <c r="W232" s="229"/>
      <c r="X232" s="229"/>
      <c r="Y232" s="229"/>
      <c r="Z232" s="229"/>
      <c r="AA232" s="229"/>
      <c r="AB232" s="229"/>
      <c r="AC232" s="229"/>
      <c r="AD232" s="229"/>
      <c r="AE232" s="229"/>
      <c r="AF232" s="229"/>
      <c r="AG232" s="229"/>
      <c r="AH232" s="229"/>
      <c r="AI232" s="229"/>
      <c r="AJ232" s="229"/>
      <c r="AK232" s="229"/>
      <c r="AL232" s="229"/>
      <c r="AM232" s="229"/>
      <c r="AN232" s="229"/>
      <c r="AO232" s="229"/>
      <c r="AP232" s="229"/>
      <c r="AQ232" s="229"/>
      <c r="AR232" s="229"/>
      <c r="AS232" s="229"/>
      <c r="AT232" s="229"/>
      <c r="AU232" s="230"/>
      <c r="AV232" s="71"/>
      <c r="AW232" s="48"/>
      <c r="AX232" s="47"/>
    </row>
    <row r="233" spans="1:50" ht="3" customHeight="1" x14ac:dyDescent="0.3">
      <c r="A233" s="47"/>
      <c r="B233" s="51"/>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48"/>
      <c r="AX233" s="47"/>
    </row>
    <row r="234" spans="1:50" x14ac:dyDescent="0.3">
      <c r="A234" s="47"/>
      <c r="B234" s="199" t="s">
        <v>267</v>
      </c>
      <c r="C234" s="200"/>
      <c r="D234" s="200"/>
      <c r="E234" s="200"/>
      <c r="F234" s="200"/>
      <c r="G234" s="200"/>
      <c r="H234" s="200"/>
      <c r="I234" s="200"/>
      <c r="J234" s="200"/>
      <c r="K234" s="200"/>
      <c r="L234" s="200"/>
      <c r="M234" s="200"/>
      <c r="N234" s="200"/>
      <c r="O234" s="200"/>
      <c r="P234" s="200"/>
      <c r="Q234" s="200"/>
      <c r="R234" s="200"/>
      <c r="S234" s="200"/>
      <c r="T234" s="200"/>
      <c r="U234" s="200"/>
      <c r="V234" s="200"/>
      <c r="W234" s="200"/>
      <c r="X234" s="200"/>
      <c r="Y234" s="200"/>
      <c r="Z234" s="200"/>
      <c r="AA234" s="200"/>
      <c r="AB234" s="200"/>
      <c r="AC234" s="200"/>
      <c r="AD234" s="200"/>
      <c r="AE234" s="200"/>
      <c r="AF234" s="200"/>
      <c r="AG234" s="200"/>
      <c r="AH234" s="71"/>
      <c r="AI234" s="71"/>
      <c r="AJ234" s="71"/>
      <c r="AK234" s="71"/>
      <c r="AL234" s="71"/>
      <c r="AM234" s="71"/>
      <c r="AN234" s="71"/>
      <c r="AO234" s="71"/>
      <c r="AP234" s="71"/>
      <c r="AQ234" s="71"/>
      <c r="AR234" s="71"/>
      <c r="AS234" s="71"/>
      <c r="AT234" s="71"/>
      <c r="AU234" s="71"/>
      <c r="AV234" s="71"/>
      <c r="AW234" s="48"/>
      <c r="AX234" s="47"/>
    </row>
    <row r="235" spans="1:50" ht="3" customHeight="1" x14ac:dyDescent="0.3">
      <c r="A235" s="47"/>
      <c r="B235" s="51"/>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48"/>
      <c r="AX235" s="47"/>
    </row>
    <row r="236" spans="1:50" ht="35.1" customHeight="1" x14ac:dyDescent="0.3">
      <c r="A236" s="47"/>
      <c r="B236" s="46"/>
      <c r="C236" s="228"/>
      <c r="D236" s="229"/>
      <c r="E236" s="229"/>
      <c r="F236" s="229"/>
      <c r="G236" s="229"/>
      <c r="H236" s="229"/>
      <c r="I236" s="229"/>
      <c r="J236" s="229"/>
      <c r="K236" s="229"/>
      <c r="L236" s="229"/>
      <c r="M236" s="229"/>
      <c r="N236" s="229"/>
      <c r="O236" s="229"/>
      <c r="P236" s="229"/>
      <c r="Q236" s="229"/>
      <c r="R236" s="229"/>
      <c r="S236" s="229"/>
      <c r="T236" s="229"/>
      <c r="U236" s="229"/>
      <c r="V236" s="229"/>
      <c r="W236" s="229"/>
      <c r="X236" s="229"/>
      <c r="Y236" s="229"/>
      <c r="Z236" s="229"/>
      <c r="AA236" s="229"/>
      <c r="AB236" s="229"/>
      <c r="AC236" s="229"/>
      <c r="AD236" s="229"/>
      <c r="AE236" s="229"/>
      <c r="AF236" s="229"/>
      <c r="AG236" s="229"/>
      <c r="AH236" s="229"/>
      <c r="AI236" s="229"/>
      <c r="AJ236" s="229"/>
      <c r="AK236" s="229"/>
      <c r="AL236" s="229"/>
      <c r="AM236" s="229"/>
      <c r="AN236" s="229"/>
      <c r="AO236" s="229"/>
      <c r="AP236" s="229"/>
      <c r="AQ236" s="229"/>
      <c r="AR236" s="229"/>
      <c r="AS236" s="229"/>
      <c r="AT236" s="229"/>
      <c r="AU236" s="230"/>
      <c r="AV236" s="47"/>
      <c r="AW236" s="48"/>
      <c r="AX236" s="47"/>
    </row>
    <row r="237" spans="1:50" ht="3" customHeight="1" x14ac:dyDescent="0.3">
      <c r="A237" s="47"/>
      <c r="B237" s="51"/>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48"/>
      <c r="AX237" s="47"/>
    </row>
    <row r="238" spans="1:50" x14ac:dyDescent="0.3">
      <c r="A238" s="47"/>
      <c r="B238" s="199" t="s">
        <v>270</v>
      </c>
      <c r="C238" s="200"/>
      <c r="D238" s="200"/>
      <c r="E238" s="200"/>
      <c r="F238" s="200"/>
      <c r="G238" s="200"/>
      <c r="H238" s="200"/>
      <c r="I238" s="200"/>
      <c r="J238" s="200"/>
      <c r="K238" s="200"/>
      <c r="L238" s="200"/>
      <c r="M238" s="200"/>
      <c r="N238" s="200"/>
      <c r="O238" s="200"/>
      <c r="P238" s="200"/>
      <c r="Q238" s="200"/>
      <c r="R238" s="200"/>
      <c r="S238" s="200"/>
      <c r="T238" s="200"/>
      <c r="U238" s="200"/>
      <c r="V238" s="200"/>
      <c r="W238" s="200"/>
      <c r="X238" s="200"/>
      <c r="Y238" s="200"/>
      <c r="Z238" s="200"/>
      <c r="AA238" s="200"/>
      <c r="AB238" s="200"/>
      <c r="AC238" s="200"/>
      <c r="AD238" s="200"/>
      <c r="AE238" s="200"/>
      <c r="AF238" s="200"/>
      <c r="AG238" s="71"/>
      <c r="AH238" s="71"/>
      <c r="AI238" s="71"/>
      <c r="AJ238" s="71"/>
      <c r="AK238" s="71"/>
      <c r="AL238" s="71"/>
      <c r="AM238" s="71"/>
      <c r="AN238" s="71"/>
      <c r="AO238" s="71"/>
      <c r="AP238" s="71"/>
      <c r="AQ238" s="71"/>
      <c r="AR238" s="71"/>
      <c r="AS238" s="71"/>
      <c r="AT238" s="71"/>
      <c r="AU238" s="71"/>
      <c r="AV238" s="71"/>
      <c r="AW238" s="48"/>
      <c r="AX238" s="47"/>
    </row>
    <row r="239" spans="1:50" ht="3" customHeight="1" x14ac:dyDescent="0.3">
      <c r="A239" s="47"/>
      <c r="B239" s="51"/>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48"/>
      <c r="AX239" s="47"/>
    </row>
    <row r="240" spans="1:50" ht="35.1" customHeight="1" x14ac:dyDescent="0.3">
      <c r="A240" s="47"/>
      <c r="B240" s="51"/>
      <c r="C240" s="228"/>
      <c r="D240" s="229"/>
      <c r="E240" s="229"/>
      <c r="F240" s="229"/>
      <c r="G240" s="229"/>
      <c r="H240" s="229"/>
      <c r="I240" s="229"/>
      <c r="J240" s="229"/>
      <c r="K240" s="229"/>
      <c r="L240" s="229"/>
      <c r="M240" s="229"/>
      <c r="N240" s="229"/>
      <c r="O240" s="229"/>
      <c r="P240" s="229"/>
      <c r="Q240" s="229"/>
      <c r="R240" s="229"/>
      <c r="S240" s="229"/>
      <c r="T240" s="229"/>
      <c r="U240" s="229"/>
      <c r="V240" s="229"/>
      <c r="W240" s="229"/>
      <c r="X240" s="229"/>
      <c r="Y240" s="229"/>
      <c r="Z240" s="229"/>
      <c r="AA240" s="229"/>
      <c r="AB240" s="229"/>
      <c r="AC240" s="229"/>
      <c r="AD240" s="229"/>
      <c r="AE240" s="229"/>
      <c r="AF240" s="229"/>
      <c r="AG240" s="229"/>
      <c r="AH240" s="229"/>
      <c r="AI240" s="229"/>
      <c r="AJ240" s="229"/>
      <c r="AK240" s="229"/>
      <c r="AL240" s="229"/>
      <c r="AM240" s="229"/>
      <c r="AN240" s="229"/>
      <c r="AO240" s="229"/>
      <c r="AP240" s="229"/>
      <c r="AQ240" s="229"/>
      <c r="AR240" s="229"/>
      <c r="AS240" s="229"/>
      <c r="AT240" s="229"/>
      <c r="AU240" s="230"/>
      <c r="AV240" s="52"/>
      <c r="AW240" s="48"/>
      <c r="AX240" s="47"/>
    </row>
    <row r="241" spans="1:50" ht="3" customHeight="1" x14ac:dyDescent="0.3">
      <c r="A241" s="47"/>
      <c r="B241" s="51"/>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48"/>
      <c r="AX241" s="47"/>
    </row>
    <row r="242" spans="1:50" x14ac:dyDescent="0.3">
      <c r="B242" s="1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2"/>
    </row>
    <row r="243" spans="1:50" ht="3" customHeight="1" x14ac:dyDescent="0.3"/>
    <row r="244" spans="1:50" ht="3" customHeight="1" x14ac:dyDescent="0.3"/>
    <row r="245" spans="1:50" x14ac:dyDescent="0.3">
      <c r="B245" s="103" t="s">
        <v>276</v>
      </c>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c r="AD245" s="104"/>
      <c r="AE245" s="104"/>
      <c r="AF245" s="104"/>
      <c r="AG245" s="104"/>
      <c r="AH245" s="104"/>
      <c r="AI245" s="104"/>
      <c r="AJ245" s="104"/>
      <c r="AK245" s="104"/>
      <c r="AL245" s="104"/>
      <c r="AM245" s="104"/>
      <c r="AN245" s="104"/>
      <c r="AO245" s="104"/>
      <c r="AP245" s="104"/>
      <c r="AQ245" s="104"/>
      <c r="AR245" s="104"/>
      <c r="AS245" s="104"/>
      <c r="AT245" s="104"/>
      <c r="AU245" s="104"/>
      <c r="AV245" s="104"/>
      <c r="AW245" s="105"/>
    </row>
    <row r="246" spans="1:50" ht="3" customHeight="1" x14ac:dyDescent="0.3">
      <c r="B246" s="10"/>
      <c r="AW246" s="8"/>
    </row>
    <row r="247" spans="1:50" ht="3" customHeight="1" x14ac:dyDescent="0.3">
      <c r="B247" s="10"/>
      <c r="AW247" s="8"/>
    </row>
    <row r="248" spans="1:50" ht="78" customHeight="1" x14ac:dyDescent="0.3">
      <c r="B248" s="10"/>
      <c r="D248" s="112" t="s">
        <v>278</v>
      </c>
      <c r="E248" s="112"/>
      <c r="F248" s="112"/>
      <c r="G248" s="112"/>
      <c r="H248" s="112"/>
      <c r="I248" s="112"/>
      <c r="J248" s="112"/>
      <c r="K248" s="112"/>
      <c r="L248" s="112"/>
      <c r="M248" s="112"/>
      <c r="N248" s="112"/>
      <c r="O248" s="112"/>
      <c r="P248" s="112"/>
      <c r="Q248" s="112"/>
      <c r="R248" s="112"/>
      <c r="S248" s="112"/>
      <c r="T248" s="112"/>
      <c r="U248" s="112"/>
      <c r="V248" s="112"/>
      <c r="W248" s="112"/>
      <c r="X248" s="112"/>
      <c r="Y248" s="112"/>
      <c r="Z248" s="112"/>
      <c r="AA248" s="112"/>
      <c r="AB248" s="112"/>
      <c r="AC248" s="112"/>
      <c r="AD248" s="112"/>
      <c r="AE248" s="112"/>
      <c r="AF248" s="112"/>
      <c r="AG248" s="112"/>
      <c r="AH248" s="112"/>
      <c r="AI248" s="112"/>
      <c r="AJ248" s="112"/>
      <c r="AK248" s="112"/>
      <c r="AL248" s="112"/>
      <c r="AM248" s="112"/>
      <c r="AN248" s="112"/>
      <c r="AO248" s="112"/>
      <c r="AP248" s="112"/>
      <c r="AQ248" s="112"/>
      <c r="AR248" s="112"/>
      <c r="AS248" s="112"/>
      <c r="AW248" s="8"/>
    </row>
    <row r="249" spans="1:50" ht="3" customHeight="1" x14ac:dyDescent="0.3">
      <c r="B249" s="10"/>
      <c r="AW249" s="8"/>
    </row>
    <row r="250" spans="1:50" ht="3" customHeight="1" x14ac:dyDescent="0.3">
      <c r="B250" s="10"/>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8"/>
    </row>
    <row r="251" spans="1:50" x14ac:dyDescent="0.3">
      <c r="B251" s="35" t="s">
        <v>226</v>
      </c>
      <c r="C251" s="36"/>
      <c r="D251" s="36"/>
      <c r="E251" s="36"/>
      <c r="F251" s="36"/>
      <c r="G251" s="36"/>
      <c r="H251" s="36"/>
      <c r="I251" s="36"/>
      <c r="J251" s="36"/>
      <c r="K251" s="36"/>
      <c r="L251" s="36"/>
      <c r="M251" s="36"/>
      <c r="N251" s="36"/>
      <c r="O251" s="36"/>
      <c r="P251" s="36"/>
      <c r="Q251" s="36"/>
      <c r="R251" s="36"/>
      <c r="S251" s="36"/>
      <c r="T251" s="36"/>
      <c r="V251" s="36" t="s">
        <v>277</v>
      </c>
      <c r="W251" s="36"/>
      <c r="X251" s="36"/>
      <c r="Y251" s="36"/>
      <c r="Z251" s="36"/>
      <c r="AA251" s="36"/>
      <c r="AB251" s="36"/>
      <c r="AC251" s="36"/>
      <c r="AD251" s="36"/>
      <c r="AE251" s="36"/>
      <c r="AF251" s="36"/>
      <c r="AG251" s="36"/>
      <c r="AH251" s="36"/>
      <c r="AI251" s="36"/>
      <c r="AJ251" s="36"/>
      <c r="AK251" s="36"/>
      <c r="AL251" s="36"/>
      <c r="AM251" s="36"/>
      <c r="AN251" s="36"/>
      <c r="AO251" s="36"/>
      <c r="AP251" s="36"/>
      <c r="AQ251" s="36"/>
      <c r="AR251" s="36"/>
      <c r="AS251" s="36"/>
      <c r="AT251" s="36"/>
      <c r="AU251" s="36"/>
      <c r="AV251" s="36"/>
      <c r="AW251" s="8"/>
    </row>
    <row r="252" spans="1:50" ht="3" customHeight="1" thickBot="1" x14ac:dyDescent="0.35">
      <c r="B252" s="35"/>
      <c r="C252" s="36"/>
      <c r="D252" s="36"/>
      <c r="E252" s="36"/>
      <c r="F252" s="36"/>
      <c r="G252" s="36"/>
      <c r="H252" s="36"/>
      <c r="I252" s="36"/>
      <c r="J252" s="36"/>
      <c r="K252" s="36"/>
      <c r="L252" s="36"/>
      <c r="M252" s="36"/>
      <c r="N252" s="36"/>
      <c r="O252" s="36"/>
      <c r="P252" s="36"/>
      <c r="Q252" s="36"/>
      <c r="R252" s="36"/>
      <c r="S252" s="36"/>
      <c r="T252" s="36"/>
      <c r="V252" s="36"/>
      <c r="W252" s="36"/>
      <c r="X252" s="36"/>
      <c r="Y252" s="36"/>
      <c r="Z252" s="36"/>
      <c r="AA252" s="36"/>
      <c r="AB252" s="36"/>
      <c r="AC252" s="36"/>
      <c r="AD252" s="36"/>
      <c r="AE252" s="36"/>
      <c r="AF252" s="36"/>
      <c r="AG252" s="36"/>
      <c r="AH252" s="36"/>
      <c r="AI252" s="36"/>
      <c r="AJ252" s="36"/>
      <c r="AK252" s="36"/>
      <c r="AL252" s="36"/>
      <c r="AM252" s="36"/>
      <c r="AN252" s="36"/>
      <c r="AO252" s="36"/>
      <c r="AP252" s="36"/>
      <c r="AQ252" s="36"/>
      <c r="AR252" s="36"/>
      <c r="AS252" s="36"/>
      <c r="AT252" s="36"/>
      <c r="AU252" s="36"/>
      <c r="AV252" s="36"/>
      <c r="AW252" s="8"/>
    </row>
    <row r="253" spans="1:50" ht="21" customHeight="1" x14ac:dyDescent="0.3">
      <c r="B253" s="35"/>
      <c r="C253" s="165"/>
      <c r="D253" s="166"/>
      <c r="E253" s="166"/>
      <c r="F253" s="166"/>
      <c r="G253" s="166"/>
      <c r="H253" s="166"/>
      <c r="I253" s="166"/>
      <c r="J253" s="166"/>
      <c r="K253" s="166"/>
      <c r="L253" s="166"/>
      <c r="M253" s="166"/>
      <c r="N253" s="166"/>
      <c r="O253" s="166"/>
      <c r="P253" s="166"/>
      <c r="Q253" s="166"/>
      <c r="R253" s="166"/>
      <c r="S253" s="166"/>
      <c r="T253" s="167"/>
      <c r="V253" s="210"/>
      <c r="W253" s="210"/>
      <c r="X253" s="210"/>
      <c r="Y253" s="210"/>
      <c r="Z253" s="210"/>
      <c r="AA253" s="210"/>
      <c r="AB253" s="210"/>
      <c r="AC253" s="210"/>
      <c r="AD253" s="210"/>
      <c r="AE253" s="210"/>
      <c r="AF253" s="210"/>
      <c r="AG253" s="210"/>
      <c r="AH253" s="210"/>
      <c r="AI253" s="210"/>
      <c r="AJ253" s="210"/>
      <c r="AK253" s="210"/>
      <c r="AL253" s="210"/>
      <c r="AM253" s="210"/>
      <c r="AN253" s="210"/>
      <c r="AO253" s="210"/>
      <c r="AP253" s="210"/>
      <c r="AQ253" s="210"/>
      <c r="AR253" s="210"/>
      <c r="AS253" s="210"/>
      <c r="AT253" s="210"/>
      <c r="AU253" s="210"/>
      <c r="AV253" s="210"/>
      <c r="AW253" s="8"/>
    </row>
    <row r="254" spans="1:50" x14ac:dyDescent="0.3">
      <c r="B254" s="1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2"/>
    </row>
  </sheetData>
  <mergeCells count="180">
    <mergeCell ref="C253:T253"/>
    <mergeCell ref="V253:AV253"/>
    <mergeCell ref="E214:AS216"/>
    <mergeCell ref="B217:AV217"/>
    <mergeCell ref="C225:AU225"/>
    <mergeCell ref="C229:AU229"/>
    <mergeCell ref="B231:AG231"/>
    <mergeCell ref="C232:AU232"/>
    <mergeCell ref="B234:AG234"/>
    <mergeCell ref="C236:AU236"/>
    <mergeCell ref="B238:AF238"/>
    <mergeCell ref="C240:AU240"/>
    <mergeCell ref="B245:AW245"/>
    <mergeCell ref="B219:AW220"/>
    <mergeCell ref="B221:AW221"/>
    <mergeCell ref="B223:AN223"/>
    <mergeCell ref="Y29:AE29"/>
    <mergeCell ref="P106:AU106"/>
    <mergeCell ref="P108:AU108"/>
    <mergeCell ref="B142:AW142"/>
    <mergeCell ref="B170:AW170"/>
    <mergeCell ref="B146:AV147"/>
    <mergeCell ref="B151:AV152"/>
    <mergeCell ref="B158:AV158"/>
    <mergeCell ref="D248:AS248"/>
    <mergeCell ref="AB174:AW174"/>
    <mergeCell ref="B227:AK227"/>
    <mergeCell ref="B10:AV10"/>
    <mergeCell ref="N118:R118"/>
    <mergeCell ref="R29:U29"/>
    <mergeCell ref="L2:AS4"/>
    <mergeCell ref="B111:AW111"/>
    <mergeCell ref="P96:V96"/>
    <mergeCell ref="B110:AW110"/>
    <mergeCell ref="L5:AV5"/>
    <mergeCell ref="T27:U27"/>
    <mergeCell ref="I39:AN39"/>
    <mergeCell ref="S36:U36"/>
    <mergeCell ref="X27:AB27"/>
    <mergeCell ref="P29:Q29"/>
    <mergeCell ref="I41:AH41"/>
    <mergeCell ref="AC27:AE27"/>
    <mergeCell ref="AG27:AK27"/>
    <mergeCell ref="AL27:AN27"/>
    <mergeCell ref="T34:U34"/>
    <mergeCell ref="AH31:AI31"/>
    <mergeCell ref="AE84:AR84"/>
    <mergeCell ref="B86:AW86"/>
    <mergeCell ref="B7:AW8"/>
    <mergeCell ref="P102:AU102"/>
    <mergeCell ref="AG29:AN29"/>
    <mergeCell ref="C210:T210"/>
    <mergeCell ref="F200:J200"/>
    <mergeCell ref="O200:T200"/>
    <mergeCell ref="V200:X200"/>
    <mergeCell ref="Y200:AV200"/>
    <mergeCell ref="B196:N198"/>
    <mergeCell ref="O196:AV196"/>
    <mergeCell ref="B192:AW192"/>
    <mergeCell ref="O198:AV198"/>
    <mergeCell ref="G203:AV203"/>
    <mergeCell ref="G205:AV205"/>
    <mergeCell ref="G207:AV207"/>
    <mergeCell ref="Q194:AV194"/>
    <mergeCell ref="V210:AV210"/>
    <mergeCell ref="V208:AV208"/>
    <mergeCell ref="AT49:AV49"/>
    <mergeCell ref="H49:Z49"/>
    <mergeCell ref="L52:O52"/>
    <mergeCell ref="B162:AV162"/>
    <mergeCell ref="B164:AV164"/>
    <mergeCell ref="E184:AV185"/>
    <mergeCell ref="E187:AV189"/>
    <mergeCell ref="E16:F16"/>
    <mergeCell ref="B174:AA174"/>
    <mergeCell ref="B173:AA173"/>
    <mergeCell ref="B172:AA172"/>
    <mergeCell ref="P104:V104"/>
    <mergeCell ref="P92:V92"/>
    <mergeCell ref="P94:V94"/>
    <mergeCell ref="P98:V98"/>
    <mergeCell ref="L80:S80"/>
    <mergeCell ref="T80:Z80"/>
    <mergeCell ref="B87:AV87"/>
    <mergeCell ref="B144:AV144"/>
    <mergeCell ref="B156:AV156"/>
    <mergeCell ref="AS84:AV84"/>
    <mergeCell ref="Y114:AK114"/>
    <mergeCell ref="H116:R116"/>
    <mergeCell ref="AL114:AS114"/>
    <mergeCell ref="P100:AU100"/>
    <mergeCell ref="L84:AD84"/>
    <mergeCell ref="T137:AA137"/>
    <mergeCell ref="U139:AB139"/>
    <mergeCell ref="B121:AW121"/>
    <mergeCell ref="R123:V123"/>
    <mergeCell ref="K114:R114"/>
    <mergeCell ref="B34:F36"/>
    <mergeCell ref="B176:AW176"/>
    <mergeCell ref="E178:AV179"/>
    <mergeCell ref="E181:AV182"/>
    <mergeCell ref="R125:V125"/>
    <mergeCell ref="O127:S127"/>
    <mergeCell ref="AJ127:AN127"/>
    <mergeCell ref="P129:W129"/>
    <mergeCell ref="Y12:AF12"/>
    <mergeCell ref="AS20:AV20"/>
    <mergeCell ref="E20:N20"/>
    <mergeCell ref="G18:AD18"/>
    <mergeCell ref="K16:Q16"/>
    <mergeCell ref="AC16:AI16"/>
    <mergeCell ref="AN20:AO20"/>
    <mergeCell ref="AK20:AM20"/>
    <mergeCell ref="AQ20:AR20"/>
    <mergeCell ref="N14:AV14"/>
    <mergeCell ref="I12:M12"/>
    <mergeCell ref="AG12:AK12"/>
    <mergeCell ref="AI18:AK18"/>
    <mergeCell ref="AR18:AV18"/>
    <mergeCell ref="AL18:AQ18"/>
    <mergeCell ref="AE18:AH18"/>
    <mergeCell ref="AO45:AV47"/>
    <mergeCell ref="P20:S20"/>
    <mergeCell ref="T20:AI20"/>
    <mergeCell ref="B25:AV25"/>
    <mergeCell ref="F22:J22"/>
    <mergeCell ref="B45:G49"/>
    <mergeCell ref="AK34:AL34"/>
    <mergeCell ref="AM34:AN34"/>
    <mergeCell ref="AP34:AR34"/>
    <mergeCell ref="AS34:AU34"/>
    <mergeCell ref="AK36:AL36"/>
    <mergeCell ref="H47:Z47"/>
    <mergeCell ref="V27:W27"/>
    <mergeCell ref="AO39:AT39"/>
    <mergeCell ref="AU39:AV39"/>
    <mergeCell ref="AU41:AV41"/>
    <mergeCell ref="V22:X22"/>
    <mergeCell ref="Y22:AV22"/>
    <mergeCell ref="O22:T22"/>
    <mergeCell ref="AM36:AN36"/>
    <mergeCell ref="AP36:AR36"/>
    <mergeCell ref="AS36:AU36"/>
    <mergeCell ref="AM41:AT41"/>
    <mergeCell ref="AH45:AJ45"/>
    <mergeCell ref="AB47:AF47"/>
    <mergeCell ref="AH47:AJ47"/>
    <mergeCell ref="Z34:AA34"/>
    <mergeCell ref="X34:Y34"/>
    <mergeCell ref="AC34:AE34"/>
    <mergeCell ref="AF34:AH34"/>
    <mergeCell ref="X36:Y36"/>
    <mergeCell ref="Z36:AA36"/>
    <mergeCell ref="AC36:AE36"/>
    <mergeCell ref="AF36:AH36"/>
    <mergeCell ref="AB45:AF45"/>
    <mergeCell ref="C90:AU90"/>
    <mergeCell ref="P131:W131"/>
    <mergeCell ref="R133:Y133"/>
    <mergeCell ref="T135:AA135"/>
    <mergeCell ref="AL116:AM116"/>
    <mergeCell ref="U54:AV54"/>
    <mergeCell ref="H45:T45"/>
    <mergeCell ref="AB49:AF49"/>
    <mergeCell ref="AH49:AJ49"/>
    <mergeCell ref="B57:AW57"/>
    <mergeCell ref="H82:Z82"/>
    <mergeCell ref="AB82:AT82"/>
    <mergeCell ref="B59:AU59"/>
    <mergeCell ref="B67:AV67"/>
    <mergeCell ref="B61:AV61"/>
    <mergeCell ref="B69:AV69"/>
    <mergeCell ref="R54:S54"/>
    <mergeCell ref="X52:AB52"/>
    <mergeCell ref="AE52:AT52"/>
    <mergeCell ref="B71:AV71"/>
    <mergeCell ref="B73:AV73"/>
    <mergeCell ref="B75:AV75"/>
    <mergeCell ref="B78:AV78"/>
    <mergeCell ref="AT80:AV80"/>
  </mergeCells>
  <conditionalFormatting sqref="A34:A36">
    <cfRule type="expression" dxfId="48" priority="34">
      <formula>$E$16="B"</formula>
    </cfRule>
  </conditionalFormatting>
  <conditionalFormatting sqref="A36">
    <cfRule type="expression" dxfId="47" priority="66">
      <formula>Grupo="B"</formula>
    </cfRule>
  </conditionalFormatting>
  <conditionalFormatting sqref="A90:A102 A105 A107:A109">
    <cfRule type="expression" dxfId="46" priority="32">
      <formula>$L$80=""</formula>
    </cfRule>
  </conditionalFormatting>
  <conditionalFormatting sqref="A214:XFD255">
    <cfRule type="expression" dxfId="45" priority="7">
      <formula>$L$80&lt;&gt;"Hidráulica"</formula>
    </cfRule>
  </conditionalFormatting>
  <conditionalFormatting sqref="B90:AU109">
    <cfRule type="expression" dxfId="44" priority="9">
      <formula>$L$80=""</formula>
    </cfRule>
  </conditionalFormatting>
  <conditionalFormatting sqref="B34:AV36">
    <cfRule type="expression" dxfId="43" priority="14">
      <formula>$E$16="B"</formula>
    </cfRule>
  </conditionalFormatting>
  <conditionalFormatting sqref="B7:AW8">
    <cfRule type="cellIs" dxfId="42" priority="74" operator="notEqual">
      <formula>""</formula>
    </cfRule>
  </conditionalFormatting>
  <conditionalFormatting sqref="B219:AW220">
    <cfRule type="cellIs" dxfId="41" priority="8" operator="notEqual">
      <formula>""</formula>
    </cfRule>
  </conditionalFormatting>
  <conditionalFormatting sqref="C125:AR139">
    <cfRule type="expression" dxfId="40" priority="4">
      <formula>$R$123&lt;&gt;"Sim"</formula>
    </cfRule>
  </conditionalFormatting>
  <conditionalFormatting sqref="C90:AU90">
    <cfRule type="expression" dxfId="39" priority="64">
      <formula>$C$90=""</formula>
    </cfRule>
  </conditionalFormatting>
  <conditionalFormatting sqref="M127:AP127">
    <cfRule type="expression" dxfId="38" priority="3">
      <formula>$R$125&lt;&gt;"Sim"</formula>
    </cfRule>
  </conditionalFormatting>
  <conditionalFormatting sqref="P29:Q29">
    <cfRule type="expression" dxfId="37" priority="24">
      <formula>$E$16="A"</formula>
    </cfRule>
  </conditionalFormatting>
  <conditionalFormatting sqref="P106:AU108">
    <cfRule type="expression" dxfId="36" priority="33">
      <formula>OR($L$80="Biomassa",$L$80="Cogeração Qualificada",$L$80="Eólica")</formula>
    </cfRule>
  </conditionalFormatting>
  <conditionalFormatting sqref="P107:AU108">
    <cfRule type="expression" dxfId="35" priority="10">
      <formula>$L$80="Hidráulica"</formula>
    </cfRule>
  </conditionalFormatting>
  <conditionalFormatting sqref="R54:S54">
    <cfRule type="expression" dxfId="34" priority="78">
      <formula>OR($I$39="",$I$39="Ligação de Nova Unidade Consumidora COM Geração Distribuída")</formula>
    </cfRule>
  </conditionalFormatting>
  <conditionalFormatting sqref="R29:U29">
    <cfRule type="expression" dxfId="33" priority="23">
      <formula>OR($E$16="B",$E$16="")</formula>
    </cfRule>
  </conditionalFormatting>
  <conditionalFormatting sqref="T80:Z80">
    <cfRule type="expression" dxfId="29" priority="84">
      <formula>$L$80&lt;&gt;"Outra (especificar)"</formula>
    </cfRule>
  </conditionalFormatting>
  <conditionalFormatting sqref="U54:AV54">
    <cfRule type="expression" dxfId="28" priority="26">
      <formula>$U$54="&lt;-- Para SE Nº 1 não pode haver mudança de local do Padrão de Entrada. Altere..."</formula>
    </cfRule>
  </conditionalFormatting>
  <conditionalFormatting sqref="X34:AH34">
    <cfRule type="expression" dxfId="27" priority="22">
      <formula>AND(OR($T$34="Nº 2",$T$34="Nº 4"),$S$36=1)</formula>
    </cfRule>
  </conditionalFormatting>
  <conditionalFormatting sqref="X34:AU36">
    <cfRule type="expression" dxfId="26" priority="35">
      <formula>OR($T$34="Nº 1",$T$34="Nº 5",$T$34="Nº 8")</formula>
    </cfRule>
    <cfRule type="expression" dxfId="25" priority="17">
      <formula>$S$36=""</formula>
    </cfRule>
  </conditionalFormatting>
  <conditionalFormatting sqref="AB47:AF47">
    <cfRule type="expression" dxfId="20" priority="12">
      <formula>$H$47=""</formula>
    </cfRule>
  </conditionalFormatting>
  <conditionalFormatting sqref="AB49:AF49 AH49:AX49">
    <cfRule type="expression" dxfId="18" priority="89">
      <formula>$H$49=""</formula>
    </cfRule>
  </conditionalFormatting>
  <conditionalFormatting sqref="AB45:AK45">
    <cfRule type="expression" dxfId="17" priority="25">
      <formula>$H$45=" Relé de Proteção Secundária"</formula>
    </cfRule>
  </conditionalFormatting>
  <conditionalFormatting sqref="AE52:AT52">
    <cfRule type="expression" dxfId="15" priority="69">
      <formula>$AE$52=""</formula>
    </cfRule>
  </conditionalFormatting>
  <conditionalFormatting sqref="AH47:AJ47">
    <cfRule type="expression" dxfId="14" priority="88">
      <formula>$H$47=""</formula>
    </cfRule>
  </conditionalFormatting>
  <conditionalFormatting sqref="AH47:AK47">
    <cfRule type="expression" dxfId="13" priority="27">
      <formula>OR($AB$47="Sem Disj. Geral",$AB$47="Sem Alter. Carga",)</formula>
    </cfRule>
  </conditionalFormatting>
  <conditionalFormatting sqref="AH49:AV49">
    <cfRule type="expression" dxfId="12" priority="28">
      <formula>$AB$49="Sem Disj. Geral"</formula>
    </cfRule>
  </conditionalFormatting>
  <conditionalFormatting sqref="AJ97:AU97">
    <cfRule type="expression" dxfId="11" priority="47">
      <formula>TipoFonte="Cogeração Qualificada"</formula>
    </cfRule>
    <cfRule type="expression" dxfId="10" priority="50">
      <formula>TipoFonte = "Eólica"</formula>
    </cfRule>
    <cfRule type="expression" dxfId="9" priority="51">
      <formula>TipoFonte = "Biomassa"</formula>
    </cfRule>
    <cfRule type="expression" dxfId="8" priority="52">
      <formula>TipoFonte = "Hidráulica"</formula>
    </cfRule>
  </conditionalFormatting>
  <conditionalFormatting sqref="AK34:AU34">
    <cfRule type="expression" dxfId="7" priority="20">
      <formula>AND(OR($T$34="Nº 2",$T$34="Nº 4"),$S$36&lt;=2)</formula>
    </cfRule>
  </conditionalFormatting>
  <conditionalFormatting sqref="AK36:AU36">
    <cfRule type="expression" dxfId="6" priority="18">
      <formula>AND(OR($T$34="Nº 2",$T$34="Nº 4"),$S$36&lt;=3)</formula>
    </cfRule>
  </conditionalFormatting>
  <conditionalFormatting sqref="AO99:AU99">
    <cfRule type="expression" dxfId="4" priority="55">
      <formula>TipoFonte="Biomassa"</formula>
    </cfRule>
    <cfRule type="expression" dxfId="3" priority="54">
      <formula>TipoFonte = "Eólica"</formula>
    </cfRule>
  </conditionalFormatting>
  <conditionalFormatting sqref="AU39:AV39 AU41:AV41">
    <cfRule type="expression" dxfId="0" priority="79">
      <formula>$AO$39=""</formula>
    </cfRule>
  </conditionalFormatting>
  <dataValidations count="36">
    <dataValidation type="list" allowBlank="1" showInputMessage="1" showErrorMessage="1" sqref="I42" xr:uid="{00000000-0002-0000-0000-000001000000}">
      <formula1>"Edificação Individual,Edificação Coletiva ou Agrupamento"</formula1>
    </dataValidation>
    <dataValidation type="list" allowBlank="1" showInputMessage="1" showErrorMessage="1" sqref="X53" xr:uid="{00000000-0002-0000-0000-000002000000}">
      <formula1>"Aéreo,Subterrâneo"</formula1>
    </dataValidation>
    <dataValidation type="whole" operator="greaterThan" allowBlank="1" showInputMessage="1" showErrorMessage="1" prompt="Apenas números" sqref="AC16:AI17" xr:uid="{00000000-0002-0000-0000-000005000000}">
      <formula1>0</formula1>
    </dataValidation>
    <dataValidation type="whole" allowBlank="1" showInputMessage="1" showErrorMessage="1" errorTitle="Valor não permitido" error="O número deve estar entre 7000000000 e 7999999999" promptTitle="Número do Cliente" prompt="Número de identificação do consumidor na distribuidora. É iniciado, sempre, pelo dígito 7" sqref="I12" xr:uid="{00000000-0002-0000-0000-000006000000}">
      <formula1>7000000000</formula1>
      <formula2>7999999999</formula2>
    </dataValidation>
    <dataValidation type="whole" allowBlank="1" showInputMessage="1" showErrorMessage="1" promptTitle="Número de instalação" prompt="Número de identificação da unidade consumidora na distribuidora. É iniciado, sempre, pelo dígito 3._x000a__x000a_Se ligação nova, não preencher este campo." sqref="AG12" xr:uid="{00000000-0002-0000-0000-000007000000}">
      <formula1>3000000000</formula1>
      <formula2>3999999999</formula2>
    </dataValidation>
    <dataValidation type="list" allowBlank="1" showInputMessage="1" showErrorMessage="1" sqref="AN20:AO20" xr:uid="{00000000-0002-0000-0000-000008000000}">
      <formula1>"MG"</formula1>
    </dataValidation>
    <dataValidation type="list" allowBlank="1" showInputMessage="1" showErrorMessage="1" sqref="K16" xr:uid="{00000000-0002-0000-0000-000009000000}">
      <formula1>"Residencial,Industrial,Comercial,Rural,Poder Público,Iluminação Pública,Serviço Público"</formula1>
    </dataValidation>
    <dataValidation type="list" allowBlank="1" showInputMessage="1" showErrorMessage="1" promptTitle="Grupo de Tensão" prompt="A - Clientes Atendidos em Média e Alta Tensão_x000a_B - Clientes Atendidos em Baixa Tensão e Iluminação Pública" sqref="E16:F16" xr:uid="{00000000-0002-0000-0000-00000A000000}">
      <formula1>"A,B"</formula1>
    </dataValidation>
    <dataValidation type="list" allowBlank="1" showInputMessage="1" showErrorMessage="1" sqref="AH28:AI28 V27:W27" xr:uid="{00000000-0002-0000-0000-00000B000000}">
      <formula1>"22,23,24"</formula1>
    </dataValidation>
    <dataValidation type="list" allowBlank="1" showInputMessage="1" showErrorMessage="1" sqref="T34:U34" xr:uid="{00000000-0002-0000-0000-00000E000000}">
      <formula1>"Nº 1,Nº 2,Nº 4,Nº 5,Nº 8"</formula1>
    </dataValidation>
    <dataValidation allowBlank="1" showInputMessage="1" showErrorMessage="1" prompt="GGG.FF.UF.999999-9.VV" sqref="K114:R114" xr:uid="{00000000-0002-0000-0000-000010000000}"/>
    <dataValidation allowBlank="1" showInputMessage="1" showErrorMessage="1" prompt="Instalação geradora + Instalações recebedoras" sqref="AS84:AV84" xr:uid="{00000000-0002-0000-0000-000011000000}"/>
    <dataValidation type="whole" allowBlank="1" showInputMessage="1" showErrorMessage="1" prompt="Apenas números" sqref="AS20:AV20" xr:uid="{00000000-0002-0000-0000-000012000000}">
      <formula1>0</formula1>
      <formula2>99999999</formula2>
    </dataValidation>
    <dataValidation type="whole" errorStyle="warning" allowBlank="1" showInputMessage="1" showErrorMessage="1" errorTitle="Informar telefone" error="Informe o telefone com 10 dígitos" promptTitle="Telefone" prompt="Informe apenas os números de seu telefone com o DDD" sqref="F22:J22 F200:J201" xr:uid="{00000000-0002-0000-0000-000013000000}">
      <formula1>1000000000</formula1>
      <formula2>9999999999</formula2>
    </dataValidation>
    <dataValidation type="whole" allowBlank="1" showInputMessage="1" showErrorMessage="1" promptTitle="Celular" prompt="Informe apenas os números de seu celular com o DDD" sqref="O22:T22 O200:T201" xr:uid="{00000000-0002-0000-0000-000014000000}">
      <formula1>10000000000</formula1>
      <formula2>99999999999</formula2>
    </dataValidation>
    <dataValidation type="list" allowBlank="1" showInputMessage="1" showErrorMessage="1" sqref="I41:AH41" xr:uid="{43C958B2-6E6C-496F-8414-07EC81994C3E}">
      <formula1>Tipos_Edificações</formula1>
    </dataValidation>
    <dataValidation type="list" allowBlank="1" showInputMessage="1" showErrorMessage="1" sqref="I39:AN39" xr:uid="{3948EA52-3C56-4B8A-A6FF-9CC4A6D61EF3}">
      <formula1>Tipos_Solicitação</formula1>
    </dataValidation>
    <dataValidation allowBlank="1" showInputMessage="1" showErrorMessage="1" promptTitle="Carga Instalada" prompt="Campo com preenchimento automático." sqref="P29:Q29" xr:uid="{2CB5B700-ACF0-4D87-A323-BC06FFFD29A5}"/>
    <dataValidation type="decimal" allowBlank="1" showInputMessage="1" showErrorMessage="1" promptTitle="Atenção" prompt="Campo com preenchimento automático." sqref="AT80:AV80" xr:uid="{27FB734E-82D4-4996-A40B-F666D0BA1041}">
      <formula1>0</formula1>
      <formula2>75</formula2>
    </dataValidation>
    <dataValidation type="list" allowBlank="1" showInputMessage="1" showErrorMessage="1" sqref="X52:AB52" xr:uid="{6D656FA8-A95E-493E-B8B1-EA7DBDF3B909}">
      <formula1>TipoRamal</formula1>
    </dataValidation>
    <dataValidation type="list" allowBlank="1" showInputMessage="1" showErrorMessage="1" sqref="AB49:AF49" xr:uid="{0822EF6E-60CD-4556-9ACA-BE9304619DE3}">
      <formula1>Fases_Disjuntor_2</formula1>
    </dataValidation>
    <dataValidation type="list" allowBlank="1" showInputMessage="1" showErrorMessage="1" sqref="AH45:AJ45" xr:uid="{1A6B0939-BCD5-4A12-8268-3404DDFD44B2}">
      <formula1>IF(Grupo="B",IF(Cod_Solicitação=4,TblDisj_2,TblDisj),TblDisj)</formula1>
    </dataValidation>
    <dataValidation type="list" allowBlank="1" showInputMessage="1" showErrorMessage="1" sqref="AH47:AJ47" xr:uid="{6722B8EE-A8EE-40E2-9208-D9A383DBEEF6}">
      <formula1>TblDisj_2</formula1>
    </dataValidation>
    <dataValidation type="list" allowBlank="1" showInputMessage="1" showErrorMessage="1" sqref="AH49:AJ49" xr:uid="{B6FE2FD7-5FF2-4F0A-A4C6-771E5BC70106}">
      <formula1>TblDisj_3</formula1>
    </dataValidation>
    <dataValidation type="whole" allowBlank="1" showInputMessage="1" showErrorMessage="1" sqref="AC27:AE27" xr:uid="{CD69C790-0998-42FC-9CAA-B7565A1C9D45}">
      <formula1>E_Mínimo</formula1>
      <formula2>E_Máximo</formula2>
    </dataValidation>
    <dataValidation type="whole" allowBlank="1" showInputMessage="1" showErrorMessage="1" sqref="AL27:AN27" xr:uid="{75D933B6-DA3F-4B97-9AE6-01E82E9AE6CA}">
      <formula1>N_Mínimo</formula1>
      <formula2>N_Máximo</formula2>
    </dataValidation>
    <dataValidation type="list" allowBlank="1" showInputMessage="1" showErrorMessage="1"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sqref="S36:U36" xr:uid="{FFC70F06-75CC-4674-93C2-C1FF70FBEBF0}">
      <formula1>TrafosPorSE</formula1>
    </dataValidation>
    <dataValidation type="list" allowBlank="1" showInputMessage="1" showErrorMessage="1" sqref="L80:S80" xr:uid="{D74826A0-4025-43C6-B317-A52083B44014}">
      <formula1>"Solar,Hidráulica,Biomassa,Cogeração Qualificada,Eólica"</formula1>
    </dataValidation>
    <dataValidation allowBlank="1" showInputMessage="1" showErrorMessage="1" promptTitle="Qte disjuntor geral" prompt="Informe aqui a quantidade de disjuntor geral." sqref="AT49:AV49" xr:uid="{95F0FF69-3779-4FFF-B185-9F1EF6591BFA}"/>
    <dataValidation type="list" allowBlank="1" showInputMessage="1" showErrorMessage="1" sqref="R54:S54" xr:uid="{82E90D37-1D64-4C1E-9B30-6C74D1B3FCE6}">
      <formula1>MudançaLocal</formula1>
    </dataValidation>
    <dataValidation type="list" allowBlank="1" showInputMessage="1" showErrorMessage="1" sqref="AB47:AF47" xr:uid="{EB9290B1-4A42-48CC-AC1C-C8527DEBB976}">
      <formula1>Fases_Disjuntores</formula1>
    </dataValidation>
    <dataValidation type="list" allowBlank="1" showInputMessage="1" showErrorMessage="1" sqref="AB45:AF45" xr:uid="{B04BFF64-6166-4D0F-84BA-58B606B9262E}">
      <formula1>Fases_Disjuntores_3</formula1>
    </dataValidation>
    <dataValidation allowBlank="1" showInputMessage="1" showErrorMessage="1" promptTitle="Assin. do Consumidor/Responsável" prompt="Neste campo deve conter uma assinatura de próprio punho ou uma assinatura digital com certificação válida." sqref="V210:AV210" xr:uid="{808DEA3E-F93A-4816-85F6-C40C043BD99E}"/>
    <dataValidation allowBlank="1" showInputMessage="1" showErrorMessage="1" prompt="Para os consumidores do grupo A, informe a carga demandada ou  a soma das cargas instaladas (consumo próprio)." sqref="R29:U29" xr:uid="{38980354-3D39-4E93-B79C-3A6EC9425438}"/>
    <dataValidation allowBlank="1" showInputMessage="1" showErrorMessage="1" promptTitle="Assin. Consumidor/Responsável" prompt="Neste campo deve conter uma assinatura de próprio punho ou uma assinatura digital com certificação válida." sqref="V253:AV253" xr:uid="{DADD9CD0-AE63-46B1-AC0A-F584A23612B1}"/>
    <dataValidation allowBlank="1" showInputMessage="1" showErrorMessage="1" prompt="Caso seja central geradora nova, informar estimativa de produção mensal (12 meses). Se for central geradora existente, informar valores mensais verificados (12 meses)" sqref="U139:AB139" xr:uid="{7172D131-3549-4158-833B-9EBFFD3BD0CE}"/>
  </dataValidations>
  <printOptions horizontalCentered="1"/>
  <pageMargins left="0.70866141732283472" right="0.70866141732283472" top="0.74803149606299213" bottom="0.35433070866141736" header="0.31496062992125984" footer="0.31496062992125984"/>
  <pageSetup paperSize="9" scale="67" fitToHeight="0" orientation="portrait" r:id="rId1"/>
  <headerFooter>
    <oddFooter>&amp;R_x000D_&amp;1#&amp;"Calibri"&amp;10&amp;K000000 Classificação: Público</oddFooter>
  </headerFooter>
  <rowBreaks count="2" manualBreakCount="2">
    <brk id="120" min="1" max="48" man="1"/>
    <brk id="212" min="1" max="48" man="1"/>
  </rowBreaks>
  <drawing r:id="rId2"/>
  <extLst>
    <ext xmlns:x14="http://schemas.microsoft.com/office/spreadsheetml/2009/9/main" uri="{78C0D931-6437-407d-A8EE-F0AAD7539E65}">
      <x14:conditionalFormattings>
        <x14:conditionalFormatting xmlns:xm="http://schemas.microsoft.com/office/excel/2006/main">
          <x14:cfRule type="expression" priority="15" id="{67B5FA39-0AC9-4C96-8419-0C4843056B91}">
            <xm:f>AND($S$36&gt;4,Conferencia!$D$22=1)</xm:f>
            <x14:dxf>
              <font>
                <b/>
                <i val="0"/>
                <color theme="0"/>
              </font>
              <fill>
                <patternFill>
                  <bgColor rgb="FFFF0000"/>
                </patternFill>
              </fill>
            </x14:dxf>
          </x14:cfRule>
          <x14:cfRule type="expression" priority="16" id="{34EC78F0-9577-4B80-BF5C-D5D3DE6D5B0F}">
            <xm:f>AND($S$36&lt;=4,Conferencia!$D$23=1)</xm:f>
            <x14:dxf>
              <font>
                <b/>
                <i val="0"/>
                <color theme="0"/>
              </font>
              <fill>
                <patternFill>
                  <bgColor rgb="FFFF0000"/>
                </patternFill>
              </fill>
            </x14:dxf>
          </x14:cfRule>
          <xm:sqref>S36:U36</xm:sqref>
        </x14:conditionalFormatting>
        <x14:conditionalFormatting xmlns:xm="http://schemas.microsoft.com/office/excel/2006/main">
          <x14:cfRule type="expression" priority="95" id="{2392F1BE-ED33-446F-91DF-6B71BD925813}">
            <xm:f>Conferencia!$D$19=0</xm:f>
            <x14:dxf>
              <font>
                <b/>
                <i val="0"/>
                <color theme="0"/>
              </font>
              <fill>
                <patternFill>
                  <bgColor rgb="FFFF0000"/>
                </patternFill>
              </fill>
            </x14:dxf>
          </x14:cfRule>
          <xm:sqref>T34:U34 I39:AN39</xm:sqref>
        </x14:conditionalFormatting>
        <x14:conditionalFormatting xmlns:xm="http://schemas.microsoft.com/office/excel/2006/main">
          <x14:cfRule type="expression" priority="39" id="{F5C2F3C6-9869-42B5-838E-942350FEB4A4}">
            <xm:f>AND($S$36&gt;=4,Conferencia!$D$21=1,Conferencia!$D$22=1)</xm:f>
            <x14:dxf>
              <font>
                <b/>
                <i/>
                <color theme="0"/>
              </font>
              <fill>
                <patternFill>
                  <bgColor rgb="FFFF0000"/>
                </patternFill>
              </fill>
            </x14:dxf>
          </x14:cfRule>
          <xm:sqref>Z34 AF34 AM34 AS34 AM36 AS36</xm:sqref>
        </x14:conditionalFormatting>
        <x14:conditionalFormatting xmlns:xm="http://schemas.microsoft.com/office/excel/2006/main">
          <x14:cfRule type="expression" priority="38" id="{7F50D444-E769-4768-903D-E2148CC99DED}">
            <xm:f>AND($S$36&gt;=3,Conferencia!$D$21=1,Conferencia!$D$22=1)</xm:f>
            <x14:dxf>
              <font>
                <b/>
                <i/>
                <color theme="0"/>
              </font>
              <fill>
                <patternFill>
                  <bgColor rgb="FFFF0000"/>
                </patternFill>
              </fill>
            </x14:dxf>
          </x14:cfRule>
          <xm:sqref>Z34:AA34 AF34:AH34 AM34 AS34</xm:sqref>
        </x14:conditionalFormatting>
        <x14:conditionalFormatting xmlns:xm="http://schemas.microsoft.com/office/excel/2006/main">
          <x14:cfRule type="expression" priority="37" id="{01A9506A-A667-48C3-8949-18C0EF4642A9}">
            <xm:f>AND($S$36&gt;=2,Conferencia!$D$21=1,Conferencia!$D$22=1)</xm:f>
            <x14:dxf>
              <font>
                <b/>
                <i/>
                <color theme="0"/>
              </font>
              <fill>
                <patternFill>
                  <bgColor rgb="FFFF0000"/>
                </patternFill>
              </fill>
            </x14:dxf>
          </x14:cfRule>
          <xm:sqref>Z34:AA34 AF34:AH34</xm:sqref>
        </x14:conditionalFormatting>
        <x14:conditionalFormatting xmlns:xm="http://schemas.microsoft.com/office/excel/2006/main">
          <x14:cfRule type="expression" priority="36" id="{70607D21-EB56-478E-A433-3763AB645927}">
            <xm:f>AND($S$36&gt;=1,Conferencia!$D$21=1,Conferencia!$D$22=1)</xm:f>
            <x14:dxf>
              <font>
                <b/>
                <i val="0"/>
                <color theme="0"/>
              </font>
              <fill>
                <patternFill>
                  <bgColor rgb="FFFF0000"/>
                </patternFill>
              </fill>
            </x14:dxf>
          </x14:cfRule>
          <xm:sqref>Z36:AA36 AF36:AH36</xm:sqref>
        </x14:conditionalFormatting>
        <x14:conditionalFormatting xmlns:xm="http://schemas.microsoft.com/office/excel/2006/main">
          <x14:cfRule type="expression" priority="63" id="{9FDFB64B-BAC2-458C-BA88-7BB1BA039E55}">
            <xm:f>OR(AND($AB$47="Sem Disj. Geral",AND($I$39&lt;&gt;Apoio!$A$2,$I$39&lt;&gt;Apoio!$A$3)),AND($AB$47="Sem Alter. Carga",$I$39&lt;&gt;Apoio!$A$5))</xm:f>
            <x14:dxf>
              <font>
                <b/>
                <i val="0"/>
                <color theme="0"/>
              </font>
              <fill>
                <patternFill>
                  <bgColor rgb="FFFF0000"/>
                </patternFill>
              </fill>
            </x14:dxf>
          </x14:cfRule>
          <xm:sqref>AB47:AF47</xm:sqref>
        </x14:conditionalFormatting>
        <x14:conditionalFormatting xmlns:xm="http://schemas.microsoft.com/office/excel/2006/main">
          <x14:cfRule type="expression" priority="2" id="{11273438-8BD4-4E39-A2FD-8D775F3A422B}">
            <xm:f>$H$82&lt;&gt;Dados!$B$51</xm:f>
            <x14:dxf>
              <font>
                <color theme="0"/>
              </font>
              <fill>
                <patternFill>
                  <bgColor theme="0"/>
                </patternFill>
              </fill>
              <border>
                <left/>
                <right/>
                <top/>
                <bottom/>
                <vertical/>
                <horizontal/>
              </border>
            </x14:dxf>
          </x14:cfRule>
          <xm:sqref>AB82:AU82</xm:sqref>
        </x14:conditionalFormatting>
        <x14:conditionalFormatting xmlns:xm="http://schemas.microsoft.com/office/excel/2006/main">
          <x14:cfRule type="expression" priority="48" id="{330F505A-C21C-482B-9F92-F6DB9337244A}">
            <xm:f>Dados!$D$6=3</xm:f>
            <x14:dxf>
              <font>
                <color theme="0"/>
              </font>
              <border>
                <left/>
                <right/>
                <top/>
                <bottom/>
                <vertical/>
                <horizontal/>
              </border>
            </x14:dxf>
          </x14:cfRule>
          <xm:sqref>AM41:AV41</xm:sqref>
        </x14:conditionalFormatting>
        <x14:conditionalFormatting xmlns:xm="http://schemas.microsoft.com/office/excel/2006/main">
          <x14:cfRule type="expression" priority="1" id="{6806E632-0058-48B8-B30F-2296907F0915}">
            <xm:f>$I$39&lt;&gt;Dados!$B$6</xm:f>
            <x14:dxf>
              <font>
                <color theme="0"/>
              </font>
              <fill>
                <patternFill>
                  <bgColor theme="0"/>
                </patternFill>
              </fill>
              <border>
                <left/>
                <right/>
                <top/>
                <bottom/>
                <vertical/>
                <horizontal/>
              </border>
            </x14:dxf>
          </x14:cfRule>
          <xm:sqref>AO45:AV47</xm:sqref>
        </x14:conditionalFormatting>
        <x14:conditionalFormatting xmlns:xm="http://schemas.microsoft.com/office/excel/2006/main">
          <x14:cfRule type="expression" priority="19" id="{2D0687B0-8530-417D-9371-174DAC44E6CF}">
            <xm:f>Conferencia!$D$21=1</xm:f>
            <x14:dxf>
              <font>
                <b/>
                <i val="0"/>
                <color theme="0"/>
              </font>
              <fill>
                <patternFill>
                  <bgColor rgb="FFFF0000"/>
                </patternFill>
              </fill>
            </x14:dxf>
          </x14:cfRule>
          <xm:sqref>AT80:AV80</xm:sqref>
        </x14:conditionalFormatting>
      </x14:conditionalFormattings>
    </ext>
    <ext xmlns:x14="http://schemas.microsoft.com/office/spreadsheetml/2009/9/main" uri="{CCE6A557-97BC-4b89-ADB6-D9C93CAAB3DF}">
      <x14:dataValidations xmlns:xm="http://schemas.microsoft.com/office/excel/2006/main" count="9">
        <x14:dataValidation type="list" allowBlank="1" showInputMessage="1" showErrorMessage="1" xr:uid="{CD5D3885-4D6C-4C81-8087-B248BC915CB5}">
          <x14:formula1>
            <xm:f>IF(AND(TipoSE="Nº 2",I39=Dados!B7),Tensão_SE_N°_2,TensãoGrupo)</xm:f>
          </x14:formula1>
          <xm:sqref>L52:O52</xm:sqref>
        </x14:dataValidation>
        <x14:dataValidation type="list" allowBlank="1" showInputMessage="1" showErrorMessage="1" xr:uid="{5A23B483-91F9-44DA-9ACE-F2365CA5CB81}">
          <x14:formula1>
            <xm:f>'Resp Seg Barragem'!$A$19:$A$21</xm:f>
          </x14:formula1>
          <xm:sqref>C240:AU240</xm:sqref>
        </x14:dataValidation>
        <x14:dataValidation type="list" allowBlank="1" showInputMessage="1" showErrorMessage="1" xr:uid="{80470A9E-4D9D-4AF3-8DFC-78EAC6B0F0CC}">
          <x14:formula1>
            <xm:f>'Resp Seg Barragem'!$A$16:$A$17</xm:f>
          </x14:formula1>
          <xm:sqref>C236:AU236</xm:sqref>
        </x14:dataValidation>
        <x14:dataValidation type="list" allowBlank="1" showInputMessage="1" showErrorMessage="1" xr:uid="{96B85AED-A6C2-4B47-9B3A-BAF7E4501DDF}">
          <x14:formula1>
            <xm:f>'Resp Seg Barragem'!$A$11:$A$14</xm:f>
          </x14:formula1>
          <xm:sqref>C232:AU232</xm:sqref>
        </x14:dataValidation>
        <x14:dataValidation type="list" allowBlank="1" showInputMessage="1" showErrorMessage="1" xr:uid="{BF8D0EE3-5712-4AC2-A006-47192AC72936}">
          <x14:formula1>
            <xm:f>'Resp Seg Barragem'!$A$5:$A$9</xm:f>
          </x14:formula1>
          <xm:sqref>C229:AU229</xm:sqref>
        </x14:dataValidation>
        <x14:dataValidation type="list" allowBlank="1" showInputMessage="1" showErrorMessage="1" xr:uid="{7F2D44A9-EB59-43FE-9DEA-750656647EF2}">
          <x14:formula1>
            <xm:f>'Resp Seg Barragem'!$A$2:$A$3</xm:f>
          </x14:formula1>
          <xm:sqref>C225:AU225</xm:sqref>
        </x14:dataValidation>
        <x14:dataValidation type="list" allowBlank="1" showInputMessage="1" showErrorMessage="1" xr:uid="{93DE9E60-CBCD-4724-BB28-195110CA668A}">
          <x14:formula1>
            <xm:f>Dados!$V$5:$V$6</xm:f>
          </x14:formula1>
          <xm:sqref>R123:V123 R125:V125 O127:S127 AJ127:AN127</xm:sqref>
        </x14:dataValidation>
        <x14:dataValidation type="list" allowBlank="1" showInputMessage="1" showErrorMessage="1" xr:uid="{145F2C68-42D9-45F7-9D61-CCE4E324F392}">
          <x14:formula1>
            <xm:f>Dados!$B$48:$B$51</xm:f>
          </x14:formula1>
          <xm:sqref>H82:Z82</xm:sqref>
        </x14:dataValidation>
        <x14:dataValidation type="list" allowBlank="1" showInputMessage="1" showErrorMessage="1" xr:uid="{EEAD4E33-7A1F-4AA9-A2AA-B94AC3BB1824}">
          <x14:formula1>
            <xm:f>Dados!$B$54:$B$57</xm:f>
          </x14:formula1>
          <xm:sqref>L84:AD84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33A22-0354-4B5F-B5CA-99DEA2A3DCEF}">
  <sheetPr codeName="Planilha1">
    <tabColor rgb="FFFFFF00"/>
  </sheetPr>
  <dimension ref="B2:AH166"/>
  <sheetViews>
    <sheetView showGridLines="0" showRowColHeaders="0" zoomScaleNormal="100" workbookViewId="0"/>
  </sheetViews>
  <sheetFormatPr defaultRowHeight="14.4" x14ac:dyDescent="0.3"/>
  <cols>
    <col min="1" max="1" width="4.109375" customWidth="1"/>
    <col min="2" max="25" width="3.44140625" customWidth="1"/>
    <col min="26" max="29" width="4" customWidth="1"/>
    <col min="30" max="34" width="4.109375" customWidth="1"/>
  </cols>
  <sheetData>
    <row r="2" spans="2:33" x14ac:dyDescent="0.3">
      <c r="B2" s="55" t="s">
        <v>160</v>
      </c>
    </row>
    <row r="3" spans="2:33" ht="3" customHeight="1" x14ac:dyDescent="0.3"/>
    <row r="4" spans="2:33" x14ac:dyDescent="0.3">
      <c r="B4" s="112" t="s">
        <v>161</v>
      </c>
      <c r="C4" s="112"/>
      <c r="D4" s="112"/>
      <c r="E4" s="112"/>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row>
    <row r="5" spans="2:33" ht="3" customHeight="1" x14ac:dyDescent="0.3">
      <c r="B5" s="112"/>
      <c r="C5" s="112"/>
      <c r="D5" s="112"/>
      <c r="E5" s="112"/>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row>
    <row r="6" spans="2:33" ht="15" customHeight="1" x14ac:dyDescent="0.3">
      <c r="B6" s="112"/>
      <c r="C6" s="112"/>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row>
    <row r="7" spans="2:33" ht="3" customHeight="1" x14ac:dyDescent="0.3"/>
    <row r="8" spans="2:33" ht="15" customHeight="1" x14ac:dyDescent="0.3">
      <c r="B8" s="112" t="s">
        <v>162</v>
      </c>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row>
    <row r="9" spans="2:33" ht="15" customHeight="1" x14ac:dyDescent="0.3">
      <c r="B9" s="112"/>
      <c r="C9" s="112"/>
      <c r="D9" s="112"/>
      <c r="E9" s="112"/>
      <c r="F9" s="112"/>
      <c r="G9" s="112"/>
      <c r="H9" s="112"/>
      <c r="I9" s="112"/>
      <c r="J9" s="112"/>
      <c r="K9" s="112"/>
      <c r="L9" s="112"/>
      <c r="M9" s="112"/>
      <c r="N9" s="112"/>
      <c r="O9" s="112"/>
      <c r="P9" s="112"/>
      <c r="Q9" s="112"/>
      <c r="R9" s="112"/>
      <c r="S9" s="112"/>
      <c r="T9" s="112"/>
      <c r="U9" s="112"/>
      <c r="V9" s="112"/>
      <c r="W9" s="112"/>
      <c r="X9" s="112"/>
      <c r="Y9" s="112"/>
      <c r="Z9" s="112"/>
      <c r="AA9" s="112"/>
      <c r="AB9" s="112"/>
      <c r="AC9" s="112"/>
      <c r="AD9" s="112"/>
      <c r="AE9" s="112"/>
      <c r="AF9" s="112"/>
      <c r="AG9" s="112"/>
    </row>
    <row r="10" spans="2:33" ht="3" customHeight="1" x14ac:dyDescent="0.3"/>
    <row r="11" spans="2:33" x14ac:dyDescent="0.3">
      <c r="B11" s="112" t="s">
        <v>163</v>
      </c>
      <c r="C11" s="112"/>
      <c r="D11" s="112"/>
      <c r="E11" s="112"/>
      <c r="F11" s="112"/>
      <c r="G11" s="112"/>
      <c r="H11" s="112"/>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row>
    <row r="12" spans="2:33" ht="14.25" customHeight="1" x14ac:dyDescent="0.3">
      <c r="B12" s="11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row>
    <row r="13" spans="2:33" ht="3" customHeight="1" x14ac:dyDescent="0.3"/>
    <row r="14" spans="2:33" x14ac:dyDescent="0.3">
      <c r="B14" t="s">
        <v>164</v>
      </c>
    </row>
    <row r="16" spans="2:33" x14ac:dyDescent="0.3">
      <c r="F16" s="234" t="s">
        <v>165</v>
      </c>
      <c r="G16" s="234"/>
      <c r="H16" s="234"/>
      <c r="I16" s="234"/>
      <c r="J16" s="234" t="s">
        <v>166</v>
      </c>
      <c r="K16" s="234"/>
      <c r="L16" s="234"/>
      <c r="M16" s="234"/>
      <c r="N16" s="234"/>
      <c r="O16" s="234"/>
      <c r="P16" s="234"/>
      <c r="Q16" s="234"/>
      <c r="R16" s="235" t="s">
        <v>165</v>
      </c>
      <c r="S16" s="234"/>
      <c r="T16" s="234"/>
      <c r="U16" s="234"/>
      <c r="V16" s="234" t="s">
        <v>167</v>
      </c>
      <c r="W16" s="234"/>
      <c r="X16" s="234"/>
      <c r="Y16" s="234"/>
      <c r="Z16" s="234"/>
      <c r="AA16" s="234"/>
    </row>
    <row r="17" spans="2:33" x14ac:dyDescent="0.3">
      <c r="F17" s="232" t="s">
        <v>168</v>
      </c>
      <c r="G17" s="232"/>
      <c r="H17" s="232"/>
      <c r="I17" s="232"/>
      <c r="J17" s="197" t="s">
        <v>169</v>
      </c>
      <c r="K17" s="197"/>
      <c r="L17" s="197"/>
      <c r="M17" s="197"/>
      <c r="N17" s="197"/>
      <c r="O17" s="197"/>
      <c r="P17" s="197"/>
      <c r="Q17" s="197"/>
      <c r="R17" s="233" t="s">
        <v>170</v>
      </c>
      <c r="S17" s="232"/>
      <c r="T17" s="232"/>
      <c r="U17" s="232"/>
      <c r="V17" s="197" t="s">
        <v>171</v>
      </c>
      <c r="W17" s="197"/>
      <c r="X17" s="197"/>
      <c r="Y17" s="197"/>
      <c r="Z17" s="197"/>
      <c r="AA17" s="197"/>
    </row>
    <row r="18" spans="2:33" x14ac:dyDescent="0.3">
      <c r="F18" s="232" t="s">
        <v>172</v>
      </c>
      <c r="G18" s="232"/>
      <c r="H18" s="232"/>
      <c r="I18" s="232"/>
      <c r="J18" s="197" t="s">
        <v>173</v>
      </c>
      <c r="K18" s="197"/>
      <c r="L18" s="197"/>
      <c r="M18" s="197"/>
      <c r="N18" s="197"/>
      <c r="O18" s="197"/>
      <c r="P18" s="197"/>
      <c r="Q18" s="197"/>
      <c r="R18" s="233" t="s">
        <v>174</v>
      </c>
      <c r="S18" s="232"/>
      <c r="T18" s="232"/>
      <c r="U18" s="232"/>
      <c r="V18" s="197" t="s">
        <v>175</v>
      </c>
      <c r="W18" s="197"/>
      <c r="X18" s="197"/>
      <c r="Y18" s="197"/>
      <c r="Z18" s="197"/>
      <c r="AA18" s="197"/>
    </row>
    <row r="19" spans="2:33" x14ac:dyDescent="0.3">
      <c r="F19" s="232" t="s">
        <v>176</v>
      </c>
      <c r="G19" s="232"/>
      <c r="H19" s="232"/>
      <c r="I19" s="232"/>
      <c r="J19" s="197" t="s">
        <v>177</v>
      </c>
      <c r="K19" s="197"/>
      <c r="L19" s="197"/>
      <c r="M19" s="197"/>
      <c r="N19" s="197"/>
      <c r="O19" s="197"/>
      <c r="P19" s="197"/>
      <c r="Q19" s="197"/>
      <c r="R19" s="233" t="s">
        <v>178</v>
      </c>
      <c r="S19" s="232"/>
      <c r="T19" s="232"/>
      <c r="U19" s="232"/>
      <c r="V19" s="197" t="s">
        <v>179</v>
      </c>
      <c r="W19" s="197"/>
      <c r="X19" s="197"/>
      <c r="Y19" s="197"/>
      <c r="Z19" s="197"/>
      <c r="AA19" s="197"/>
    </row>
    <row r="20" spans="2:33" x14ac:dyDescent="0.3">
      <c r="F20" s="232" t="s">
        <v>180</v>
      </c>
      <c r="G20" s="232"/>
      <c r="H20" s="232"/>
      <c r="I20" s="232"/>
      <c r="J20" s="197" t="s">
        <v>181</v>
      </c>
      <c r="K20" s="197"/>
      <c r="L20" s="197"/>
      <c r="M20" s="197"/>
      <c r="N20" s="197"/>
      <c r="O20" s="197"/>
      <c r="P20" s="197"/>
      <c r="Q20" s="197"/>
      <c r="R20" s="233" t="s">
        <v>178</v>
      </c>
      <c r="S20" s="232"/>
      <c r="T20" s="232"/>
      <c r="U20" s="232"/>
      <c r="V20" s="197" t="s">
        <v>182</v>
      </c>
      <c r="W20" s="197"/>
      <c r="X20" s="197"/>
      <c r="Y20" s="197"/>
      <c r="Z20" s="197"/>
      <c r="AA20" s="197"/>
    </row>
    <row r="21" spans="2:33" x14ac:dyDescent="0.3">
      <c r="F21" s="232" t="s">
        <v>183</v>
      </c>
      <c r="G21" s="232"/>
      <c r="H21" s="232"/>
      <c r="I21" s="232"/>
      <c r="J21" s="197" t="s">
        <v>184</v>
      </c>
      <c r="K21" s="197"/>
      <c r="L21" s="197"/>
      <c r="M21" s="197"/>
      <c r="N21" s="197"/>
      <c r="O21" s="197"/>
      <c r="P21" s="197"/>
      <c r="Q21" s="197"/>
      <c r="R21" s="233" t="s">
        <v>185</v>
      </c>
      <c r="S21" s="232"/>
      <c r="T21" s="232"/>
      <c r="U21" s="232"/>
      <c r="V21" s="197" t="s">
        <v>186</v>
      </c>
      <c r="W21" s="197"/>
      <c r="X21" s="197"/>
      <c r="Y21" s="197"/>
      <c r="Z21" s="197"/>
      <c r="AA21" s="197"/>
    </row>
    <row r="23" spans="2:33" x14ac:dyDescent="0.3">
      <c r="B23" s="112" t="s">
        <v>203</v>
      </c>
      <c r="C23" s="112"/>
      <c r="D23" s="112"/>
      <c r="E23" s="112"/>
      <c r="F23" s="112"/>
      <c r="G23" s="112"/>
      <c r="H23" s="112"/>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row>
    <row r="24" spans="2:33" x14ac:dyDescent="0.3">
      <c r="B24" s="112"/>
      <c r="C24" s="112"/>
      <c r="D24" s="112"/>
      <c r="E24" s="112"/>
      <c r="F24" s="112"/>
      <c r="G24" s="112"/>
      <c r="H24" s="112"/>
      <c r="I24" s="112"/>
      <c r="J24" s="112"/>
      <c r="K24" s="112"/>
      <c r="L24" s="112"/>
      <c r="M24" s="112"/>
      <c r="N24" s="112"/>
      <c r="O24" s="112"/>
      <c r="P24" s="112"/>
      <c r="Q24" s="112"/>
      <c r="R24" s="112"/>
      <c r="S24" s="112"/>
      <c r="T24" s="112"/>
      <c r="U24" s="112"/>
      <c r="V24" s="112"/>
      <c r="W24" s="112"/>
      <c r="X24" s="112"/>
      <c r="Y24" s="112"/>
      <c r="Z24" s="112"/>
      <c r="AA24" s="112"/>
      <c r="AB24" s="112"/>
      <c r="AC24" s="112"/>
      <c r="AD24" s="112"/>
      <c r="AE24" s="112"/>
      <c r="AF24" s="112"/>
      <c r="AG24" s="112"/>
    </row>
    <row r="25" spans="2:33" ht="3" customHeight="1" x14ac:dyDescent="0.3"/>
    <row r="26" spans="2:33" ht="15" customHeight="1" x14ac:dyDescent="0.3">
      <c r="B26" s="112" t="s">
        <v>328</v>
      </c>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row>
    <row r="27" spans="2:33" x14ac:dyDescent="0.3">
      <c r="B27" s="112"/>
      <c r="C27" s="112"/>
      <c r="D27" s="112"/>
      <c r="E27" s="112"/>
      <c r="F27" s="112"/>
      <c r="G27" s="112"/>
      <c r="H27" s="112"/>
      <c r="I27" s="112"/>
      <c r="J27" s="112"/>
      <c r="K27" s="112"/>
      <c r="L27" s="112"/>
      <c r="M27" s="112"/>
      <c r="N27" s="112"/>
      <c r="O27" s="112"/>
      <c r="P27" s="112"/>
      <c r="Q27" s="112"/>
      <c r="R27" s="112"/>
      <c r="S27" s="112"/>
      <c r="T27" s="112"/>
      <c r="U27" s="112"/>
      <c r="V27" s="112"/>
      <c r="W27" s="112"/>
      <c r="X27" s="112"/>
      <c r="Y27" s="112"/>
      <c r="Z27" s="112"/>
      <c r="AA27" s="112"/>
      <c r="AB27" s="112"/>
      <c r="AC27" s="112"/>
      <c r="AD27" s="112"/>
      <c r="AE27" s="112"/>
      <c r="AF27" s="112"/>
      <c r="AG27" s="112"/>
    </row>
    <row r="28" spans="2:33" x14ac:dyDescent="0.3">
      <c r="B28" s="112"/>
      <c r="C28" s="112"/>
      <c r="D28" s="112"/>
      <c r="E28" s="112"/>
      <c r="F28" s="112"/>
      <c r="G28" s="112"/>
      <c r="H28" s="112"/>
      <c r="I28" s="112"/>
      <c r="J28" s="112"/>
      <c r="K28" s="112"/>
      <c r="L28" s="112"/>
      <c r="M28" s="112"/>
      <c r="N28" s="112"/>
      <c r="O28" s="112"/>
      <c r="P28" s="112"/>
      <c r="Q28" s="112"/>
      <c r="R28" s="112"/>
      <c r="S28" s="112"/>
      <c r="T28" s="112"/>
      <c r="U28" s="112"/>
      <c r="V28" s="112"/>
      <c r="W28" s="112"/>
      <c r="X28" s="112"/>
      <c r="Y28" s="112"/>
      <c r="Z28" s="112"/>
      <c r="AA28" s="112"/>
      <c r="AB28" s="112"/>
      <c r="AC28" s="112"/>
      <c r="AD28" s="112"/>
      <c r="AE28" s="112"/>
      <c r="AF28" s="112"/>
      <c r="AG28" s="112"/>
    </row>
    <row r="29" spans="2:33" x14ac:dyDescent="0.3">
      <c r="B29" t="s">
        <v>187</v>
      </c>
    </row>
    <row r="30" spans="2:33" ht="3" customHeight="1" x14ac:dyDescent="0.3"/>
    <row r="31" spans="2:33" ht="15" customHeight="1" x14ac:dyDescent="0.3">
      <c r="B31" s="112" t="s">
        <v>204</v>
      </c>
      <c r="C31" s="112"/>
      <c r="D31" s="112"/>
      <c r="E31" s="112"/>
      <c r="F31" s="112"/>
      <c r="G31" s="112"/>
      <c r="H31" s="112"/>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row>
    <row r="32" spans="2:33" x14ac:dyDescent="0.3">
      <c r="B32" s="112"/>
      <c r="C32" s="112"/>
      <c r="D32" s="112"/>
      <c r="E32" s="112"/>
      <c r="F32" s="112"/>
      <c r="G32" s="112"/>
      <c r="H32" s="112"/>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row>
    <row r="33" spans="2:33" x14ac:dyDescent="0.3">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row>
    <row r="34" spans="2:33" ht="3" customHeight="1" x14ac:dyDescent="0.3">
      <c r="B34" s="53"/>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row>
    <row r="35" spans="2:33" x14ac:dyDescent="0.3">
      <c r="B35" s="112" t="s">
        <v>330</v>
      </c>
      <c r="C35" s="112"/>
      <c r="D35" s="112"/>
      <c r="E35" s="112"/>
      <c r="F35" s="112"/>
      <c r="G35" s="112"/>
      <c r="H35" s="112"/>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row>
    <row r="36" spans="2:33" x14ac:dyDescent="0.3">
      <c r="B36" s="112"/>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row>
    <row r="37" spans="2:33" x14ac:dyDescent="0.3">
      <c r="B37" s="112"/>
      <c r="C37" s="112"/>
      <c r="D37" s="112"/>
      <c r="E37" s="112"/>
      <c r="F37" s="112"/>
      <c r="G37" s="112"/>
      <c r="H37" s="112"/>
      <c r="I37" s="112"/>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row>
    <row r="38" spans="2:33" ht="6" customHeight="1" x14ac:dyDescent="0.3"/>
    <row r="39" spans="2:33" x14ac:dyDescent="0.3">
      <c r="B39" s="112" t="s">
        <v>331</v>
      </c>
      <c r="C39" s="112"/>
      <c r="D39" s="112"/>
      <c r="E39" s="112"/>
      <c r="F39" s="112"/>
      <c r="G39" s="112"/>
      <c r="H39" s="112"/>
      <c r="I39" s="112"/>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row>
    <row r="40" spans="2:33" x14ac:dyDescent="0.3">
      <c r="B40" s="112"/>
      <c r="C40" s="112"/>
      <c r="D40" s="112"/>
      <c r="E40" s="112"/>
      <c r="F40" s="112"/>
      <c r="G40" s="112"/>
      <c r="H40" s="112"/>
      <c r="I40" s="112"/>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row>
    <row r="41" spans="2:33" ht="3" customHeight="1" x14ac:dyDescent="0.3"/>
    <row r="42" spans="2:33" x14ac:dyDescent="0.3">
      <c r="B42" s="112" t="s">
        <v>332</v>
      </c>
      <c r="C42" s="112"/>
      <c r="D42" s="112"/>
      <c r="E42" s="112"/>
      <c r="F42" s="112"/>
      <c r="G42" s="112"/>
      <c r="H42" s="112"/>
      <c r="I42" s="112"/>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row>
    <row r="43" spans="2:33" x14ac:dyDescent="0.3">
      <c r="B43" s="112"/>
      <c r="C43" s="112"/>
      <c r="D43" s="112"/>
      <c r="E43" s="112"/>
      <c r="F43" s="112"/>
      <c r="G43" s="112"/>
      <c r="H43" s="112"/>
      <c r="I43" s="112"/>
      <c r="J43" s="112"/>
      <c r="K43" s="112"/>
      <c r="L43" s="112"/>
      <c r="M43" s="112"/>
      <c r="N43" s="112"/>
      <c r="O43" s="112"/>
      <c r="P43" s="112"/>
      <c r="Q43" s="112"/>
      <c r="R43" s="112"/>
      <c r="S43" s="112"/>
      <c r="T43" s="112"/>
      <c r="U43" s="112"/>
      <c r="V43" s="112"/>
      <c r="W43" s="112"/>
      <c r="X43" s="112"/>
      <c r="Y43" s="112"/>
      <c r="Z43" s="112"/>
      <c r="AA43" s="112"/>
      <c r="AB43" s="112"/>
      <c r="AC43" s="112"/>
      <c r="AD43" s="112"/>
      <c r="AE43" s="112"/>
      <c r="AF43" s="112"/>
      <c r="AG43" s="112"/>
    </row>
    <row r="44" spans="2:33" x14ac:dyDescent="0.3">
      <c r="B44" s="112"/>
      <c r="C44" s="112"/>
      <c r="D44" s="112"/>
      <c r="E44" s="112"/>
      <c r="F44" s="112"/>
      <c r="G44" s="112"/>
      <c r="H44" s="112"/>
      <c r="I44" s="112"/>
      <c r="J44" s="112"/>
      <c r="K44" s="112"/>
      <c r="L44" s="112"/>
      <c r="M44" s="112"/>
      <c r="N44" s="112"/>
      <c r="O44" s="112"/>
      <c r="P44" s="112"/>
      <c r="Q44" s="112"/>
      <c r="R44" s="112"/>
      <c r="S44" s="112"/>
      <c r="T44" s="112"/>
      <c r="U44" s="112"/>
      <c r="V44" s="112"/>
      <c r="W44" s="112"/>
      <c r="X44" s="112"/>
      <c r="Y44" s="112"/>
      <c r="Z44" s="112"/>
      <c r="AA44" s="112"/>
      <c r="AB44" s="112"/>
      <c r="AC44" s="112"/>
      <c r="AD44" s="112"/>
      <c r="AE44" s="112"/>
      <c r="AF44" s="112"/>
      <c r="AG44" s="112"/>
    </row>
    <row r="45" spans="2:33" x14ac:dyDescent="0.3">
      <c r="B45" s="112" t="s">
        <v>188</v>
      </c>
      <c r="C45" s="112"/>
      <c r="D45" s="112"/>
      <c r="E45" s="112"/>
      <c r="F45" s="112"/>
      <c r="G45" s="112"/>
      <c r="H45" s="112"/>
      <c r="I45" s="112"/>
      <c r="J45" s="112"/>
      <c r="K45" s="112"/>
      <c r="L45" s="112"/>
      <c r="M45" s="112"/>
      <c r="N45" s="112"/>
      <c r="O45" s="112"/>
      <c r="P45" s="112"/>
      <c r="Q45" s="112"/>
      <c r="R45" s="112"/>
      <c r="S45" s="112"/>
      <c r="T45" s="112"/>
      <c r="U45" s="112"/>
      <c r="V45" s="112"/>
      <c r="W45" s="112"/>
      <c r="X45" s="112"/>
      <c r="Y45" s="112"/>
      <c r="Z45" s="112"/>
      <c r="AA45" s="112"/>
      <c r="AB45" s="112"/>
      <c r="AC45" s="112"/>
      <c r="AD45" s="112"/>
      <c r="AE45" s="112"/>
      <c r="AF45" s="112"/>
      <c r="AG45" s="112"/>
    </row>
    <row r="46" spans="2:33" x14ac:dyDescent="0.3">
      <c r="B46" s="112"/>
      <c r="C46" s="112"/>
      <c r="D46" s="112"/>
      <c r="E46" s="112"/>
      <c r="F46" s="112"/>
      <c r="G46" s="112"/>
      <c r="H46" s="112"/>
      <c r="I46" s="112"/>
      <c r="J46" s="112"/>
      <c r="K46" s="112"/>
      <c r="L46" s="112"/>
      <c r="M46" s="112"/>
      <c r="N46" s="112"/>
      <c r="O46" s="112"/>
      <c r="P46" s="112"/>
      <c r="Q46" s="112"/>
      <c r="R46" s="112"/>
      <c r="S46" s="112"/>
      <c r="T46" s="112"/>
      <c r="U46" s="112"/>
      <c r="V46" s="112"/>
      <c r="W46" s="112"/>
      <c r="X46" s="112"/>
      <c r="Y46" s="112"/>
      <c r="Z46" s="112"/>
      <c r="AA46" s="112"/>
      <c r="AB46" s="112"/>
      <c r="AC46" s="112"/>
      <c r="AD46" s="112"/>
      <c r="AE46" s="112"/>
      <c r="AF46" s="112"/>
      <c r="AG46" s="112"/>
    </row>
    <row r="47" spans="2:33" x14ac:dyDescent="0.3">
      <c r="B47" s="112" t="s">
        <v>225</v>
      </c>
      <c r="C47" s="112"/>
      <c r="D47" s="112"/>
      <c r="E47" s="112"/>
      <c r="F47" s="112"/>
      <c r="G47" s="112"/>
      <c r="H47" s="112"/>
      <c r="I47" s="112"/>
      <c r="J47" s="112"/>
      <c r="K47" s="112"/>
      <c r="L47" s="112"/>
      <c r="M47" s="112"/>
      <c r="N47" s="112"/>
      <c r="O47" s="112"/>
      <c r="P47" s="112"/>
      <c r="Q47" s="112"/>
      <c r="R47" s="112"/>
      <c r="S47" s="112"/>
      <c r="T47" s="112"/>
      <c r="U47" s="112"/>
      <c r="V47" s="112"/>
      <c r="W47" s="112"/>
      <c r="X47" s="112"/>
      <c r="Y47" s="112"/>
      <c r="Z47" s="112"/>
      <c r="AA47" s="112"/>
      <c r="AB47" s="112"/>
      <c r="AC47" s="112"/>
      <c r="AD47" s="112"/>
      <c r="AE47" s="112"/>
      <c r="AF47" s="112"/>
      <c r="AG47" s="112"/>
    </row>
    <row r="48" spans="2:33" x14ac:dyDescent="0.3">
      <c r="B48" s="112"/>
      <c r="C48" s="112"/>
      <c r="D48" s="112"/>
      <c r="E48" s="112"/>
      <c r="F48" s="112"/>
      <c r="G48" s="112"/>
      <c r="H48" s="112"/>
      <c r="I48" s="112"/>
      <c r="J48" s="112"/>
      <c r="K48" s="112"/>
      <c r="L48" s="112"/>
      <c r="M48" s="112"/>
      <c r="N48" s="112"/>
      <c r="O48" s="112"/>
      <c r="P48" s="112"/>
      <c r="Q48" s="112"/>
      <c r="R48" s="112"/>
      <c r="S48" s="112"/>
      <c r="T48" s="112"/>
      <c r="U48" s="112"/>
      <c r="V48" s="112"/>
      <c r="W48" s="112"/>
      <c r="X48" s="112"/>
      <c r="Y48" s="112"/>
      <c r="Z48" s="112"/>
      <c r="AA48" s="112"/>
      <c r="AB48" s="112"/>
      <c r="AC48" s="112"/>
      <c r="AD48" s="112"/>
      <c r="AE48" s="112"/>
      <c r="AF48" s="112"/>
      <c r="AG48" s="112"/>
    </row>
    <row r="49" spans="2:33" ht="3.9" customHeight="1" x14ac:dyDescent="0.3"/>
    <row r="50" spans="2:33" ht="15" customHeight="1" x14ac:dyDescent="0.3">
      <c r="B50" s="112" t="s">
        <v>333</v>
      </c>
      <c r="C50" s="112"/>
      <c r="D50" s="112"/>
      <c r="E50" s="112"/>
      <c r="F50" s="112"/>
      <c r="G50" s="112"/>
      <c r="H50" s="112"/>
      <c r="I50" s="112"/>
      <c r="J50" s="112"/>
      <c r="K50" s="112"/>
      <c r="L50" s="112"/>
      <c r="M50" s="112"/>
      <c r="N50" s="112"/>
      <c r="O50" s="112"/>
      <c r="P50" s="112"/>
      <c r="Q50" s="112"/>
      <c r="R50" s="112"/>
      <c r="S50" s="112"/>
      <c r="T50" s="112"/>
      <c r="U50" s="112"/>
      <c r="V50" s="112"/>
      <c r="W50" s="112"/>
      <c r="X50" s="112"/>
      <c r="Y50" s="112"/>
      <c r="Z50" s="112"/>
      <c r="AA50" s="112"/>
      <c r="AB50" s="112"/>
      <c r="AC50" s="112"/>
      <c r="AD50" s="112"/>
      <c r="AE50" s="112"/>
      <c r="AF50" s="112"/>
      <c r="AG50" s="112"/>
    </row>
    <row r="51" spans="2:33" x14ac:dyDescent="0.3">
      <c r="B51" s="112"/>
      <c r="C51" s="112"/>
      <c r="D51" s="112"/>
      <c r="E51" s="112"/>
      <c r="F51" s="112"/>
      <c r="G51" s="112"/>
      <c r="H51" s="112"/>
      <c r="I51" s="112"/>
      <c r="J51" s="112"/>
      <c r="K51" s="112"/>
      <c r="L51" s="112"/>
      <c r="M51" s="112"/>
      <c r="N51" s="112"/>
      <c r="O51" s="112"/>
      <c r="P51" s="112"/>
      <c r="Q51" s="112"/>
      <c r="R51" s="112"/>
      <c r="S51" s="112"/>
      <c r="T51" s="112"/>
      <c r="U51" s="112"/>
      <c r="V51" s="112"/>
      <c r="W51" s="112"/>
      <c r="X51" s="112"/>
      <c r="Y51" s="112"/>
      <c r="Z51" s="112"/>
      <c r="AA51" s="112"/>
      <c r="AB51" s="112"/>
      <c r="AC51" s="112"/>
      <c r="AD51" s="112"/>
      <c r="AE51" s="112"/>
      <c r="AF51" s="112"/>
      <c r="AG51" s="112"/>
    </row>
    <row r="52" spans="2:33" x14ac:dyDescent="0.3">
      <c r="B52" s="112"/>
      <c r="C52" s="112"/>
      <c r="D52" s="112"/>
      <c r="E52" s="112"/>
      <c r="F52" s="112"/>
      <c r="G52" s="112"/>
      <c r="H52" s="112"/>
      <c r="I52" s="112"/>
      <c r="J52" s="112"/>
      <c r="K52" s="112"/>
      <c r="L52" s="112"/>
      <c r="M52" s="112"/>
      <c r="N52" s="112"/>
      <c r="O52" s="112"/>
      <c r="P52" s="112"/>
      <c r="Q52" s="112"/>
      <c r="R52" s="112"/>
      <c r="S52" s="112"/>
      <c r="T52" s="112"/>
      <c r="U52" s="112"/>
      <c r="V52" s="112"/>
      <c r="W52" s="112"/>
      <c r="X52" s="112"/>
      <c r="Y52" s="112"/>
      <c r="Z52" s="112"/>
      <c r="AA52" s="112"/>
      <c r="AB52" s="112"/>
      <c r="AC52" s="112"/>
      <c r="AD52" s="112"/>
      <c r="AE52" s="112"/>
      <c r="AF52" s="112"/>
      <c r="AG52" s="112"/>
    </row>
    <row r="53" spans="2:33" x14ac:dyDescent="0.3">
      <c r="B53" s="112"/>
      <c r="C53" s="112"/>
      <c r="D53" s="112"/>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row>
    <row r="54" spans="2:33" ht="6" customHeight="1" x14ac:dyDescent="0.3"/>
    <row r="55" spans="2:33" x14ac:dyDescent="0.3">
      <c r="B55" s="112" t="s">
        <v>334</v>
      </c>
      <c r="C55" s="112"/>
      <c r="D55" s="112"/>
      <c r="E55" s="112"/>
      <c r="F55" s="112"/>
      <c r="G55" s="112"/>
      <c r="H55" s="112"/>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row>
    <row r="56" spans="2:33" x14ac:dyDescent="0.3">
      <c r="B56" s="112"/>
      <c r="C56" s="112"/>
      <c r="D56" s="112"/>
      <c r="E56" s="112"/>
      <c r="F56" s="112"/>
      <c r="G56" s="112"/>
      <c r="H56" s="11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row>
    <row r="57" spans="2:33" ht="6" customHeight="1" x14ac:dyDescent="0.3">
      <c r="B57" t="s">
        <v>205</v>
      </c>
    </row>
    <row r="58" spans="2:33" x14ac:dyDescent="0.3">
      <c r="B58" t="s">
        <v>335</v>
      </c>
    </row>
    <row r="59" spans="2:33" ht="6" customHeight="1" x14ac:dyDescent="0.3"/>
    <row r="60" spans="2:33" x14ac:dyDescent="0.3">
      <c r="B60" t="s">
        <v>336</v>
      </c>
    </row>
    <row r="61" spans="2:33" ht="6" customHeight="1" x14ac:dyDescent="0.3"/>
    <row r="62" spans="2:33" x14ac:dyDescent="0.3">
      <c r="B62" t="s">
        <v>337</v>
      </c>
    </row>
    <row r="63" spans="2:33" x14ac:dyDescent="0.3">
      <c r="B63" t="s">
        <v>189</v>
      </c>
    </row>
    <row r="64" spans="2:33" x14ac:dyDescent="0.3">
      <c r="B64" t="s">
        <v>210</v>
      </c>
    </row>
    <row r="65" spans="2:33" ht="6" customHeight="1" x14ac:dyDescent="0.3"/>
    <row r="66" spans="2:33" x14ac:dyDescent="0.3">
      <c r="B66" s="112" t="s">
        <v>211</v>
      </c>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2"/>
      <c r="AD66" s="112"/>
      <c r="AE66" s="112"/>
      <c r="AF66" s="112"/>
      <c r="AG66" s="112"/>
    </row>
    <row r="67" spans="2:33" x14ac:dyDescent="0.3">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2"/>
      <c r="AD67" s="112"/>
      <c r="AE67" s="112"/>
      <c r="AF67" s="112"/>
      <c r="AG67" s="112"/>
    </row>
    <row r="68" spans="2:33" ht="6" customHeight="1" x14ac:dyDescent="0.3">
      <c r="B68" s="112"/>
      <c r="C68" s="112"/>
      <c r="D68" s="112"/>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c r="AG68" s="112"/>
    </row>
    <row r="69" spans="2:33" ht="15" customHeight="1" x14ac:dyDescent="0.3">
      <c r="B69" s="112" t="s">
        <v>212</v>
      </c>
      <c r="C69" s="112"/>
      <c r="D69" s="112"/>
      <c r="E69" s="112"/>
      <c r="F69" s="112"/>
      <c r="G69" s="112"/>
      <c r="H69" s="112"/>
      <c r="I69" s="112"/>
      <c r="J69" s="112"/>
      <c r="K69" s="112"/>
      <c r="L69" s="112"/>
      <c r="M69" s="112"/>
      <c r="N69" s="112"/>
      <c r="O69" s="112"/>
      <c r="P69" s="112"/>
      <c r="Q69" s="112"/>
      <c r="R69" s="112"/>
      <c r="S69" s="112"/>
      <c r="T69" s="112"/>
      <c r="U69" s="112"/>
      <c r="V69" s="112"/>
      <c r="W69" s="112"/>
      <c r="X69" s="112"/>
      <c r="Y69" s="112"/>
      <c r="Z69" s="112"/>
      <c r="AA69" s="112"/>
      <c r="AB69" s="112"/>
      <c r="AC69" s="112"/>
      <c r="AD69" s="112"/>
      <c r="AE69" s="112"/>
      <c r="AF69" s="112"/>
      <c r="AG69" s="112"/>
    </row>
    <row r="70" spans="2:33" x14ac:dyDescent="0.3">
      <c r="B70" s="112"/>
      <c r="C70" s="112"/>
      <c r="D70" s="112"/>
      <c r="E70" s="112"/>
      <c r="F70" s="112"/>
      <c r="G70" s="112"/>
      <c r="H70" s="112"/>
      <c r="I70" s="112"/>
      <c r="J70" s="112"/>
      <c r="K70" s="112"/>
      <c r="L70" s="112"/>
      <c r="M70" s="112"/>
      <c r="N70" s="112"/>
      <c r="O70" s="112"/>
      <c r="P70" s="112"/>
      <c r="Q70" s="112"/>
      <c r="R70" s="112"/>
      <c r="S70" s="112"/>
      <c r="T70" s="112"/>
      <c r="U70" s="112"/>
      <c r="V70" s="112"/>
      <c r="W70" s="112"/>
      <c r="X70" s="112"/>
      <c r="Y70" s="112"/>
      <c r="Z70" s="112"/>
      <c r="AA70" s="112"/>
      <c r="AB70" s="112"/>
      <c r="AC70" s="112"/>
      <c r="AD70" s="112"/>
      <c r="AE70" s="112"/>
      <c r="AF70" s="112"/>
      <c r="AG70" s="112"/>
    </row>
    <row r="71" spans="2:33" x14ac:dyDescent="0.3">
      <c r="B71" s="112"/>
      <c r="C71" s="112"/>
      <c r="D71" s="112"/>
      <c r="E71" s="112"/>
      <c r="F71" s="112"/>
      <c r="G71" s="112"/>
      <c r="H71" s="112"/>
      <c r="I71" s="112"/>
      <c r="J71" s="112"/>
      <c r="K71" s="112"/>
      <c r="L71" s="112"/>
      <c r="M71" s="112"/>
      <c r="N71" s="112"/>
      <c r="O71" s="112"/>
      <c r="P71" s="112"/>
      <c r="Q71" s="112"/>
      <c r="R71" s="112"/>
      <c r="S71" s="112"/>
      <c r="T71" s="112"/>
      <c r="U71" s="112"/>
      <c r="V71" s="112"/>
      <c r="W71" s="112"/>
      <c r="X71" s="112"/>
      <c r="Y71" s="112"/>
      <c r="Z71" s="112"/>
      <c r="AA71" s="112"/>
      <c r="AB71" s="112"/>
      <c r="AC71" s="112"/>
      <c r="AD71" s="112"/>
      <c r="AE71" s="112"/>
      <c r="AF71" s="112"/>
      <c r="AG71" s="112"/>
    </row>
    <row r="72" spans="2:33" ht="6" customHeight="1" x14ac:dyDescent="0.3"/>
    <row r="73" spans="2:33" ht="15" customHeight="1" x14ac:dyDescent="0.3">
      <c r="B73" s="112" t="s">
        <v>190</v>
      </c>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row>
    <row r="74" spans="2:33" x14ac:dyDescent="0.3">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row>
    <row r="75" spans="2:33" x14ac:dyDescent="0.3">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row>
    <row r="76" spans="2:33" x14ac:dyDescent="0.3">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row>
    <row r="77" spans="2:33" x14ac:dyDescent="0.3">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row>
    <row r="78" spans="2:33" x14ac:dyDescent="0.3">
      <c r="B78" s="112"/>
      <c r="C78" s="112"/>
      <c r="D78" s="112"/>
      <c r="E78" s="112"/>
      <c r="F78" s="112"/>
      <c r="G78" s="112"/>
      <c r="H78" s="112"/>
      <c r="I78" s="112"/>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row>
    <row r="79" spans="2:33" x14ac:dyDescent="0.3">
      <c r="B79" s="112"/>
      <c r="C79" s="112"/>
      <c r="D79" s="112"/>
      <c r="E79" s="112"/>
      <c r="F79" s="112"/>
      <c r="G79" s="112"/>
      <c r="H79" s="112"/>
      <c r="I79" s="112"/>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row>
    <row r="80" spans="2:33" x14ac:dyDescent="0.3">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row>
    <row r="81" spans="2:34" ht="6" customHeight="1" x14ac:dyDescent="0.3"/>
    <row r="82" spans="2:34" x14ac:dyDescent="0.3">
      <c r="B82" s="112" t="s">
        <v>191</v>
      </c>
      <c r="C82" s="112"/>
      <c r="D82" s="112"/>
      <c r="E82" s="112"/>
      <c r="F82" s="112"/>
      <c r="G82" s="112"/>
      <c r="H82" s="112"/>
      <c r="I82" s="112"/>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row>
    <row r="83" spans="2:34" x14ac:dyDescent="0.3">
      <c r="B83" s="112"/>
      <c r="C83" s="112"/>
      <c r="D83" s="112"/>
      <c r="E83" s="112"/>
      <c r="F83" s="112"/>
      <c r="G83" s="112"/>
      <c r="H83" s="112"/>
      <c r="I83" s="112"/>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row>
    <row r="84" spans="2:34" x14ac:dyDescent="0.3">
      <c r="B84" s="112"/>
      <c r="C84" s="112"/>
      <c r="D84" s="112"/>
      <c r="E84" s="112"/>
      <c r="F84" s="112"/>
      <c r="G84" s="112"/>
      <c r="H84" s="112"/>
      <c r="I84" s="112"/>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row>
    <row r="85" spans="2:34" x14ac:dyDescent="0.3">
      <c r="B85" s="112"/>
      <c r="C85" s="112"/>
      <c r="D85" s="112"/>
      <c r="E85" s="112"/>
      <c r="F85" s="112"/>
      <c r="G85" s="112"/>
      <c r="H85" s="112"/>
      <c r="I85" s="112"/>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row>
    <row r="86" spans="2:34" ht="3" customHeight="1" x14ac:dyDescent="0.3"/>
    <row r="87" spans="2:34" x14ac:dyDescent="0.3">
      <c r="B87" t="s">
        <v>214</v>
      </c>
    </row>
    <row r="88" spans="2:34" ht="3" customHeight="1" x14ac:dyDescent="0.3"/>
    <row r="89" spans="2:34" x14ac:dyDescent="0.3">
      <c r="C89" s="112" t="s">
        <v>192</v>
      </c>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s="112"/>
      <c r="AE89" s="112"/>
      <c r="AF89" s="112"/>
      <c r="AG89" s="112"/>
      <c r="AH89" s="112"/>
    </row>
    <row r="90" spans="2:34" x14ac:dyDescent="0.3">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s="112"/>
      <c r="AE90" s="112"/>
      <c r="AF90" s="112"/>
      <c r="AG90" s="112"/>
      <c r="AH90" s="112"/>
    </row>
    <row r="91" spans="2:34" ht="3" customHeight="1" x14ac:dyDescent="0.3"/>
    <row r="92" spans="2:34" x14ac:dyDescent="0.3">
      <c r="C92" t="s">
        <v>193</v>
      </c>
    </row>
    <row r="93" spans="2:34" ht="3" customHeight="1" x14ac:dyDescent="0.3"/>
    <row r="94" spans="2:34" x14ac:dyDescent="0.3">
      <c r="C94" t="s">
        <v>194</v>
      </c>
    </row>
    <row r="95" spans="2:34" ht="3" customHeight="1" x14ac:dyDescent="0.3"/>
    <row r="96" spans="2:34" ht="15" customHeight="1" x14ac:dyDescent="0.3">
      <c r="C96" s="112" t="s">
        <v>195</v>
      </c>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s="112"/>
      <c r="AE96" s="112"/>
      <c r="AF96" s="112"/>
      <c r="AG96" s="112"/>
      <c r="AH96" s="112"/>
    </row>
    <row r="97" spans="2:34" x14ac:dyDescent="0.3">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s="112"/>
      <c r="AE97" s="112"/>
      <c r="AF97" s="112"/>
      <c r="AG97" s="112"/>
      <c r="AH97" s="112"/>
    </row>
    <row r="98" spans="2:34" x14ac:dyDescent="0.3">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s="112"/>
      <c r="AE98" s="112"/>
      <c r="AF98" s="112"/>
      <c r="AG98" s="112"/>
      <c r="AH98" s="112"/>
    </row>
    <row r="99" spans="2:34" x14ac:dyDescent="0.3">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s="112"/>
      <c r="AE99" s="112"/>
      <c r="AF99" s="112"/>
      <c r="AG99" s="112"/>
      <c r="AH99" s="112"/>
    </row>
    <row r="100" spans="2:34" x14ac:dyDescent="0.3">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row>
    <row r="101" spans="2:34" ht="3" customHeight="1" x14ac:dyDescent="0.3"/>
    <row r="102" spans="2:34" x14ac:dyDescent="0.3">
      <c r="B102" t="s">
        <v>338</v>
      </c>
    </row>
    <row r="103" spans="2:34" ht="3" customHeight="1" x14ac:dyDescent="0.3"/>
    <row r="104" spans="2:34" x14ac:dyDescent="0.3">
      <c r="C104" s="112" t="s">
        <v>208</v>
      </c>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row>
    <row r="105" spans="2:34" x14ac:dyDescent="0.3">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row>
    <row r="106" spans="2:34" x14ac:dyDescent="0.3">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112"/>
      <c r="AG106" s="112"/>
    </row>
    <row r="107" spans="2:34" ht="3" customHeight="1" x14ac:dyDescent="0.3"/>
    <row r="108" spans="2:34" x14ac:dyDescent="0.3">
      <c r="C108" s="112" t="s">
        <v>207</v>
      </c>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112"/>
      <c r="AG108" s="112"/>
    </row>
    <row r="109" spans="2:34" x14ac:dyDescent="0.3">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112"/>
      <c r="AG109" s="112"/>
    </row>
    <row r="110" spans="2:34" x14ac:dyDescent="0.3">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112"/>
      <c r="AG110" s="112"/>
    </row>
    <row r="111" spans="2:34" ht="3" customHeight="1" x14ac:dyDescent="0.3"/>
    <row r="112" spans="2:34" ht="15" customHeight="1" x14ac:dyDescent="0.3">
      <c r="C112" s="112" t="s">
        <v>206</v>
      </c>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row>
    <row r="113" spans="3:33" x14ac:dyDescent="0.3">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row>
    <row r="114" spans="3:33" x14ac:dyDescent="0.3">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row>
    <row r="115" spans="3:33" x14ac:dyDescent="0.3">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row>
    <row r="116" spans="3:33" x14ac:dyDescent="0.3">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row>
    <row r="117" spans="3:33" ht="3" customHeight="1" x14ac:dyDescent="0.3"/>
    <row r="118" spans="3:33" x14ac:dyDescent="0.3">
      <c r="C118" s="112" t="s">
        <v>329</v>
      </c>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row>
    <row r="119" spans="3:33" x14ac:dyDescent="0.3">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row>
    <row r="120" spans="3:33" ht="3" customHeight="1" x14ac:dyDescent="0.3"/>
    <row r="121" spans="3:33" ht="15" customHeight="1" x14ac:dyDescent="0.3">
      <c r="C121" s="112" t="s">
        <v>196</v>
      </c>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row>
    <row r="122" spans="3:33" x14ac:dyDescent="0.3">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row>
    <row r="123" spans="3:33" x14ac:dyDescent="0.3">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row>
    <row r="124" spans="3:33" ht="3" customHeight="1" x14ac:dyDescent="0.3"/>
    <row r="125" spans="3:33" ht="15" customHeight="1" x14ac:dyDescent="0.3">
      <c r="C125" s="112" t="s">
        <v>213</v>
      </c>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row>
    <row r="126" spans="3:33" x14ac:dyDescent="0.3">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row>
    <row r="127" spans="3:33" x14ac:dyDescent="0.3">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row>
    <row r="128" spans="3:33" x14ac:dyDescent="0.3">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row>
    <row r="129" spans="2:33" ht="3" customHeight="1" x14ac:dyDescent="0.3"/>
    <row r="130" spans="2:33" x14ac:dyDescent="0.3">
      <c r="B130" t="s">
        <v>339</v>
      </c>
    </row>
    <row r="131" spans="2:33" ht="3" customHeight="1" x14ac:dyDescent="0.3"/>
    <row r="132" spans="2:33" x14ac:dyDescent="0.3">
      <c r="B132" s="112" t="s">
        <v>340</v>
      </c>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row>
    <row r="133" spans="2:33" x14ac:dyDescent="0.3">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row>
    <row r="134" spans="2:33" x14ac:dyDescent="0.3">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row>
    <row r="135" spans="2:33" ht="3" customHeight="1" x14ac:dyDescent="0.3"/>
    <row r="136" spans="2:33" x14ac:dyDescent="0.3">
      <c r="B136" t="s">
        <v>197</v>
      </c>
    </row>
    <row r="137" spans="2:33" ht="3" customHeight="1" x14ac:dyDescent="0.3"/>
    <row r="138" spans="2:33" x14ac:dyDescent="0.3">
      <c r="B138" s="112" t="s">
        <v>198</v>
      </c>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row>
    <row r="139" spans="2:33" x14ac:dyDescent="0.3">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row>
    <row r="140" spans="2:33" x14ac:dyDescent="0.3">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row>
    <row r="141" spans="2:33" ht="3" customHeight="1" x14ac:dyDescent="0.3"/>
    <row r="142" spans="2:33" x14ac:dyDescent="0.3">
      <c r="B142" t="s">
        <v>209</v>
      </c>
    </row>
    <row r="143" spans="2:33" ht="3" customHeight="1" x14ac:dyDescent="0.3"/>
    <row r="144" spans="2:33" x14ac:dyDescent="0.3">
      <c r="B144" t="s">
        <v>199</v>
      </c>
    </row>
    <row r="145" spans="2:33" ht="3" customHeight="1" x14ac:dyDescent="0.3"/>
    <row r="146" spans="2:33" x14ac:dyDescent="0.3">
      <c r="B146" t="s">
        <v>200</v>
      </c>
    </row>
    <row r="147" spans="2:33" ht="3" customHeight="1" x14ac:dyDescent="0.3"/>
    <row r="148" spans="2:33" x14ac:dyDescent="0.3">
      <c r="B148" s="112" t="s">
        <v>341</v>
      </c>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row>
    <row r="149" spans="2:33" x14ac:dyDescent="0.3">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row>
    <row r="150" spans="2:33" ht="3" customHeight="1" x14ac:dyDescent="0.3"/>
    <row r="151" spans="2:33" x14ac:dyDescent="0.3">
      <c r="B151" t="s">
        <v>342</v>
      </c>
    </row>
    <row r="152" spans="2:33" ht="3" customHeight="1" x14ac:dyDescent="0.3"/>
    <row r="153" spans="2:33" x14ac:dyDescent="0.3">
      <c r="B153" t="s">
        <v>343</v>
      </c>
    </row>
    <row r="154" spans="2:33" ht="3" customHeight="1" x14ac:dyDescent="0.3"/>
    <row r="155" spans="2:33" x14ac:dyDescent="0.3">
      <c r="C155" s="231" t="s">
        <v>201</v>
      </c>
      <c r="D155" s="231"/>
      <c r="E155" s="231"/>
      <c r="F155" s="231"/>
      <c r="G155" s="231"/>
      <c r="H155" s="231"/>
      <c r="I155" s="231"/>
      <c r="J155" s="231"/>
      <c r="K155" s="231"/>
      <c r="L155" s="231"/>
      <c r="M155" s="231"/>
      <c r="N155" s="231"/>
      <c r="O155" s="231"/>
      <c r="P155" s="231"/>
      <c r="Q155" s="231"/>
      <c r="R155" s="231"/>
      <c r="S155" s="231"/>
      <c r="T155" s="231"/>
      <c r="U155" s="231"/>
      <c r="V155" s="231"/>
      <c r="W155" s="231"/>
      <c r="X155" s="231"/>
      <c r="Y155" s="231"/>
      <c r="Z155" s="231"/>
      <c r="AA155" s="231"/>
      <c r="AB155" s="231"/>
      <c r="AC155" s="231"/>
      <c r="AD155" s="231"/>
      <c r="AE155" s="231"/>
      <c r="AF155" s="231"/>
      <c r="AG155" s="231"/>
    </row>
    <row r="156" spans="2:33" x14ac:dyDescent="0.3">
      <c r="C156" s="231"/>
      <c r="D156" s="231"/>
      <c r="E156" s="231"/>
      <c r="F156" s="231"/>
      <c r="G156" s="231"/>
      <c r="H156" s="231"/>
      <c r="I156" s="231"/>
      <c r="J156" s="231"/>
      <c r="K156" s="231"/>
      <c r="L156" s="231"/>
      <c r="M156" s="231"/>
      <c r="N156" s="231"/>
      <c r="O156" s="231"/>
      <c r="P156" s="231"/>
      <c r="Q156" s="231"/>
      <c r="R156" s="231"/>
      <c r="S156" s="231"/>
      <c r="T156" s="231"/>
      <c r="U156" s="231"/>
      <c r="V156" s="231"/>
      <c r="W156" s="231"/>
      <c r="X156" s="231"/>
      <c r="Y156" s="231"/>
      <c r="Z156" s="231"/>
      <c r="AA156" s="231"/>
      <c r="AB156" s="231"/>
      <c r="AC156" s="231"/>
      <c r="AD156" s="231"/>
      <c r="AE156" s="231"/>
      <c r="AF156" s="231"/>
      <c r="AG156" s="231"/>
    </row>
    <row r="157" spans="2:33" ht="3" customHeight="1" x14ac:dyDescent="0.3"/>
    <row r="158" spans="2:33" ht="15" customHeight="1" x14ac:dyDescent="0.3">
      <c r="C158" s="112" t="s">
        <v>202</v>
      </c>
      <c r="D158" s="112"/>
      <c r="E158" s="112"/>
      <c r="F158" s="112"/>
      <c r="G158" s="112"/>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112"/>
      <c r="AG158" s="112"/>
    </row>
    <row r="159" spans="2:33" x14ac:dyDescent="0.3">
      <c r="C159" s="112"/>
      <c r="D159" s="112"/>
      <c r="E159" s="112"/>
      <c r="F159" s="112"/>
      <c r="G159" s="112"/>
      <c r="H159" s="112"/>
      <c r="I159" s="112"/>
      <c r="J159" s="112"/>
      <c r="K159" s="112"/>
      <c r="L159" s="112"/>
      <c r="M159" s="112"/>
      <c r="N159" s="112"/>
      <c r="O159" s="112"/>
      <c r="P159" s="112"/>
      <c r="Q159" s="112"/>
      <c r="R159" s="112"/>
      <c r="S159" s="112"/>
      <c r="T159" s="112"/>
      <c r="U159" s="112"/>
      <c r="V159" s="112"/>
      <c r="W159" s="112"/>
      <c r="X159" s="112"/>
      <c r="Y159" s="112"/>
      <c r="Z159" s="112"/>
      <c r="AA159" s="112"/>
      <c r="AB159" s="112"/>
      <c r="AC159" s="112"/>
      <c r="AD159" s="112"/>
      <c r="AE159" s="112"/>
      <c r="AF159" s="112"/>
      <c r="AG159" s="112"/>
    </row>
    <row r="160" spans="2:33" x14ac:dyDescent="0.3">
      <c r="C160" s="112"/>
      <c r="D160" s="112"/>
      <c r="E160" s="112"/>
      <c r="F160" s="112"/>
      <c r="G160" s="112"/>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row>
    <row r="161" spans="2:2" ht="3" customHeight="1" x14ac:dyDescent="0.3"/>
    <row r="162" spans="2:2" x14ac:dyDescent="0.3">
      <c r="B162" t="s">
        <v>344</v>
      </c>
    </row>
    <row r="163" spans="2:2" ht="3" customHeight="1" x14ac:dyDescent="0.3"/>
    <row r="164" spans="2:2" x14ac:dyDescent="0.3">
      <c r="B164" t="s">
        <v>345</v>
      </c>
    </row>
    <row r="165" spans="2:2" ht="3" customHeight="1" x14ac:dyDescent="0.3"/>
    <row r="166" spans="2:2" x14ac:dyDescent="0.3">
      <c r="B166" t="s">
        <v>346</v>
      </c>
    </row>
  </sheetData>
  <mergeCells count="55">
    <mergeCell ref="F18:I18"/>
    <mergeCell ref="J18:Q18"/>
    <mergeCell ref="R18:U18"/>
    <mergeCell ref="V18:AA18"/>
    <mergeCell ref="F19:I19"/>
    <mergeCell ref="J19:Q19"/>
    <mergeCell ref="R19:U19"/>
    <mergeCell ref="V19:AA19"/>
    <mergeCell ref="F16:I16"/>
    <mergeCell ref="F17:I17"/>
    <mergeCell ref="J16:Q16"/>
    <mergeCell ref="R16:U16"/>
    <mergeCell ref="V16:AA16"/>
    <mergeCell ref="J17:Q17"/>
    <mergeCell ref="R17:U17"/>
    <mergeCell ref="V17:AA17"/>
    <mergeCell ref="B26:AG28"/>
    <mergeCell ref="B23:AG24"/>
    <mergeCell ref="B31:AG33"/>
    <mergeCell ref="B35:AG37"/>
    <mergeCell ref="F20:I20"/>
    <mergeCell ref="J20:Q20"/>
    <mergeCell ref="R20:U20"/>
    <mergeCell ref="V20:AA20"/>
    <mergeCell ref="F21:I21"/>
    <mergeCell ref="J21:Q21"/>
    <mergeCell ref="R21:U21"/>
    <mergeCell ref="V21:AA21"/>
    <mergeCell ref="B39:AG40"/>
    <mergeCell ref="B42:AG44"/>
    <mergeCell ref="B47:AG48"/>
    <mergeCell ref="B50:AG53"/>
    <mergeCell ref="C96:AH100"/>
    <mergeCell ref="B45:AG46"/>
    <mergeCell ref="B73:AG79"/>
    <mergeCell ref="B55:AG56"/>
    <mergeCell ref="B66:AG67"/>
    <mergeCell ref="B68:AG68"/>
    <mergeCell ref="B69:AG71"/>
    <mergeCell ref="C158:AG160"/>
    <mergeCell ref="B4:AG6"/>
    <mergeCell ref="B8:AG9"/>
    <mergeCell ref="B11:AG12"/>
    <mergeCell ref="B132:AG134"/>
    <mergeCell ref="B138:AG140"/>
    <mergeCell ref="B148:AG149"/>
    <mergeCell ref="C155:AG156"/>
    <mergeCell ref="C121:AG123"/>
    <mergeCell ref="C125:AG128"/>
    <mergeCell ref="C108:AG110"/>
    <mergeCell ref="C112:AG116"/>
    <mergeCell ref="C118:AG119"/>
    <mergeCell ref="B82:AG85"/>
    <mergeCell ref="C89:AH90"/>
    <mergeCell ref="C104:AG106"/>
  </mergeCells>
  <pageMargins left="0.70866141732283461" right="0.70866141732283461" top="0.74803149606299213" bottom="0.3543307086614173" header="0.31496062992125984" footer="0.31496062992125984"/>
  <pageSetup paperSize="9" orientation="landscape" r:id="rId1"/>
  <headerFooter>
    <oddHeader xml:space="preserve">&amp;C </oddHeader>
    <oddFooter>&amp;R_x000D_&amp;1#&amp;"Calibri"&amp;10&amp;K000000 Classificação: Público</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DA7DF-57A8-442F-8984-D02A4E3D7DB0}">
  <sheetPr codeName="Planilha2"/>
  <dimension ref="B2:V57"/>
  <sheetViews>
    <sheetView workbookViewId="0">
      <selection activeCell="H20" sqref="H20"/>
    </sheetView>
  </sheetViews>
  <sheetFormatPr defaultRowHeight="14.4" x14ac:dyDescent="0.3"/>
  <cols>
    <col min="2" max="2" width="87.44140625" bestFit="1" customWidth="1"/>
    <col min="3" max="3" width="12.44140625" bestFit="1" customWidth="1"/>
    <col min="6" max="6" width="15.33203125" customWidth="1"/>
    <col min="8" max="8" width="14.109375" bestFit="1" customWidth="1"/>
    <col min="9" max="9" width="15.33203125" bestFit="1" customWidth="1"/>
    <col min="10" max="10" width="15.5546875" bestFit="1" customWidth="1"/>
    <col min="11" max="11" width="17" bestFit="1" customWidth="1"/>
    <col min="12" max="12" width="17.44140625" bestFit="1" customWidth="1"/>
    <col min="15" max="15" width="9.109375" style="19"/>
    <col min="16" max="16" width="22.5546875" style="19" bestFit="1" customWidth="1"/>
    <col min="17" max="17" width="7" style="19" customWidth="1"/>
    <col min="18" max="18" width="12.88671875" style="19" customWidth="1"/>
    <col min="20" max="20" width="24.109375" bestFit="1" customWidth="1"/>
  </cols>
  <sheetData>
    <row r="2" spans="2:22" x14ac:dyDescent="0.3">
      <c r="V2" t="s">
        <v>228</v>
      </c>
    </row>
    <row r="3" spans="2:22" x14ac:dyDescent="0.3">
      <c r="B3" s="27" t="s">
        <v>87</v>
      </c>
      <c r="D3" t="s">
        <v>95</v>
      </c>
      <c r="H3" t="s">
        <v>35</v>
      </c>
      <c r="I3" t="s">
        <v>36</v>
      </c>
      <c r="J3" t="s">
        <v>37</v>
      </c>
      <c r="K3" t="s">
        <v>38</v>
      </c>
      <c r="L3" t="s">
        <v>39</v>
      </c>
      <c r="O3" s="19" t="s">
        <v>149</v>
      </c>
      <c r="P3" s="19" t="s">
        <v>150</v>
      </c>
      <c r="R3" s="19" t="s">
        <v>155</v>
      </c>
      <c r="T3" t="s">
        <v>154</v>
      </c>
      <c r="V3">
        <f>IF(TipoSE="Nº 1",1,0)</f>
        <v>0</v>
      </c>
    </row>
    <row r="4" spans="2:22" x14ac:dyDescent="0.3">
      <c r="B4" t="s">
        <v>9</v>
      </c>
      <c r="C4" t="b">
        <f>B4=Formulário!$I$39</f>
        <v>0</v>
      </c>
      <c r="D4">
        <f>IF(Formulário!$I$39=Dados!B4,1,0)</f>
        <v>0</v>
      </c>
      <c r="H4">
        <v>22</v>
      </c>
      <c r="I4">
        <v>487307</v>
      </c>
      <c r="J4">
        <v>833012</v>
      </c>
      <c r="K4">
        <v>7733378</v>
      </c>
      <c r="L4">
        <v>7981566</v>
      </c>
      <c r="O4" s="19" t="s">
        <v>151</v>
      </c>
      <c r="P4" s="19">
        <v>75</v>
      </c>
      <c r="R4" s="19">
        <v>1</v>
      </c>
      <c r="T4" s="19">
        <v>100</v>
      </c>
    </row>
    <row r="5" spans="2:22" x14ac:dyDescent="0.3">
      <c r="B5" t="s">
        <v>8</v>
      </c>
      <c r="C5" t="b">
        <f>B5=Formulário!$I$39</f>
        <v>0</v>
      </c>
      <c r="D5">
        <f>IF(Formulário!$I$39=Dados!B5,2,0)</f>
        <v>0</v>
      </c>
      <c r="H5">
        <v>23</v>
      </c>
      <c r="I5">
        <v>161564</v>
      </c>
      <c r="J5">
        <v>840139</v>
      </c>
      <c r="K5">
        <v>7460145</v>
      </c>
      <c r="L5">
        <v>8435094</v>
      </c>
      <c r="O5" s="19" t="s">
        <v>151</v>
      </c>
      <c r="P5" s="19">
        <v>112.5</v>
      </c>
      <c r="R5" s="19">
        <v>2</v>
      </c>
      <c r="T5" s="19">
        <v>200</v>
      </c>
      <c r="V5" t="s">
        <v>148</v>
      </c>
    </row>
    <row r="6" spans="2:22" x14ac:dyDescent="0.3">
      <c r="B6" t="s">
        <v>10</v>
      </c>
      <c r="C6" t="b">
        <f>B6=Formulário!$I$39</f>
        <v>0</v>
      </c>
      <c r="D6">
        <f>IF(Formulário!$I$39=Dados!B6,3,0)</f>
        <v>0</v>
      </c>
      <c r="H6">
        <v>24</v>
      </c>
      <c r="I6">
        <v>164869</v>
      </c>
      <c r="J6">
        <v>417150</v>
      </c>
      <c r="K6">
        <v>7673180</v>
      </c>
      <c r="L6">
        <v>8336360</v>
      </c>
      <c r="O6" s="19" t="s">
        <v>151</v>
      </c>
      <c r="P6" s="19">
        <v>150</v>
      </c>
      <c r="R6" s="19">
        <v>3</v>
      </c>
      <c r="T6" s="19">
        <v>300</v>
      </c>
      <c r="V6" t="s">
        <v>229</v>
      </c>
    </row>
    <row r="7" spans="2:22" x14ac:dyDescent="0.3">
      <c r="B7" t="s">
        <v>7</v>
      </c>
      <c r="C7" t="b">
        <f>B7=Formulário!$I$39</f>
        <v>0</v>
      </c>
      <c r="D7">
        <f>IF(Formulário!$I$39=Dados!B7,4,0)</f>
        <v>0</v>
      </c>
      <c r="O7" s="19" t="s">
        <v>151</v>
      </c>
      <c r="P7" s="19">
        <v>225</v>
      </c>
      <c r="R7" s="19">
        <v>4</v>
      </c>
      <c r="T7" s="19">
        <v>500</v>
      </c>
    </row>
    <row r="8" spans="2:22" x14ac:dyDescent="0.3">
      <c r="O8" s="19" t="s">
        <v>151</v>
      </c>
      <c r="P8" s="19">
        <v>300</v>
      </c>
      <c r="T8" s="19">
        <v>700</v>
      </c>
    </row>
    <row r="9" spans="2:22" x14ac:dyDescent="0.3">
      <c r="H9" t="s">
        <v>147</v>
      </c>
      <c r="I9" t="s">
        <v>143</v>
      </c>
      <c r="J9" t="s">
        <v>144</v>
      </c>
      <c r="K9" t="s">
        <v>145</v>
      </c>
      <c r="L9" t="s">
        <v>146</v>
      </c>
      <c r="O9" s="19" t="s">
        <v>152</v>
      </c>
      <c r="P9" s="19">
        <v>75</v>
      </c>
    </row>
    <row r="10" spans="2:22" x14ac:dyDescent="0.3">
      <c r="H10">
        <f>Formulário!V27</f>
        <v>0</v>
      </c>
      <c r="I10" t="e">
        <f>VLOOKUP($H$10,$H$4:$L$6,COLUMN()-7,FALSE)</f>
        <v>#N/A</v>
      </c>
      <c r="J10" t="e">
        <f t="shared" ref="J10:L10" si="0">VLOOKUP($H$10,$H$4:$L$6,COLUMN()-7,FALSE)</f>
        <v>#N/A</v>
      </c>
      <c r="K10" t="e">
        <f t="shared" si="0"/>
        <v>#N/A</v>
      </c>
      <c r="L10" t="e">
        <f t="shared" si="0"/>
        <v>#N/A</v>
      </c>
      <c r="O10" s="19" t="s">
        <v>152</v>
      </c>
      <c r="P10" s="19">
        <v>112.5</v>
      </c>
    </row>
    <row r="11" spans="2:22" x14ac:dyDescent="0.3">
      <c r="O11" s="19" t="s">
        <v>152</v>
      </c>
      <c r="P11" s="19">
        <v>150</v>
      </c>
    </row>
    <row r="12" spans="2:22" x14ac:dyDescent="0.3">
      <c r="B12" t="s">
        <v>86</v>
      </c>
      <c r="D12" t="s">
        <v>96</v>
      </c>
      <c r="O12" s="19" t="s">
        <v>152</v>
      </c>
      <c r="P12" s="19">
        <v>225</v>
      </c>
    </row>
    <row r="13" spans="2:22" x14ac:dyDescent="0.3">
      <c r="B13" s="27" t="s">
        <v>82</v>
      </c>
      <c r="D13">
        <f>IF(Formulário!$I$41=Dados!B13,1,0)</f>
        <v>0</v>
      </c>
      <c r="O13" s="19" t="s">
        <v>152</v>
      </c>
      <c r="P13" s="19">
        <v>300</v>
      </c>
    </row>
    <row r="14" spans="2:22" x14ac:dyDescent="0.3">
      <c r="B14" s="27" t="s">
        <v>83</v>
      </c>
      <c r="D14">
        <f>IF(Formulário!$I$41=Dados!B14,2,0)</f>
        <v>0</v>
      </c>
      <c r="O14" s="19" t="s">
        <v>153</v>
      </c>
      <c r="P14" s="19">
        <v>75</v>
      </c>
    </row>
    <row r="15" spans="2:22" x14ac:dyDescent="0.3">
      <c r="B15" s="27" t="s">
        <v>84</v>
      </c>
      <c r="D15">
        <f>IF(Formulário!$I$41=Dados!B15,3,0)</f>
        <v>0</v>
      </c>
      <c r="O15" s="19" t="s">
        <v>153</v>
      </c>
      <c r="P15" s="19">
        <v>112.5</v>
      </c>
    </row>
    <row r="16" spans="2:22" x14ac:dyDescent="0.3">
      <c r="B16" s="27" t="s">
        <v>85</v>
      </c>
      <c r="D16">
        <f>IF(Formulário!$I$41=Dados!B16,4,0)</f>
        <v>0</v>
      </c>
      <c r="O16" s="19" t="s">
        <v>153</v>
      </c>
      <c r="P16" s="19">
        <v>150</v>
      </c>
    </row>
    <row r="17" spans="2:16" x14ac:dyDescent="0.3">
      <c r="O17" s="19" t="s">
        <v>153</v>
      </c>
      <c r="P17" s="19">
        <v>225</v>
      </c>
    </row>
    <row r="18" spans="2:16" x14ac:dyDescent="0.3">
      <c r="C18" s="19">
        <f>Grupo</f>
        <v>0</v>
      </c>
      <c r="I18" t="str" cm="1">
        <f t="array" ref="I18">IF(OR(TipoSE="Nº 1",TipoSE="Nº 5",TipoSE="Nº 8"),Dados!$P$4:$P$8,"---")</f>
        <v>---</v>
      </c>
      <c r="O18" s="19" t="s">
        <v>153</v>
      </c>
      <c r="P18" s="19">
        <v>300</v>
      </c>
    </row>
    <row r="19" spans="2:16" x14ac:dyDescent="0.3">
      <c r="B19" s="19" t="s">
        <v>88</v>
      </c>
      <c r="C19" s="19" t="s">
        <v>92</v>
      </c>
      <c r="E19" t="s">
        <v>351</v>
      </c>
    </row>
    <row r="20" spans="2:16" x14ac:dyDescent="0.3">
      <c r="B20" s="19">
        <v>13800</v>
      </c>
      <c r="C20" s="19" t="str">
        <f>IF(Grupo="A",B20,IF(Grupo="B",B26,""))</f>
        <v/>
      </c>
      <c r="E20" s="19">
        <v>22000</v>
      </c>
    </row>
    <row r="21" spans="2:16" x14ac:dyDescent="0.3">
      <c r="B21" s="19">
        <v>22000</v>
      </c>
      <c r="C21" s="19" t="str">
        <f>IF(Grupo="A",B21,IF(Grupo="B",B27,""))</f>
        <v/>
      </c>
      <c r="E21" s="19">
        <v>34500</v>
      </c>
    </row>
    <row r="22" spans="2:16" x14ac:dyDescent="0.3">
      <c r="B22" s="19">
        <v>34500</v>
      </c>
      <c r="C22" s="19" t="str">
        <f>IF(Grupo="A",B22,IF(Grupo="B","",""))</f>
        <v/>
      </c>
    </row>
    <row r="23" spans="2:16" x14ac:dyDescent="0.3">
      <c r="C23" s="19"/>
    </row>
    <row r="24" spans="2:16" x14ac:dyDescent="0.3">
      <c r="C24" s="19"/>
    </row>
    <row r="25" spans="2:16" x14ac:dyDescent="0.3">
      <c r="B25" s="19" t="s">
        <v>89</v>
      </c>
      <c r="C25" s="19"/>
    </row>
    <row r="26" spans="2:16" x14ac:dyDescent="0.3">
      <c r="B26" s="19" t="s">
        <v>90</v>
      </c>
      <c r="C26" s="19"/>
    </row>
    <row r="27" spans="2:16" x14ac:dyDescent="0.3">
      <c r="B27" s="19" t="s">
        <v>91</v>
      </c>
    </row>
    <row r="28" spans="2:16" x14ac:dyDescent="0.3">
      <c r="B28" s="19"/>
      <c r="C28" t="str">
        <f>IF(OR(Formulário!$AH$45&gt;=300,Formulário!$AH$47&gt;=300),"1Tipo","2Tipos")</f>
        <v>2Tipos</v>
      </c>
    </row>
    <row r="29" spans="2:16" x14ac:dyDescent="0.3">
      <c r="B29" s="19" t="s">
        <v>72</v>
      </c>
      <c r="C29" t="s">
        <v>94</v>
      </c>
    </row>
    <row r="30" spans="2:16" x14ac:dyDescent="0.3">
      <c r="B30" s="19" t="s">
        <v>75</v>
      </c>
      <c r="C30" t="str">
        <f>IF($C$28="2Tipos",B30,B31)</f>
        <v>Aéreo</v>
      </c>
    </row>
    <row r="31" spans="2:16" x14ac:dyDescent="0.3">
      <c r="B31" s="19" t="s">
        <v>93</v>
      </c>
      <c r="C31" t="str">
        <f>IF($C$28="2Tipos",B31,B32)</f>
        <v>Subterrâneo</v>
      </c>
    </row>
    <row r="34" spans="2:2" x14ac:dyDescent="0.3">
      <c r="B34" s="19" t="s">
        <v>235</v>
      </c>
    </row>
    <row r="35" spans="2:2" x14ac:dyDescent="0.3">
      <c r="B35" s="19" t="s">
        <v>81</v>
      </c>
    </row>
    <row r="36" spans="2:2" x14ac:dyDescent="0.3">
      <c r="B36" s="19" t="s">
        <v>73</v>
      </c>
    </row>
    <row r="37" spans="2:2" x14ac:dyDescent="0.3">
      <c r="B37" s="19" t="s">
        <v>74</v>
      </c>
    </row>
    <row r="38" spans="2:2" x14ac:dyDescent="0.3">
      <c r="B38" s="19" t="s">
        <v>236</v>
      </c>
    </row>
    <row r="40" spans="2:2" x14ac:dyDescent="0.3">
      <c r="B40" s="19"/>
    </row>
    <row r="41" spans="2:2" x14ac:dyDescent="0.3">
      <c r="B41" s="19" t="s">
        <v>235</v>
      </c>
    </row>
    <row r="42" spans="2:2" x14ac:dyDescent="0.3">
      <c r="B42" s="19" t="s">
        <v>81</v>
      </c>
    </row>
    <row r="43" spans="2:2" x14ac:dyDescent="0.3">
      <c r="B43" s="19" t="s">
        <v>73</v>
      </c>
    </row>
    <row r="44" spans="2:2" x14ac:dyDescent="0.3">
      <c r="B44" s="19" t="s">
        <v>74</v>
      </c>
    </row>
    <row r="45" spans="2:2" x14ac:dyDescent="0.3">
      <c r="B45" s="19" t="s">
        <v>245</v>
      </c>
    </row>
    <row r="47" spans="2:2" x14ac:dyDescent="0.3">
      <c r="B47" s="19" t="s">
        <v>290</v>
      </c>
    </row>
    <row r="48" spans="2:2" x14ac:dyDescent="0.3">
      <c r="B48" t="s">
        <v>291</v>
      </c>
    </row>
    <row r="49" spans="2:2" x14ac:dyDescent="0.3">
      <c r="B49" t="s">
        <v>292</v>
      </c>
    </row>
    <row r="50" spans="2:2" x14ac:dyDescent="0.3">
      <c r="B50" s="53" t="s">
        <v>293</v>
      </c>
    </row>
    <row r="51" spans="2:2" x14ac:dyDescent="0.3">
      <c r="B51" t="s">
        <v>294</v>
      </c>
    </row>
    <row r="53" spans="2:2" x14ac:dyDescent="0.3">
      <c r="B53" s="81" t="s">
        <v>296</v>
      </c>
    </row>
    <row r="54" spans="2:2" x14ac:dyDescent="0.3">
      <c r="B54" t="s">
        <v>297</v>
      </c>
    </row>
    <row r="55" spans="2:2" x14ac:dyDescent="0.3">
      <c r="B55" t="s">
        <v>298</v>
      </c>
    </row>
    <row r="56" spans="2:2" x14ac:dyDescent="0.3">
      <c r="B56" t="s">
        <v>299</v>
      </c>
    </row>
    <row r="57" spans="2:2" x14ac:dyDescent="0.3">
      <c r="B57" t="s">
        <v>300</v>
      </c>
    </row>
  </sheetData>
  <sortState xmlns:xlrd2="http://schemas.microsoft.com/office/spreadsheetml/2017/richdata2" ref="B4:B7">
    <sortCondition ref="B4:B7"/>
  </sortState>
  <phoneticPr fontId="16" type="noConversion"/>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3"/>
  <dimension ref="A1:L148"/>
  <sheetViews>
    <sheetView workbookViewId="0">
      <selection sqref="A1:A1048576"/>
    </sheetView>
  </sheetViews>
  <sheetFormatPr defaultRowHeight="14.4" x14ac:dyDescent="0.3"/>
  <cols>
    <col min="1" max="1" width="35.88671875" customWidth="1"/>
    <col min="2" max="2" width="13.109375" bestFit="1" customWidth="1"/>
    <col min="3" max="3" width="33.33203125" bestFit="1" customWidth="1"/>
    <col min="4" max="4" width="15.5546875" bestFit="1" customWidth="1"/>
    <col min="5" max="5" width="17" bestFit="1" customWidth="1"/>
    <col min="6" max="6" width="17.44140625" bestFit="1" customWidth="1"/>
    <col min="8" max="8" width="3" bestFit="1" customWidth="1"/>
    <col min="9" max="9" width="11.5546875" bestFit="1" customWidth="1"/>
  </cols>
  <sheetData>
    <row r="1" spans="1:12" x14ac:dyDescent="0.3">
      <c r="A1" s="10" t="s">
        <v>34</v>
      </c>
      <c r="B1" t="s">
        <v>35</v>
      </c>
      <c r="C1" t="s">
        <v>36</v>
      </c>
      <c r="D1" t="s">
        <v>37</v>
      </c>
      <c r="E1" t="s">
        <v>38</v>
      </c>
      <c r="F1" t="s">
        <v>39</v>
      </c>
    </row>
    <row r="2" spans="1:12" x14ac:dyDescent="0.3">
      <c r="A2" t="s">
        <v>7</v>
      </c>
      <c r="B2">
        <v>22</v>
      </c>
      <c r="C2">
        <v>487307</v>
      </c>
      <c r="D2">
        <v>833012</v>
      </c>
      <c r="E2">
        <v>7733378</v>
      </c>
      <c r="F2">
        <v>7981566</v>
      </c>
      <c r="H2">
        <f>Formulário!V27</f>
        <v>0</v>
      </c>
      <c r="I2">
        <f>Formulário!AC27</f>
        <v>0</v>
      </c>
      <c r="K2">
        <f>Formulário!AL27</f>
        <v>0</v>
      </c>
    </row>
    <row r="3" spans="1:12" x14ac:dyDescent="0.3">
      <c r="A3" t="s">
        <v>8</v>
      </c>
      <c r="B3">
        <v>23</v>
      </c>
      <c r="C3">
        <v>161564</v>
      </c>
      <c r="D3">
        <v>840139</v>
      </c>
      <c r="E3">
        <v>7460145</v>
      </c>
      <c r="F3">
        <v>8435094</v>
      </c>
      <c r="H3">
        <f>H2</f>
        <v>0</v>
      </c>
      <c r="I3" t="str">
        <f>IFERROR(VLOOKUP($H$2,$B$2:$F$4,2,FALSE),"")</f>
        <v/>
      </c>
      <c r="J3" t="str">
        <f>IFERROR(VLOOKUP($H$2,$B$2:$F$4,3,FALSE),"")</f>
        <v/>
      </c>
      <c r="K3" t="str">
        <f>IFERROR(VLOOKUP($H$2,$B$2:$F$4,4,FALSE),"")</f>
        <v/>
      </c>
      <c r="L3" t="str">
        <f>IFERROR(VLOOKUP($H$2,$B$2:$F$4,5,FALSE),"")</f>
        <v/>
      </c>
    </row>
    <row r="4" spans="1:12" x14ac:dyDescent="0.3">
      <c r="A4" t="s">
        <v>9</v>
      </c>
      <c r="B4">
        <v>24</v>
      </c>
      <c r="C4">
        <v>164869</v>
      </c>
      <c r="D4">
        <v>417150</v>
      </c>
      <c r="E4">
        <v>7673180</v>
      </c>
      <c r="F4">
        <v>8336360</v>
      </c>
      <c r="I4" t="str">
        <f>IFERROR(IF(AND(I2&gt;=I3,I2&lt;=J3),"Ok","Erro"),"")</f>
        <v>Erro</v>
      </c>
      <c r="K4" t="str">
        <f>IF(AND(K2&gt;=K3,K2&lt;=L3),"Ok","Erro")</f>
        <v>Erro</v>
      </c>
    </row>
    <row r="5" spans="1:12" x14ac:dyDescent="0.3">
      <c r="A5" t="s">
        <v>10</v>
      </c>
    </row>
    <row r="9" spans="1:12" ht="18" x14ac:dyDescent="0.35">
      <c r="A9" s="26" t="s">
        <v>250</v>
      </c>
    </row>
    <row r="10" spans="1:12" ht="15.6" x14ac:dyDescent="0.3">
      <c r="A10" s="236" t="s">
        <v>77</v>
      </c>
      <c r="B10" s="236"/>
      <c r="C10" s="237" t="s">
        <v>78</v>
      </c>
    </row>
    <row r="11" spans="1:12" ht="15.6" x14ac:dyDescent="0.3">
      <c r="A11" s="23" t="s">
        <v>79</v>
      </c>
      <c r="B11" s="23" t="s">
        <v>80</v>
      </c>
      <c r="C11" s="237"/>
    </row>
    <row r="12" spans="1:12" ht="15.6" x14ac:dyDescent="0.3">
      <c r="A12" s="24" t="s">
        <v>81</v>
      </c>
      <c r="B12" s="24">
        <v>40</v>
      </c>
      <c r="C12" s="30">
        <v>5</v>
      </c>
      <c r="D12" t="s">
        <v>98</v>
      </c>
      <c r="E12" s="30">
        <v>5</v>
      </c>
    </row>
    <row r="13" spans="1:12" ht="15.6" x14ac:dyDescent="0.3">
      <c r="A13" s="24" t="s">
        <v>81</v>
      </c>
      <c r="B13" s="24">
        <v>50</v>
      </c>
      <c r="C13" s="24">
        <v>6.5</v>
      </c>
      <c r="D13" t="s">
        <v>99</v>
      </c>
      <c r="E13" s="24">
        <v>6.5</v>
      </c>
    </row>
    <row r="14" spans="1:12" ht="15.6" x14ac:dyDescent="0.3">
      <c r="A14" s="24" t="s">
        <v>81</v>
      </c>
      <c r="B14" s="24">
        <v>63</v>
      </c>
      <c r="C14" s="24">
        <v>8</v>
      </c>
      <c r="D14" t="s">
        <v>100</v>
      </c>
      <c r="E14" s="24">
        <v>8</v>
      </c>
    </row>
    <row r="15" spans="1:12" ht="15.6" x14ac:dyDescent="0.3">
      <c r="A15" s="24" t="s">
        <v>81</v>
      </c>
      <c r="B15" s="24">
        <v>70</v>
      </c>
      <c r="C15" s="24">
        <v>10</v>
      </c>
      <c r="D15" t="s">
        <v>101</v>
      </c>
      <c r="E15" s="24">
        <v>10</v>
      </c>
    </row>
    <row r="16" spans="1:12" ht="15.6" x14ac:dyDescent="0.3">
      <c r="A16" s="24" t="s">
        <v>73</v>
      </c>
      <c r="B16" s="24">
        <v>40</v>
      </c>
      <c r="C16" s="24">
        <v>10</v>
      </c>
      <c r="D16" t="s">
        <v>102</v>
      </c>
      <c r="E16" s="24">
        <v>10</v>
      </c>
    </row>
    <row r="17" spans="1:5" ht="15.6" x14ac:dyDescent="0.3">
      <c r="A17" s="24" t="s">
        <v>73</v>
      </c>
      <c r="B17" s="24">
        <v>50</v>
      </c>
      <c r="C17" s="24">
        <v>12</v>
      </c>
      <c r="D17" t="s">
        <v>103</v>
      </c>
      <c r="E17" s="24">
        <v>12</v>
      </c>
    </row>
    <row r="18" spans="1:5" ht="15.6" x14ac:dyDescent="0.3">
      <c r="A18" s="24" t="s">
        <v>73</v>
      </c>
      <c r="B18" s="24">
        <v>60</v>
      </c>
      <c r="C18" s="24">
        <v>15</v>
      </c>
      <c r="D18" t="s">
        <v>104</v>
      </c>
      <c r="E18" s="24">
        <v>15</v>
      </c>
    </row>
    <row r="19" spans="1:5" ht="15.6" x14ac:dyDescent="0.3">
      <c r="A19" s="24" t="s">
        <v>73</v>
      </c>
      <c r="B19" s="24">
        <v>63</v>
      </c>
      <c r="C19" s="24">
        <v>15.1</v>
      </c>
      <c r="D19" t="s">
        <v>105</v>
      </c>
      <c r="E19" s="24">
        <v>15.1</v>
      </c>
    </row>
    <row r="20" spans="1:5" ht="15.6" x14ac:dyDescent="0.3">
      <c r="A20" s="24" t="s">
        <v>73</v>
      </c>
      <c r="B20" s="24">
        <v>70</v>
      </c>
      <c r="C20" s="24">
        <v>16.8</v>
      </c>
      <c r="D20" t="s">
        <v>106</v>
      </c>
      <c r="E20" s="24">
        <v>16.8</v>
      </c>
    </row>
    <row r="21" spans="1:5" ht="15.6" x14ac:dyDescent="0.3">
      <c r="A21" s="24" t="s">
        <v>73</v>
      </c>
      <c r="B21" s="24">
        <v>80</v>
      </c>
      <c r="C21" s="24">
        <v>20</v>
      </c>
      <c r="D21" t="s">
        <v>107</v>
      </c>
      <c r="E21" s="24">
        <v>20</v>
      </c>
    </row>
    <row r="22" spans="1:5" ht="15.6" x14ac:dyDescent="0.3">
      <c r="A22" s="24" t="s">
        <v>73</v>
      </c>
      <c r="B22" s="25">
        <v>90</v>
      </c>
      <c r="C22" s="24">
        <v>20</v>
      </c>
      <c r="D22" t="s">
        <v>108</v>
      </c>
      <c r="E22" s="24">
        <v>20</v>
      </c>
    </row>
    <row r="23" spans="1:5" ht="15.6" x14ac:dyDescent="0.3">
      <c r="A23" s="24" t="s">
        <v>73</v>
      </c>
      <c r="B23" s="25">
        <v>100</v>
      </c>
      <c r="C23" s="24">
        <v>24</v>
      </c>
      <c r="D23" t="s">
        <v>109</v>
      </c>
      <c r="E23" s="24">
        <v>24</v>
      </c>
    </row>
    <row r="24" spans="1:5" ht="15.6" x14ac:dyDescent="0.3">
      <c r="A24" s="24" t="s">
        <v>73</v>
      </c>
      <c r="B24" s="25">
        <v>120</v>
      </c>
      <c r="C24" s="24">
        <v>30</v>
      </c>
      <c r="D24" t="s">
        <v>110</v>
      </c>
      <c r="E24" s="24">
        <v>30</v>
      </c>
    </row>
    <row r="25" spans="1:5" ht="15.6" x14ac:dyDescent="0.3">
      <c r="A25" s="24" t="s">
        <v>73</v>
      </c>
      <c r="B25" s="25">
        <v>125</v>
      </c>
      <c r="C25" s="24">
        <v>30</v>
      </c>
      <c r="D25" t="s">
        <v>111</v>
      </c>
      <c r="E25" s="24">
        <v>30</v>
      </c>
    </row>
    <row r="26" spans="1:5" ht="15.6" x14ac:dyDescent="0.3">
      <c r="A26" s="24" t="s">
        <v>73</v>
      </c>
      <c r="B26" s="25">
        <v>150</v>
      </c>
      <c r="C26" s="24">
        <v>36</v>
      </c>
      <c r="D26" t="s">
        <v>112</v>
      </c>
      <c r="E26" s="24">
        <v>36</v>
      </c>
    </row>
    <row r="27" spans="1:5" ht="15.6" x14ac:dyDescent="0.3">
      <c r="A27" s="24" t="s">
        <v>73</v>
      </c>
      <c r="B27" s="24">
        <v>200</v>
      </c>
      <c r="C27" s="24">
        <v>50</v>
      </c>
      <c r="D27" t="s">
        <v>113</v>
      </c>
      <c r="E27" s="24">
        <v>50</v>
      </c>
    </row>
    <row r="28" spans="1:5" ht="15.6" x14ac:dyDescent="0.3">
      <c r="A28" s="24" t="s">
        <v>74</v>
      </c>
      <c r="B28" s="24">
        <v>40</v>
      </c>
      <c r="C28" s="24">
        <v>15</v>
      </c>
      <c r="D28" t="s">
        <v>114</v>
      </c>
      <c r="E28" s="24">
        <v>15</v>
      </c>
    </row>
    <row r="29" spans="1:5" ht="15.6" x14ac:dyDescent="0.3">
      <c r="A29" s="24" t="s">
        <v>74</v>
      </c>
      <c r="B29" s="24">
        <v>60</v>
      </c>
      <c r="C29" s="24">
        <v>23</v>
      </c>
      <c r="D29" t="s">
        <v>115</v>
      </c>
      <c r="E29" s="24">
        <v>23</v>
      </c>
    </row>
    <row r="30" spans="1:5" ht="15.6" x14ac:dyDescent="0.3">
      <c r="A30" s="24" t="s">
        <v>74</v>
      </c>
      <c r="B30" s="24">
        <v>63</v>
      </c>
      <c r="C30" s="24">
        <v>24</v>
      </c>
      <c r="D30" t="s">
        <v>116</v>
      </c>
      <c r="E30" s="24">
        <v>24</v>
      </c>
    </row>
    <row r="31" spans="1:5" ht="15.6" x14ac:dyDescent="0.3">
      <c r="A31" s="24" t="s">
        <v>74</v>
      </c>
      <c r="B31" s="24">
        <v>70</v>
      </c>
      <c r="C31" s="24">
        <v>27</v>
      </c>
      <c r="D31" t="s">
        <v>117</v>
      </c>
      <c r="E31" s="24">
        <v>27</v>
      </c>
    </row>
    <row r="32" spans="1:5" ht="15.6" x14ac:dyDescent="0.3">
      <c r="A32" s="24" t="s">
        <v>74</v>
      </c>
      <c r="B32" s="24">
        <v>80</v>
      </c>
      <c r="C32" s="24">
        <v>30.5</v>
      </c>
      <c r="D32" t="s">
        <v>118</v>
      </c>
      <c r="E32" s="24">
        <v>30.5</v>
      </c>
    </row>
    <row r="33" spans="1:5" ht="15.6" x14ac:dyDescent="0.3">
      <c r="A33" s="24" t="s">
        <v>74</v>
      </c>
      <c r="B33" s="24">
        <v>100</v>
      </c>
      <c r="C33" s="24">
        <v>38.1</v>
      </c>
      <c r="D33" t="s">
        <v>119</v>
      </c>
      <c r="E33" s="24">
        <v>38.1</v>
      </c>
    </row>
    <row r="34" spans="1:5" ht="15.6" x14ac:dyDescent="0.3">
      <c r="A34" s="24" t="s">
        <v>74</v>
      </c>
      <c r="B34" s="24">
        <v>120</v>
      </c>
      <c r="C34" s="24">
        <v>47</v>
      </c>
      <c r="D34" t="s">
        <v>120</v>
      </c>
      <c r="E34" s="24">
        <v>47</v>
      </c>
    </row>
    <row r="35" spans="1:5" ht="15.6" x14ac:dyDescent="0.3">
      <c r="A35" s="24" t="s">
        <v>74</v>
      </c>
      <c r="B35" s="24">
        <v>125</v>
      </c>
      <c r="C35" s="24">
        <v>47.6</v>
      </c>
      <c r="D35" t="s">
        <v>121</v>
      </c>
      <c r="E35" s="24">
        <v>47.6</v>
      </c>
    </row>
    <row r="36" spans="1:5" ht="15.6" x14ac:dyDescent="0.3">
      <c r="A36" s="24" t="s">
        <v>74</v>
      </c>
      <c r="B36" s="24">
        <v>150</v>
      </c>
      <c r="C36" s="24">
        <v>57.1</v>
      </c>
      <c r="D36" t="s">
        <v>122</v>
      </c>
      <c r="E36" s="24">
        <v>57.1</v>
      </c>
    </row>
    <row r="37" spans="1:5" ht="15.6" x14ac:dyDescent="0.3">
      <c r="A37" s="24" t="s">
        <v>74</v>
      </c>
      <c r="B37" s="24">
        <v>175</v>
      </c>
      <c r="C37" s="24">
        <v>66</v>
      </c>
      <c r="D37" t="s">
        <v>123</v>
      </c>
      <c r="E37" s="24">
        <v>66</v>
      </c>
    </row>
    <row r="38" spans="1:5" ht="15.6" x14ac:dyDescent="0.3">
      <c r="A38" s="24" t="s">
        <v>74</v>
      </c>
      <c r="B38" s="24">
        <v>200</v>
      </c>
      <c r="C38" s="24">
        <v>75</v>
      </c>
      <c r="D38" t="s">
        <v>124</v>
      </c>
      <c r="E38" s="24">
        <v>75</v>
      </c>
    </row>
    <row r="39" spans="1:5" ht="15.6" x14ac:dyDescent="0.3">
      <c r="A39" s="24" t="s">
        <v>74</v>
      </c>
      <c r="B39" s="24">
        <v>225</v>
      </c>
      <c r="C39" s="24">
        <v>86</v>
      </c>
      <c r="D39" t="s">
        <v>125</v>
      </c>
      <c r="E39" s="24">
        <v>86</v>
      </c>
    </row>
    <row r="40" spans="1:5" ht="15.6" x14ac:dyDescent="0.3">
      <c r="A40" s="24" t="s">
        <v>74</v>
      </c>
      <c r="B40" s="24">
        <v>250</v>
      </c>
      <c r="C40" s="24">
        <v>95</v>
      </c>
      <c r="D40" t="s">
        <v>126</v>
      </c>
      <c r="E40" s="24">
        <v>95</v>
      </c>
    </row>
    <row r="41" spans="1:5" ht="15.6" x14ac:dyDescent="0.3">
      <c r="A41" s="24" t="s">
        <v>74</v>
      </c>
      <c r="B41" s="24">
        <v>300</v>
      </c>
      <c r="C41" s="24">
        <v>114</v>
      </c>
      <c r="D41" t="s">
        <v>127</v>
      </c>
      <c r="E41" s="24">
        <v>114</v>
      </c>
    </row>
    <row r="42" spans="1:5" ht="15.6" x14ac:dyDescent="0.3">
      <c r="A42" s="24" t="s">
        <v>74</v>
      </c>
      <c r="B42" s="24">
        <v>315</v>
      </c>
      <c r="C42" s="24">
        <v>114</v>
      </c>
      <c r="D42" t="s">
        <v>128</v>
      </c>
      <c r="E42" s="24">
        <v>114</v>
      </c>
    </row>
    <row r="43" spans="1:5" ht="15.6" x14ac:dyDescent="0.3">
      <c r="A43" s="24" t="s">
        <v>74</v>
      </c>
      <c r="B43" s="24">
        <v>320</v>
      </c>
      <c r="C43" s="24">
        <v>114</v>
      </c>
      <c r="D43" t="s">
        <v>129</v>
      </c>
      <c r="E43" s="24">
        <v>114</v>
      </c>
    </row>
    <row r="44" spans="1:5" ht="15.6" x14ac:dyDescent="0.3">
      <c r="A44" s="24" t="s">
        <v>74</v>
      </c>
      <c r="B44" s="24">
        <v>400</v>
      </c>
      <c r="C44" s="24">
        <v>152</v>
      </c>
      <c r="D44" t="s">
        <v>130</v>
      </c>
      <c r="E44" s="24">
        <v>152</v>
      </c>
    </row>
    <row r="45" spans="1:5" ht="15.6" x14ac:dyDescent="0.3">
      <c r="A45" s="24" t="s">
        <v>74</v>
      </c>
      <c r="B45" s="24">
        <v>450</v>
      </c>
      <c r="C45" s="24">
        <v>171</v>
      </c>
      <c r="D45" t="s">
        <v>131</v>
      </c>
      <c r="E45" s="24">
        <v>171</v>
      </c>
    </row>
    <row r="46" spans="1:5" ht="15.6" x14ac:dyDescent="0.3">
      <c r="A46" s="24" t="s">
        <v>74</v>
      </c>
      <c r="B46" s="24">
        <v>500</v>
      </c>
      <c r="C46" s="24">
        <v>188</v>
      </c>
      <c r="D46" t="s">
        <v>132</v>
      </c>
      <c r="E46" s="24">
        <v>188</v>
      </c>
    </row>
    <row r="47" spans="1:5" ht="15.6" x14ac:dyDescent="0.3">
      <c r="A47" s="24" t="s">
        <v>74</v>
      </c>
      <c r="B47" s="24">
        <v>600</v>
      </c>
      <c r="C47" s="24">
        <v>228</v>
      </c>
      <c r="D47" t="s">
        <v>133</v>
      </c>
      <c r="E47" s="24">
        <v>228</v>
      </c>
    </row>
    <row r="48" spans="1:5" ht="15.6" x14ac:dyDescent="0.3">
      <c r="A48" s="24" t="s">
        <v>74</v>
      </c>
      <c r="B48" s="24">
        <v>630</v>
      </c>
      <c r="C48" s="24">
        <v>228</v>
      </c>
      <c r="D48" t="s">
        <v>134</v>
      </c>
      <c r="E48" s="24">
        <v>228</v>
      </c>
    </row>
    <row r="49" spans="1:5" ht="15.6" x14ac:dyDescent="0.3">
      <c r="A49" s="24" t="s">
        <v>74</v>
      </c>
      <c r="B49" s="24">
        <v>700</v>
      </c>
      <c r="C49" s="24">
        <v>266</v>
      </c>
      <c r="D49" t="s">
        <v>135</v>
      </c>
      <c r="E49" s="24">
        <v>266</v>
      </c>
    </row>
    <row r="50" spans="1:5" ht="15.6" x14ac:dyDescent="0.3">
      <c r="A50" s="24" t="s">
        <v>74</v>
      </c>
      <c r="B50" s="24">
        <v>800</v>
      </c>
      <c r="C50" s="24">
        <v>304</v>
      </c>
      <c r="D50" t="s">
        <v>136</v>
      </c>
      <c r="E50" s="24">
        <v>304</v>
      </c>
    </row>
    <row r="53" spans="1:5" ht="18" x14ac:dyDescent="0.35">
      <c r="A53" s="26" t="s">
        <v>251</v>
      </c>
    </row>
    <row r="54" spans="1:5" ht="15.6" x14ac:dyDescent="0.3">
      <c r="A54" s="236" t="s">
        <v>77</v>
      </c>
      <c r="B54" s="236"/>
      <c r="C54" s="237" t="s">
        <v>78</v>
      </c>
    </row>
    <row r="55" spans="1:5" ht="15.6" x14ac:dyDescent="0.3">
      <c r="A55" s="23" t="s">
        <v>79</v>
      </c>
      <c r="B55" s="23" t="s">
        <v>80</v>
      </c>
      <c r="C55" s="237"/>
    </row>
    <row r="56" spans="1:5" ht="15.6" x14ac:dyDescent="0.3">
      <c r="A56" s="24" t="s">
        <v>81</v>
      </c>
      <c r="B56" s="24">
        <v>40</v>
      </c>
      <c r="C56" s="30">
        <v>5</v>
      </c>
      <c r="D56" t="s">
        <v>98</v>
      </c>
      <c r="E56" s="30">
        <v>5</v>
      </c>
    </row>
    <row r="57" spans="1:5" ht="15.6" x14ac:dyDescent="0.3">
      <c r="A57" s="24" t="s">
        <v>81</v>
      </c>
      <c r="B57" s="24">
        <v>50</v>
      </c>
      <c r="C57" s="24">
        <v>6.5</v>
      </c>
      <c r="D57" t="s">
        <v>99</v>
      </c>
      <c r="E57" s="24">
        <v>6.5</v>
      </c>
    </row>
    <row r="58" spans="1:5" ht="15.6" x14ac:dyDescent="0.3">
      <c r="A58" s="24" t="s">
        <v>81</v>
      </c>
      <c r="B58" s="24">
        <v>63</v>
      </c>
      <c r="C58" s="24">
        <v>8</v>
      </c>
      <c r="D58" t="s">
        <v>100</v>
      </c>
      <c r="E58" s="24">
        <v>8</v>
      </c>
    </row>
    <row r="59" spans="1:5" ht="15.6" x14ac:dyDescent="0.3">
      <c r="A59" s="24" t="s">
        <v>73</v>
      </c>
      <c r="B59" s="24">
        <v>40</v>
      </c>
      <c r="C59" s="24">
        <v>10</v>
      </c>
      <c r="D59" t="s">
        <v>102</v>
      </c>
      <c r="E59" s="24">
        <v>10</v>
      </c>
    </row>
    <row r="60" spans="1:5" ht="15.6" x14ac:dyDescent="0.3">
      <c r="A60" s="24" t="s">
        <v>73</v>
      </c>
      <c r="B60" s="24">
        <v>63</v>
      </c>
      <c r="C60" s="24">
        <v>15.1</v>
      </c>
      <c r="D60" t="s">
        <v>105</v>
      </c>
      <c r="E60" s="24">
        <v>15.1</v>
      </c>
    </row>
    <row r="61" spans="1:5" ht="15.6" x14ac:dyDescent="0.3">
      <c r="A61" s="24" t="s">
        <v>73</v>
      </c>
      <c r="B61" s="24">
        <v>80</v>
      </c>
      <c r="C61" s="24">
        <v>20</v>
      </c>
      <c r="D61" t="s">
        <v>107</v>
      </c>
      <c r="E61" s="24">
        <v>20</v>
      </c>
    </row>
    <row r="62" spans="1:5" ht="15.6" x14ac:dyDescent="0.3">
      <c r="A62" s="24" t="s">
        <v>73</v>
      </c>
      <c r="B62" s="25">
        <v>100</v>
      </c>
      <c r="C62" s="24">
        <v>24</v>
      </c>
      <c r="D62" t="s">
        <v>109</v>
      </c>
      <c r="E62" s="24">
        <v>24</v>
      </c>
    </row>
    <row r="63" spans="1:5" ht="15.6" x14ac:dyDescent="0.3">
      <c r="A63" s="24" t="s">
        <v>73</v>
      </c>
      <c r="B63" s="25">
        <v>125</v>
      </c>
      <c r="C63" s="24">
        <v>30</v>
      </c>
      <c r="D63" t="s">
        <v>111</v>
      </c>
      <c r="E63" s="24">
        <v>30</v>
      </c>
    </row>
    <row r="64" spans="1:5" ht="15.6" x14ac:dyDescent="0.3">
      <c r="A64" s="24" t="s">
        <v>73</v>
      </c>
      <c r="B64" s="25">
        <v>150</v>
      </c>
      <c r="C64" s="24">
        <v>36</v>
      </c>
      <c r="D64" t="s">
        <v>112</v>
      </c>
      <c r="E64" s="24">
        <v>36</v>
      </c>
    </row>
    <row r="65" spans="1:5" ht="15.6" x14ac:dyDescent="0.3">
      <c r="A65" s="24" t="s">
        <v>73</v>
      </c>
      <c r="B65" s="24">
        <v>200</v>
      </c>
      <c r="C65" s="24">
        <v>50</v>
      </c>
      <c r="D65" t="s">
        <v>113</v>
      </c>
      <c r="E65" s="24">
        <v>50</v>
      </c>
    </row>
    <row r="66" spans="1:5" ht="15.6" x14ac:dyDescent="0.3">
      <c r="A66" s="24" t="s">
        <v>74</v>
      </c>
      <c r="B66" s="24">
        <v>40</v>
      </c>
      <c r="C66" s="24">
        <v>15</v>
      </c>
      <c r="D66" t="s">
        <v>114</v>
      </c>
      <c r="E66" s="24">
        <v>15</v>
      </c>
    </row>
    <row r="67" spans="1:5" ht="15.6" x14ac:dyDescent="0.3">
      <c r="A67" s="24" t="s">
        <v>74</v>
      </c>
      <c r="B67" s="24">
        <v>63</v>
      </c>
      <c r="C67" s="24">
        <v>24</v>
      </c>
      <c r="D67" t="s">
        <v>116</v>
      </c>
      <c r="E67" s="24">
        <v>24</v>
      </c>
    </row>
    <row r="68" spans="1:5" ht="15.6" x14ac:dyDescent="0.3">
      <c r="A68" s="24" t="s">
        <v>74</v>
      </c>
      <c r="B68" s="24">
        <v>80</v>
      </c>
      <c r="C68" s="24">
        <v>30.5</v>
      </c>
      <c r="D68" t="s">
        <v>118</v>
      </c>
      <c r="E68" s="24">
        <v>30.5</v>
      </c>
    </row>
    <row r="69" spans="1:5" ht="15.6" x14ac:dyDescent="0.3">
      <c r="A69" s="24" t="s">
        <v>74</v>
      </c>
      <c r="B69" s="24">
        <v>100</v>
      </c>
      <c r="C69" s="24">
        <v>38.1</v>
      </c>
      <c r="D69" t="s">
        <v>119</v>
      </c>
      <c r="E69" s="24">
        <v>38.1</v>
      </c>
    </row>
    <row r="70" spans="1:5" ht="15.6" x14ac:dyDescent="0.3">
      <c r="A70" s="24" t="s">
        <v>74</v>
      </c>
      <c r="B70" s="24">
        <v>125</v>
      </c>
      <c r="C70" s="24">
        <v>47.6</v>
      </c>
      <c r="D70" t="s">
        <v>121</v>
      </c>
      <c r="E70" s="24">
        <v>47.6</v>
      </c>
    </row>
    <row r="71" spans="1:5" ht="15.6" x14ac:dyDescent="0.3">
      <c r="A71" s="24" t="s">
        <v>74</v>
      </c>
      <c r="B71" s="24">
        <v>150</v>
      </c>
      <c r="C71" s="24">
        <v>57.1</v>
      </c>
      <c r="D71" t="s">
        <v>122</v>
      </c>
      <c r="E71" s="24">
        <v>57.1</v>
      </c>
    </row>
    <row r="72" spans="1:5" ht="15.6" x14ac:dyDescent="0.3">
      <c r="A72" s="24" t="s">
        <v>74</v>
      </c>
      <c r="B72" s="24">
        <v>175</v>
      </c>
      <c r="C72" s="24">
        <v>66</v>
      </c>
      <c r="D72" t="s">
        <v>123</v>
      </c>
      <c r="E72" s="24">
        <v>66</v>
      </c>
    </row>
    <row r="73" spans="1:5" ht="15.6" x14ac:dyDescent="0.3">
      <c r="A73" s="24" t="s">
        <v>74</v>
      </c>
      <c r="B73" s="24">
        <v>200</v>
      </c>
      <c r="C73" s="24">
        <v>75</v>
      </c>
      <c r="D73" t="s">
        <v>124</v>
      </c>
      <c r="E73" s="24">
        <v>75</v>
      </c>
    </row>
    <row r="74" spans="1:5" ht="15.6" x14ac:dyDescent="0.3">
      <c r="A74" s="24" t="s">
        <v>74</v>
      </c>
      <c r="B74" s="24">
        <v>225</v>
      </c>
      <c r="C74" s="24">
        <v>86</v>
      </c>
      <c r="D74" t="s">
        <v>125</v>
      </c>
      <c r="E74" s="24">
        <v>86</v>
      </c>
    </row>
    <row r="75" spans="1:5" ht="15.6" x14ac:dyDescent="0.3">
      <c r="A75" s="24" t="s">
        <v>74</v>
      </c>
      <c r="B75" s="24">
        <v>250</v>
      </c>
      <c r="C75" s="24">
        <v>95</v>
      </c>
      <c r="D75" t="s">
        <v>126</v>
      </c>
      <c r="E75" s="24">
        <v>95</v>
      </c>
    </row>
    <row r="76" spans="1:5" ht="15.6" x14ac:dyDescent="0.3">
      <c r="A76" s="24" t="s">
        <v>74</v>
      </c>
      <c r="B76" s="24">
        <v>300</v>
      </c>
      <c r="C76" s="24">
        <v>114</v>
      </c>
      <c r="D76" t="s">
        <v>127</v>
      </c>
      <c r="E76" s="24">
        <v>114</v>
      </c>
    </row>
    <row r="77" spans="1:5" ht="15.6" x14ac:dyDescent="0.3">
      <c r="A77" s="24" t="s">
        <v>74</v>
      </c>
      <c r="B77" s="24">
        <v>315</v>
      </c>
      <c r="C77" s="24">
        <v>114</v>
      </c>
      <c r="D77" t="s">
        <v>128</v>
      </c>
      <c r="E77" s="24">
        <v>114</v>
      </c>
    </row>
    <row r="78" spans="1:5" ht="15.6" x14ac:dyDescent="0.3">
      <c r="A78" s="24" t="s">
        <v>74</v>
      </c>
      <c r="B78" s="24">
        <v>320</v>
      </c>
      <c r="C78" s="24">
        <v>114</v>
      </c>
      <c r="D78" t="s">
        <v>129</v>
      </c>
      <c r="E78" s="24">
        <v>114</v>
      </c>
    </row>
    <row r="79" spans="1:5" ht="15.6" x14ac:dyDescent="0.3">
      <c r="A79" s="24" t="s">
        <v>74</v>
      </c>
      <c r="B79" s="24">
        <v>400</v>
      </c>
      <c r="C79" s="24">
        <v>152</v>
      </c>
      <c r="D79" t="s">
        <v>130</v>
      </c>
      <c r="E79" s="24">
        <v>152</v>
      </c>
    </row>
    <row r="80" spans="1:5" ht="15.6" x14ac:dyDescent="0.3">
      <c r="A80" s="24" t="s">
        <v>74</v>
      </c>
      <c r="B80" s="24">
        <v>450</v>
      </c>
      <c r="C80" s="24">
        <v>171</v>
      </c>
      <c r="D80" t="s">
        <v>131</v>
      </c>
      <c r="E80" s="24">
        <v>171</v>
      </c>
    </row>
    <row r="81" spans="1:5" ht="15.6" x14ac:dyDescent="0.3">
      <c r="A81" s="24" t="s">
        <v>74</v>
      </c>
      <c r="B81" s="24">
        <v>500</v>
      </c>
      <c r="C81" s="24">
        <v>188</v>
      </c>
      <c r="D81" t="s">
        <v>132</v>
      </c>
      <c r="E81" s="24">
        <v>188</v>
      </c>
    </row>
    <row r="82" spans="1:5" ht="15.6" x14ac:dyDescent="0.3">
      <c r="A82" s="24" t="s">
        <v>74</v>
      </c>
      <c r="B82" s="24">
        <v>600</v>
      </c>
      <c r="C82" s="24">
        <v>228</v>
      </c>
      <c r="D82" t="s">
        <v>133</v>
      </c>
      <c r="E82" s="24">
        <v>228</v>
      </c>
    </row>
    <row r="83" spans="1:5" ht="15.6" x14ac:dyDescent="0.3">
      <c r="A83" s="24" t="s">
        <v>74</v>
      </c>
      <c r="B83" s="24">
        <v>630</v>
      </c>
      <c r="C83" s="24">
        <v>228</v>
      </c>
      <c r="D83" t="s">
        <v>134</v>
      </c>
      <c r="E83" s="24">
        <v>228</v>
      </c>
    </row>
    <row r="84" spans="1:5" ht="15.6" x14ac:dyDescent="0.3">
      <c r="A84" s="24" t="s">
        <v>74</v>
      </c>
      <c r="B84" s="24">
        <v>700</v>
      </c>
      <c r="C84" s="24">
        <v>266</v>
      </c>
      <c r="D84" t="s">
        <v>135</v>
      </c>
      <c r="E84" s="24">
        <v>266</v>
      </c>
    </row>
    <row r="85" spans="1:5" ht="15.6" x14ac:dyDescent="0.3">
      <c r="A85" s="24" t="s">
        <v>74</v>
      </c>
      <c r="B85" s="24">
        <v>800</v>
      </c>
      <c r="C85" s="24">
        <v>304</v>
      </c>
      <c r="D85" t="s">
        <v>136</v>
      </c>
      <c r="E85" s="24">
        <v>304</v>
      </c>
    </row>
    <row r="89" spans="1:5" ht="18" x14ac:dyDescent="0.35">
      <c r="A89" s="238" t="s">
        <v>221</v>
      </c>
      <c r="B89" s="238"/>
    </row>
    <row r="90" spans="1:5" ht="15.6" x14ac:dyDescent="0.3">
      <c r="A90" s="236" t="s">
        <v>77</v>
      </c>
      <c r="B90" s="236"/>
    </row>
    <row r="91" spans="1:5" ht="15.6" x14ac:dyDescent="0.3">
      <c r="A91" s="23" t="s">
        <v>79</v>
      </c>
      <c r="B91" s="23" t="s">
        <v>80</v>
      </c>
    </row>
    <row r="92" spans="1:5" ht="15.6" x14ac:dyDescent="0.3">
      <c r="A92" s="57" t="s">
        <v>73</v>
      </c>
      <c r="B92" s="57">
        <v>60</v>
      </c>
    </row>
    <row r="93" spans="1:5" ht="15.6" x14ac:dyDescent="0.3">
      <c r="A93" s="57" t="s">
        <v>73</v>
      </c>
      <c r="B93" s="57">
        <v>63</v>
      </c>
    </row>
    <row r="94" spans="1:5" ht="15.6" x14ac:dyDescent="0.3">
      <c r="A94" s="57" t="s">
        <v>73</v>
      </c>
      <c r="B94" s="57">
        <v>90</v>
      </c>
    </row>
    <row r="95" spans="1:5" ht="15.6" x14ac:dyDescent="0.3">
      <c r="A95" s="57" t="s">
        <v>73</v>
      </c>
      <c r="B95" s="57">
        <v>100</v>
      </c>
    </row>
    <row r="96" spans="1:5" ht="15.6" x14ac:dyDescent="0.3">
      <c r="A96" s="57" t="s">
        <v>73</v>
      </c>
      <c r="B96" s="58">
        <v>120</v>
      </c>
    </row>
    <row r="97" spans="1:2" ht="15.6" x14ac:dyDescent="0.3">
      <c r="A97" s="57" t="s">
        <v>73</v>
      </c>
      <c r="B97" s="58">
        <v>125</v>
      </c>
    </row>
    <row r="98" spans="1:2" ht="15.6" x14ac:dyDescent="0.3">
      <c r="A98" s="57" t="s">
        <v>73</v>
      </c>
      <c r="B98" s="58">
        <v>150</v>
      </c>
    </row>
    <row r="99" spans="1:2" ht="15.6" x14ac:dyDescent="0.3">
      <c r="A99" s="57" t="s">
        <v>73</v>
      </c>
      <c r="B99" s="58">
        <v>200</v>
      </c>
    </row>
    <row r="100" spans="1:2" ht="15.6" x14ac:dyDescent="0.3">
      <c r="A100" s="24" t="s">
        <v>74</v>
      </c>
      <c r="B100" s="24">
        <v>60</v>
      </c>
    </row>
    <row r="101" spans="1:2" ht="15.6" x14ac:dyDescent="0.3">
      <c r="A101" s="24" t="s">
        <v>74</v>
      </c>
      <c r="B101" s="24">
        <v>63</v>
      </c>
    </row>
    <row r="102" spans="1:2" ht="15.6" x14ac:dyDescent="0.3">
      <c r="A102" s="24" t="s">
        <v>74</v>
      </c>
      <c r="B102" s="24">
        <v>70</v>
      </c>
    </row>
    <row r="103" spans="1:2" ht="15.6" x14ac:dyDescent="0.3">
      <c r="A103" s="24" t="s">
        <v>74</v>
      </c>
      <c r="B103" s="24">
        <v>80</v>
      </c>
    </row>
    <row r="104" spans="1:2" ht="15.6" x14ac:dyDescent="0.3">
      <c r="A104" s="24" t="s">
        <v>74</v>
      </c>
      <c r="B104" s="24">
        <v>100</v>
      </c>
    </row>
    <row r="105" spans="1:2" ht="15.6" x14ac:dyDescent="0.3">
      <c r="A105" s="24" t="s">
        <v>74</v>
      </c>
      <c r="B105" s="24">
        <v>120</v>
      </c>
    </row>
    <row r="106" spans="1:2" ht="15.6" x14ac:dyDescent="0.3">
      <c r="A106" s="24" t="s">
        <v>74</v>
      </c>
      <c r="B106" s="24">
        <v>125</v>
      </c>
    </row>
    <row r="107" spans="1:2" ht="15.6" x14ac:dyDescent="0.3">
      <c r="A107" s="24" t="s">
        <v>74</v>
      </c>
      <c r="B107" s="24">
        <v>150</v>
      </c>
    </row>
    <row r="108" spans="1:2" ht="15.6" x14ac:dyDescent="0.3">
      <c r="A108" s="24" t="s">
        <v>74</v>
      </c>
      <c r="B108" s="24">
        <v>175</v>
      </c>
    </row>
    <row r="109" spans="1:2" ht="15.6" x14ac:dyDescent="0.3">
      <c r="A109" s="24" t="s">
        <v>74</v>
      </c>
      <c r="B109" s="24">
        <v>200</v>
      </c>
    </row>
    <row r="110" spans="1:2" ht="15.6" x14ac:dyDescent="0.3">
      <c r="A110" s="24" t="s">
        <v>74</v>
      </c>
      <c r="B110" s="24">
        <v>225</v>
      </c>
    </row>
    <row r="111" spans="1:2" ht="15.6" x14ac:dyDescent="0.3">
      <c r="A111" s="24" t="s">
        <v>74</v>
      </c>
      <c r="B111" s="24">
        <v>250</v>
      </c>
    </row>
    <row r="112" spans="1:2" ht="15.6" x14ac:dyDescent="0.3">
      <c r="A112" s="24" t="s">
        <v>74</v>
      </c>
      <c r="B112" s="24">
        <v>300</v>
      </c>
    </row>
    <row r="113" spans="1:2" ht="15.6" x14ac:dyDescent="0.3">
      <c r="A113" s="24" t="s">
        <v>74</v>
      </c>
      <c r="B113" s="24">
        <v>315</v>
      </c>
    </row>
    <row r="114" spans="1:2" ht="15.6" x14ac:dyDescent="0.3">
      <c r="A114" s="24" t="s">
        <v>74</v>
      </c>
      <c r="B114" s="24">
        <v>320</v>
      </c>
    </row>
    <row r="115" spans="1:2" ht="15.6" x14ac:dyDescent="0.3">
      <c r="A115" s="24" t="s">
        <v>74</v>
      </c>
      <c r="B115" s="24">
        <v>400</v>
      </c>
    </row>
    <row r="116" spans="1:2" ht="15.6" x14ac:dyDescent="0.3">
      <c r="A116" s="24" t="s">
        <v>74</v>
      </c>
      <c r="B116" s="24">
        <v>450</v>
      </c>
    </row>
    <row r="117" spans="1:2" ht="15.6" x14ac:dyDescent="0.3">
      <c r="A117" s="24" t="s">
        <v>74</v>
      </c>
      <c r="B117" s="24">
        <v>500</v>
      </c>
    </row>
    <row r="118" spans="1:2" ht="15.6" x14ac:dyDescent="0.3">
      <c r="A118" s="24" t="s">
        <v>74</v>
      </c>
      <c r="B118" s="24">
        <v>600</v>
      </c>
    </row>
    <row r="119" spans="1:2" ht="15.6" x14ac:dyDescent="0.3">
      <c r="A119" s="24" t="s">
        <v>74</v>
      </c>
      <c r="B119" s="24">
        <v>630</v>
      </c>
    </row>
    <row r="120" spans="1:2" ht="15.6" x14ac:dyDescent="0.3">
      <c r="A120" s="24" t="s">
        <v>74</v>
      </c>
      <c r="B120" s="24">
        <v>700</v>
      </c>
    </row>
    <row r="121" spans="1:2" ht="15.6" x14ac:dyDescent="0.3">
      <c r="A121" s="24" t="s">
        <v>74</v>
      </c>
      <c r="B121" s="24">
        <v>800</v>
      </c>
    </row>
    <row r="122" spans="1:2" ht="15.6" x14ac:dyDescent="0.3">
      <c r="A122" s="24" t="s">
        <v>74</v>
      </c>
      <c r="B122" s="24">
        <v>1000</v>
      </c>
    </row>
    <row r="123" spans="1:2" ht="15.6" x14ac:dyDescent="0.3">
      <c r="A123" s="24" t="s">
        <v>74</v>
      </c>
      <c r="B123" s="24">
        <v>1200</v>
      </c>
    </row>
    <row r="124" spans="1:2" ht="15.6" x14ac:dyDescent="0.3">
      <c r="A124" s="24" t="s">
        <v>74</v>
      </c>
      <c r="B124" s="24">
        <v>1500</v>
      </c>
    </row>
    <row r="125" spans="1:2" ht="15.6" x14ac:dyDescent="0.3">
      <c r="A125" s="24" t="s">
        <v>74</v>
      </c>
      <c r="B125" s="24">
        <v>1800</v>
      </c>
    </row>
    <row r="126" spans="1:2" ht="15.6" x14ac:dyDescent="0.3">
      <c r="A126" s="24" t="s">
        <v>74</v>
      </c>
      <c r="B126" s="24">
        <v>2100</v>
      </c>
    </row>
    <row r="130" spans="1:2" x14ac:dyDescent="0.3">
      <c r="A130" t="s">
        <v>238</v>
      </c>
    </row>
    <row r="132" spans="1:2" ht="15.6" x14ac:dyDescent="0.3">
      <c r="A132" s="24" t="s">
        <v>79</v>
      </c>
      <c r="B132" s="24" t="s">
        <v>80</v>
      </c>
    </row>
    <row r="133" spans="1:2" ht="15.6" x14ac:dyDescent="0.3">
      <c r="A133" s="24" t="s">
        <v>74</v>
      </c>
      <c r="B133" s="24">
        <v>100</v>
      </c>
    </row>
    <row r="134" spans="1:2" ht="15.6" x14ac:dyDescent="0.3">
      <c r="A134" s="24" t="s">
        <v>74</v>
      </c>
      <c r="B134" s="24">
        <v>120</v>
      </c>
    </row>
    <row r="135" spans="1:2" ht="15.6" x14ac:dyDescent="0.3">
      <c r="A135" s="24" t="s">
        <v>74</v>
      </c>
      <c r="B135" s="24">
        <v>125</v>
      </c>
    </row>
    <row r="136" spans="1:2" ht="15.6" x14ac:dyDescent="0.3">
      <c r="A136" s="24" t="s">
        <v>74</v>
      </c>
      <c r="B136" s="24">
        <v>150</v>
      </c>
    </row>
    <row r="137" spans="1:2" ht="15.6" x14ac:dyDescent="0.3">
      <c r="A137" s="24" t="s">
        <v>74</v>
      </c>
      <c r="B137" s="24">
        <v>175</v>
      </c>
    </row>
    <row r="138" spans="1:2" ht="15.6" x14ac:dyDescent="0.3">
      <c r="A138" s="24" t="s">
        <v>74</v>
      </c>
      <c r="B138" s="24">
        <v>200</v>
      </c>
    </row>
    <row r="139" spans="1:2" ht="15.6" x14ac:dyDescent="0.3">
      <c r="A139" s="24" t="s">
        <v>74</v>
      </c>
      <c r="B139" s="24">
        <v>250</v>
      </c>
    </row>
    <row r="140" spans="1:2" ht="15.6" x14ac:dyDescent="0.3">
      <c r="A140" s="24" t="s">
        <v>74</v>
      </c>
      <c r="B140" s="24">
        <v>300</v>
      </c>
    </row>
    <row r="141" spans="1:2" ht="15.6" x14ac:dyDescent="0.3">
      <c r="A141" s="24" t="s">
        <v>74</v>
      </c>
      <c r="B141" s="24">
        <v>315</v>
      </c>
    </row>
    <row r="142" spans="1:2" ht="15.6" x14ac:dyDescent="0.3">
      <c r="A142" s="24" t="s">
        <v>74</v>
      </c>
      <c r="B142" s="24">
        <v>320</v>
      </c>
    </row>
    <row r="143" spans="1:2" ht="15.6" x14ac:dyDescent="0.3">
      <c r="A143" s="24" t="s">
        <v>74</v>
      </c>
      <c r="B143" s="24">
        <v>350</v>
      </c>
    </row>
    <row r="144" spans="1:2" ht="15.6" x14ac:dyDescent="0.3">
      <c r="A144" s="24" t="s">
        <v>74</v>
      </c>
      <c r="B144" s="24">
        <v>400</v>
      </c>
    </row>
    <row r="145" spans="1:2" ht="15.6" x14ac:dyDescent="0.3">
      <c r="A145" s="24" t="s">
        <v>74</v>
      </c>
      <c r="B145" s="24">
        <v>500</v>
      </c>
    </row>
    <row r="146" spans="1:2" ht="15.6" x14ac:dyDescent="0.3">
      <c r="A146" s="24" t="s">
        <v>74</v>
      </c>
      <c r="B146" s="24">
        <v>600</v>
      </c>
    </row>
    <row r="147" spans="1:2" ht="15.6" x14ac:dyDescent="0.3">
      <c r="A147" s="24" t="s">
        <v>74</v>
      </c>
      <c r="B147" s="24">
        <v>630</v>
      </c>
    </row>
    <row r="148" spans="1:2" ht="15.6" x14ac:dyDescent="0.3">
      <c r="A148" s="24" t="s">
        <v>74</v>
      </c>
      <c r="B148" s="24">
        <v>800</v>
      </c>
    </row>
  </sheetData>
  <mergeCells count="6">
    <mergeCell ref="A10:B10"/>
    <mergeCell ref="C10:C11"/>
    <mergeCell ref="A89:B89"/>
    <mergeCell ref="A90:B90"/>
    <mergeCell ref="A54:B54"/>
    <mergeCell ref="C54:C55"/>
  </mergeCells>
  <pageMargins left="0.511811024" right="0.511811024" top="0.78740157499999996" bottom="0.78740157499999996" header="0.31496062000000002" footer="0.31496062000000002"/>
  <pageSetup paperSize="9" orientation="portrait" r:id="rId1"/>
  <headerFooter>
    <oddFooter>&amp;R_x000D_&amp;1#&amp;"Calibri"&amp;10&amp;K000000 Classificação: Público</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4"/>
  <dimension ref="A1:E54"/>
  <sheetViews>
    <sheetView workbookViewId="0">
      <selection activeCell="D22" sqref="D22"/>
    </sheetView>
  </sheetViews>
  <sheetFormatPr defaultRowHeight="14.4" x14ac:dyDescent="0.3"/>
  <cols>
    <col min="1" max="1" width="116.109375" bestFit="1" customWidth="1"/>
    <col min="2" max="2" width="9.109375" style="19"/>
    <col min="4" max="4" width="9.109375" style="19"/>
  </cols>
  <sheetData>
    <row r="1" spans="1:5" x14ac:dyDescent="0.3">
      <c r="A1" s="10" t="s">
        <v>52</v>
      </c>
      <c r="B1" s="43">
        <f>COUNTA(Formulário!I12)</f>
        <v>0</v>
      </c>
    </row>
    <row r="2" spans="1:5" x14ac:dyDescent="0.3">
      <c r="A2" t="s">
        <v>53</v>
      </c>
      <c r="B2" s="43">
        <f>IF(Dados!D7=4,1,COUNTA(Formulário!AG12))</f>
        <v>0</v>
      </c>
      <c r="D2" s="63" t="str">
        <f>IF(D5=1,E5,IF(D6=1,E6,IF(D7=1,E7,IF(D8=1,E8,IF(D9=1,E9,IF(D10=1,E10,""))))))</f>
        <v>O campo "Número do Cliente" deve ser preenchido.</v>
      </c>
    </row>
    <row r="3" spans="1:5" x14ac:dyDescent="0.3">
      <c r="A3" t="s">
        <v>55</v>
      </c>
      <c r="B3" s="43">
        <f>COUNTA(Formulário!N14)</f>
        <v>0</v>
      </c>
    </row>
    <row r="4" spans="1:5" x14ac:dyDescent="0.3">
      <c r="A4" t="s">
        <v>41</v>
      </c>
      <c r="B4" s="43">
        <f>COUNTA(Formulário!E16)</f>
        <v>0</v>
      </c>
    </row>
    <row r="5" spans="1:5" x14ac:dyDescent="0.3">
      <c r="A5" t="s">
        <v>42</v>
      </c>
      <c r="B5" s="43">
        <f>COUNTA(Formulário!K16)</f>
        <v>0</v>
      </c>
      <c r="D5" s="25">
        <f t="shared" ref="D5:D10" si="0">IF(E5&lt;&gt;"",1,0)</f>
        <v>1</v>
      </c>
      <c r="E5" t="str">
        <f>IF(COUNTIF(Conferencia!B:B,"0")&gt;0,"O campo """&amp;INDEX(Conferencia!A:A,MATCH(0,Conferencia!B:B,0))&amp;""" deve ser preenchido.","")</f>
        <v>O campo "Número do Cliente" deve ser preenchido.</v>
      </c>
    </row>
    <row r="6" spans="1:5" x14ac:dyDescent="0.3">
      <c r="A6" t="s">
        <v>43</v>
      </c>
      <c r="B6" s="43">
        <f>COUNTA(Formulário!AC16)</f>
        <v>0</v>
      </c>
      <c r="D6" s="25">
        <f t="shared" si="0"/>
        <v>0</v>
      </c>
      <c r="E6" t="str">
        <f>IF(AND(Dados!D7=4,Formulário!AG12&lt;&gt;"")," Em caso de Ligação de Nova Unidade Consumidora não pode ser preenchido o Nº da Instalação","")</f>
        <v/>
      </c>
    </row>
    <row r="7" spans="1:5" x14ac:dyDescent="0.3">
      <c r="A7" t="s">
        <v>44</v>
      </c>
      <c r="B7" s="43">
        <f>COUNTA(Formulário!G18)</f>
        <v>0</v>
      </c>
      <c r="D7" s="25">
        <f t="shared" si="0"/>
        <v>0</v>
      </c>
      <c r="E7" t="str">
        <f>IF(Pot_Ativa_Instalada&gt;CargaInstalada,"A Potência Ativa Instalada Total da Usina não pode ser maior que a Carga Instalada","")</f>
        <v/>
      </c>
    </row>
    <row r="8" spans="1:5" x14ac:dyDescent="0.3">
      <c r="A8" t="s">
        <v>45</v>
      </c>
      <c r="B8" s="43">
        <f>COUNTA(Formulário!AI18)</f>
        <v>0</v>
      </c>
      <c r="D8" s="25">
        <f t="shared" si="0"/>
        <v>0</v>
      </c>
      <c r="E8" t="str">
        <f>IF(D19=0,"O uso da SE Nº1 foi descontinuado das normas Cemig, portanto NÃO é permitida para ligação de novas UC usando esse padrão de construção","")</f>
        <v/>
      </c>
    </row>
    <row r="9" spans="1:5" x14ac:dyDescent="0.3">
      <c r="A9" t="s">
        <v>47</v>
      </c>
      <c r="B9" s="43">
        <f>COUNTA(Formulário!E20)</f>
        <v>0</v>
      </c>
      <c r="D9" s="25">
        <f t="shared" si="0"/>
        <v>1</v>
      </c>
      <c r="E9" t="str">
        <f>IF(Pot_Ativa_Instalada&gt;75,"Este formulário é para as solicitações de MICROGERAÇÃO. Para potência superior a 75 kW utilize o formulário de MINIGERAÇÃO","")</f>
        <v>Este formulário é para as solicitações de MICROGERAÇÃO. Para potência superior a 75 kW utilize o formulário de MINIGERAÇÃO</v>
      </c>
    </row>
    <row r="10" spans="1:5" x14ac:dyDescent="0.3">
      <c r="A10" t="s">
        <v>48</v>
      </c>
      <c r="B10" s="43">
        <f>COUNTA(Formulário!T20)</f>
        <v>0</v>
      </c>
      <c r="D10" s="25">
        <f t="shared" si="0"/>
        <v>0</v>
      </c>
      <c r="E10" t="str">
        <f>IF($D$21=1,"O somatório das potências dos transformadores não pode ser menor que a Potência Ativa Instalada Total de Geração da Usina.","")</f>
        <v/>
      </c>
    </row>
    <row r="11" spans="1:5" x14ac:dyDescent="0.3">
      <c r="A11" t="s">
        <v>49</v>
      </c>
      <c r="B11" s="43">
        <f>COUNTA(Formulário!AN20)</f>
        <v>1</v>
      </c>
    </row>
    <row r="12" spans="1:5" x14ac:dyDescent="0.3">
      <c r="A12" t="s">
        <v>50</v>
      </c>
      <c r="B12" s="43">
        <f>COUNTA(Formulário!AS20)</f>
        <v>0</v>
      </c>
    </row>
    <row r="13" spans="1:5" x14ac:dyDescent="0.3">
      <c r="A13" t="s">
        <v>241</v>
      </c>
      <c r="B13" s="43">
        <f>COUNTA(Formulário!O22)</f>
        <v>0</v>
      </c>
    </row>
    <row r="14" spans="1:5" x14ac:dyDescent="0.3">
      <c r="A14" t="s">
        <v>51</v>
      </c>
      <c r="B14" s="43">
        <f>COUNTA(Formulário!Y22)</f>
        <v>0</v>
      </c>
    </row>
    <row r="15" spans="1:5" x14ac:dyDescent="0.3">
      <c r="A15" t="s">
        <v>35</v>
      </c>
      <c r="B15" s="43">
        <f>COUNTA(Formulário!V27)</f>
        <v>0</v>
      </c>
    </row>
    <row r="16" spans="1:5" x14ac:dyDescent="0.3">
      <c r="A16" t="s">
        <v>56</v>
      </c>
      <c r="B16" s="43">
        <f>COUNTA(Formulário!AC27)</f>
        <v>0</v>
      </c>
    </row>
    <row r="17" spans="1:5" x14ac:dyDescent="0.3">
      <c r="A17" t="s">
        <v>57</v>
      </c>
      <c r="B17" s="43">
        <f>COUNTA(Formulário!AL27)</f>
        <v>0</v>
      </c>
    </row>
    <row r="18" spans="1:5" x14ac:dyDescent="0.3">
      <c r="A18" s="10" t="s">
        <v>58</v>
      </c>
      <c r="B18" s="43">
        <f>IF(Grupo="A",COUNTA(Formulário!R29),1)</f>
        <v>1</v>
      </c>
    </row>
    <row r="19" spans="1:5" x14ac:dyDescent="0.3">
      <c r="A19" t="s">
        <v>71</v>
      </c>
      <c r="B19" s="43">
        <f>IF(Formulário!E16&lt;&gt;"A",1,COUNTA(Formulário!T34))</f>
        <v>1</v>
      </c>
      <c r="D19" s="43">
        <f>IF(AND(Dados!D7=4,TipoSE="Nº 1"),0,1)</f>
        <v>1</v>
      </c>
      <c r="E19" t="s">
        <v>224</v>
      </c>
    </row>
    <row r="20" spans="1:5" x14ac:dyDescent="0.3">
      <c r="A20" s="10" t="str">
        <f>IF($D$22=1,"Qte trafo de potência distinta","Transformador particular (kVA)")</f>
        <v>Transformador particular (kVA)</v>
      </c>
      <c r="B20" s="43">
        <f>IF(Grupo="B",1,IF(AND($D$22=1,Formulário!$S$36&gt;4),0,COUNTA(Formulário!$S$36)))</f>
        <v>0</v>
      </c>
    </row>
    <row r="21" spans="1:5" x14ac:dyDescent="0.3">
      <c r="A21" t="s">
        <v>234</v>
      </c>
      <c r="B21" s="43">
        <f>IF(Grupo="B",1,IF(OR(TipoSE="Nº 1",TipoSE="Nº 5",TipoSE="Nº 8"),1,IF(AND($D$22=1,Formulário!$S$36=1,OR(Formulário!$Z$36="",Formulário!$AF$36="")),0,COUNTA(Formulário!$S$36)*COUNTA(Formulário!$Z$36)*COUNTA(Formulário!$AF$36))))</f>
        <v>0</v>
      </c>
      <c r="D21" s="19">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0</v>
      </c>
      <c r="E21" t="s">
        <v>243</v>
      </c>
    </row>
    <row r="22" spans="1:5" x14ac:dyDescent="0.3">
      <c r="A22" t="s">
        <v>234</v>
      </c>
      <c r="B22" s="43">
        <f>IF(Grupo="B",1,IF(OR(TipoSE="Nº 1",TipoSE="Nº 5",TipoSE="Nº 8"),1,IF(AND($D$22=1,Formulário!$S$36=1),1,IF(OR(Formulário!$Z$36="",Formulário!$AF$36="",Formulário!$Z$34="",Formulário!$AF$34=""),0,COUNTA(Formulário!$S$36)*COUNTA(Formulário!$Z$36)*COUNTA(Formulário!$AF$36)*COUNTA(Formulário!$Z$34)*COUNTA(Formulário!$AF$34)))))</f>
        <v>0</v>
      </c>
      <c r="D22" s="43">
        <f>IF(OR(TipoSE="Nº 2",TipoSE="Nº 4"),1,0)</f>
        <v>0</v>
      </c>
      <c r="E22" t="s">
        <v>231</v>
      </c>
    </row>
    <row r="23" spans="1:5" x14ac:dyDescent="0.3">
      <c r="A23" t="s">
        <v>234</v>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0</v>
      </c>
      <c r="D23" s="43">
        <f>IF(OR(TipoSE="Nº 1",TipoSE="Nº 5",TipoSE="Nº 8"),1,0)</f>
        <v>0</v>
      </c>
      <c r="E23" t="s">
        <v>232</v>
      </c>
    </row>
    <row r="24" spans="1:5" x14ac:dyDescent="0.3">
      <c r="A24" t="s">
        <v>234</v>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0</v>
      </c>
      <c r="D24" s="43">
        <f>IF(TipoSE="Nº 1",1,0)</f>
        <v>0</v>
      </c>
      <c r="E24" t="s">
        <v>233</v>
      </c>
    </row>
    <row r="25" spans="1:5" x14ac:dyDescent="0.3">
      <c r="A25" s="10" t="s">
        <v>34</v>
      </c>
      <c r="B25" s="43">
        <f>COUNTA(Formulário!I39)</f>
        <v>0</v>
      </c>
    </row>
    <row r="26" spans="1:5" x14ac:dyDescent="0.3">
      <c r="A26" s="10" t="s">
        <v>230</v>
      </c>
      <c r="B26" s="43">
        <f>IF(Dados!D6=3,COUNTA(Formulário!AU39),1)</f>
        <v>1</v>
      </c>
    </row>
    <row r="27" spans="1:5" x14ac:dyDescent="0.3">
      <c r="A27" s="10" t="s">
        <v>59</v>
      </c>
      <c r="B27" s="43">
        <f>COUNTA(Formulário!I41)</f>
        <v>0</v>
      </c>
    </row>
    <row r="28" spans="1:5" x14ac:dyDescent="0.3">
      <c r="A28" t="s">
        <v>237</v>
      </c>
      <c r="B28" s="43">
        <f>IF(Grupo="B",1,IF(OR(TipoSE="Nº 1",TipoSE="Nº 5",TipoSE="Nº 8"),COUNTA(Formulário!AB45)*COUNTA(Formulário!AH45),1))</f>
        <v>1</v>
      </c>
    </row>
    <row r="29" spans="1:5" x14ac:dyDescent="0.3">
      <c r="A29" s="10" t="s">
        <v>61</v>
      </c>
      <c r="B29" s="43">
        <f>IF(Grupo="A",1,COUNTA(Formulário!AH45)*COUNTA(Formulário!AB45))</f>
        <v>0</v>
      </c>
    </row>
    <row r="30" spans="1:5" x14ac:dyDescent="0.3">
      <c r="A30" s="21" t="s">
        <v>62</v>
      </c>
      <c r="B30" s="43">
        <f>IF(Grupo="A",1,IF(OR(Formulário!I39=Apoio!A2,Formulário!I39=Apoio!A3),1,IF(AND(Formulário!I39=Apoio!A5,Formulário!AB47="Sem Alter. Carga"),1,COUNTA(Formulário!AB47)*COUNTA(Formulário!AH47))))</f>
        <v>0</v>
      </c>
    </row>
    <row r="31" spans="1:5" x14ac:dyDescent="0.3">
      <c r="A31" s="21" t="s">
        <v>63</v>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1</v>
      </c>
    </row>
    <row r="32" spans="1:5" x14ac:dyDescent="0.3">
      <c r="A32" s="21" t="s">
        <v>63</v>
      </c>
      <c r="B32" s="43">
        <f>IF(Grupo="A",1,IF(Formulário!$H$49="",1,IF(AND(Formulário!$H$49=" Disjuntor Geral do Padrão (Conforme ND 5.2):",Formulário!$AB$49="Sem Disj. Geral"),1,IF(AND(Formulário!$H$49=" Disjuntor Geral do Padrão (Conforme ND 5.2):",Formulário!AB48&lt;&gt;"Sem Disj. Geral"),COUNTA(Formulário!$AB$49)*COUNTA(Formulário!$AH$49)))))</f>
        <v>1</v>
      </c>
    </row>
    <row r="33" spans="1:2" x14ac:dyDescent="0.3">
      <c r="A33" s="21" t="s">
        <v>223</v>
      </c>
      <c r="B33" s="43">
        <f>IF(Grupo="A",1,IF(Formulário!I42="Edificação Individual",1,IF(OR(Formulário!$H$49="",Formulário!$AB$49="Sem Disj. Geral"),1,COUNTA(Formulário!AT49))))</f>
        <v>1</v>
      </c>
    </row>
    <row r="34" spans="1:2" x14ac:dyDescent="0.3">
      <c r="A34" s="10" t="s">
        <v>64</v>
      </c>
      <c r="B34" s="43">
        <f>COUNTA(Formulário!L52)</f>
        <v>0</v>
      </c>
    </row>
    <row r="35" spans="1:2" x14ac:dyDescent="0.3">
      <c r="A35" t="s">
        <v>72</v>
      </c>
      <c r="B35" s="43">
        <f>IF(Formulário!AE52=" &lt;-- Atenção! Altere o tipo de ramal",0,COUNTA(Formulário!X52))</f>
        <v>0</v>
      </c>
    </row>
    <row r="36" spans="1:2" x14ac:dyDescent="0.3">
      <c r="A36" s="21" t="s">
        <v>65</v>
      </c>
      <c r="B36" s="43">
        <f>IF(Formulário!I39=Apoio!A2,1,IF(Formulário!U54="&lt;-- Para SE Nº 1 não pode haver mudança de local do Padrão de Entrada. Altere...",0,COUNTA(Formulário!R54)))</f>
        <v>0</v>
      </c>
    </row>
    <row r="37" spans="1:2" x14ac:dyDescent="0.3">
      <c r="A37" s="10" t="s">
        <v>66</v>
      </c>
      <c r="B37" s="43">
        <f>COUNTA(TipoFonte)</f>
        <v>1</v>
      </c>
    </row>
    <row r="38" spans="1:2" x14ac:dyDescent="0.3">
      <c r="A38" s="10" t="s">
        <v>67</v>
      </c>
      <c r="B38" s="43">
        <f>COUNTA(Formulário!L84)</f>
        <v>0</v>
      </c>
    </row>
    <row r="39" spans="1:2" x14ac:dyDescent="0.3">
      <c r="A39" t="s">
        <v>68</v>
      </c>
      <c r="B39" s="43">
        <v>1</v>
      </c>
    </row>
    <row r="40" spans="1:2" x14ac:dyDescent="0.3">
      <c r="A40" t="s">
        <v>70</v>
      </c>
      <c r="B40" s="43">
        <f>COUNTA(Formulário!AS84)</f>
        <v>0</v>
      </c>
    </row>
    <row r="41" spans="1:2" x14ac:dyDescent="0.3">
      <c r="A41" s="59" t="str">
        <f>IF(TipoFonte="Solar","Potência Total Módulos (kW)",IF(OR(TipoFonte="Hidráulica",TipoFonte="Biomassa",TipoFonte="Cogeração Qualificada"),"Potência Aparente (kVA)",IF(TipoFonte="Eólica","Quantidade de Aerogeradores","")))</f>
        <v>Potência Total Módulos (kW)</v>
      </c>
      <c r="B41" s="43">
        <f>COUNTA(Formulário!P92)</f>
        <v>0</v>
      </c>
    </row>
    <row r="42" spans="1:2" x14ac:dyDescent="0.3">
      <c r="A42" s="59" t="str">
        <f>IF(TipoFonte="Solar","Potência Total Inversores (kW)",IF(OR(TipoFonte="Hidráulica",TipoFonte="Biomassa",TipoFonte="Eólica",TipoFonte="Cogeração Qualificada"),"Potência Instalada (kW)",""))</f>
        <v>Potência Total Inversores (kW)</v>
      </c>
      <c r="B42" s="43">
        <f>COUNTA(Formulário!P94)</f>
        <v>0</v>
      </c>
    </row>
    <row r="43" spans="1:2" x14ac:dyDescent="0.3">
      <c r="A43" s="59" t="str">
        <f>IF(TipoFonte="Solar","Área dos Arranjos (m²)",IF(OR(TipoFonte="Hidráulica",TipoFonte="Biomassa",TipoFonte="Eólica",TipoFonte="Cogeração Qualificada"),"Fator de Potência",""))</f>
        <v>Área dos Arranjos (m²)</v>
      </c>
      <c r="B43" s="43">
        <f>COUNTA(Formulário!P96)</f>
        <v>0</v>
      </c>
    </row>
    <row r="44" spans="1:2" x14ac:dyDescent="0.3">
      <c r="A44" s="59" t="str">
        <f>IF(TipoFonte="Solar","Quantidade de Módulos",IF(TipoFonte="Hidráulica","Tensão (kV)",IF(OR(TipoFonte="Cogeração Qualificada",TipoFonte="Biomassa"),"Combustível",IF(TipoFonte="Eólica","Fabricante dos Aerogeradores",""))))</f>
        <v>Quantidade de Módulos</v>
      </c>
      <c r="B44" s="43">
        <f>COUNTA(Formulário!P98)</f>
        <v>0</v>
      </c>
    </row>
    <row r="45" spans="1:2" x14ac:dyDescent="0.3">
      <c r="A45" s="59" t="str">
        <f>IF(TipoFonte="Solar","Modelo dos Módulos",IF(OR(TipoFonte="Cogeração Qualificada",TipoFonte="Biomassa"),"Máquina Motriz (Motor/Turbina)",IF(TipoFonte="Eólica","Altura da pá (m)",IF(TipoFonte="Hidráulica","Nome do rio",""))))</f>
        <v>Modelo dos Módulos</v>
      </c>
      <c r="B45" s="43">
        <f>COUNTA(Formulário!P100)</f>
        <v>0</v>
      </c>
    </row>
    <row r="46" spans="1:2" x14ac:dyDescent="0.3">
      <c r="A46" s="59" t="str">
        <f>IF(TipoFonte="Solar","Fabricante dos Módulos",IF(TipoFonte="Hidráulica","Nível Operacional Normal de Jusante (m)",IF(OR(TipoFonte="Cogeração Qualificada",TipoFonte="Biomassa"),"Ciclo Termodinâmico (Aberto/Fechado)",IF(TipoFonte="Eólica","Eixo do rotor",""))))</f>
        <v>Fabricante dos Módulos</v>
      </c>
      <c r="B46" s="43">
        <f>COUNTA(Formulário!P102)</f>
        <v>0</v>
      </c>
    </row>
    <row r="47" spans="1:2" x14ac:dyDescent="0.3">
      <c r="A47" s="59" t="str">
        <f>IF(TipoFonte="Solar","Quantidade de Inversores",IF(OR(TipoFonte="Cogeração Qualificada",TipoFonte="Biomassa"),"Número do Despacho de qualificação",IF(TipoFonte="Eólica","Modelo dos Aerogeradores","")))</f>
        <v>Quantidade de Inversores</v>
      </c>
      <c r="B47" s="43">
        <f>IF(A47="",1,COUNTA(Formulário!P104))</f>
        <v>0</v>
      </c>
    </row>
    <row r="48" spans="1:2" x14ac:dyDescent="0.3">
      <c r="A48" s="59" t="str">
        <f>IF(TipoFonte="Solar","Modelo dos Inversores","")</f>
        <v>Modelo dos Inversores</v>
      </c>
      <c r="B48" s="43">
        <f>IF(A48="",1,COUNTA(Formulário!P106))</f>
        <v>0</v>
      </c>
    </row>
    <row r="49" spans="1:2" x14ac:dyDescent="0.3">
      <c r="A49" s="59" t="str">
        <f>IF(TipoFonte="Solar","Fabricante dos Inversores","")</f>
        <v>Fabricante dos Inversores</v>
      </c>
      <c r="B49" s="43">
        <f>IF(A49="",1,COUNTA(Formulário!P108))</f>
        <v>0</v>
      </c>
    </row>
    <row r="50" spans="1:2" x14ac:dyDescent="0.3">
      <c r="A50" t="s">
        <v>217</v>
      </c>
      <c r="B50" s="43">
        <f>COUNTA(Formulário!Q194)</f>
        <v>1</v>
      </c>
    </row>
    <row r="51" spans="1:2" x14ac:dyDescent="0.3">
      <c r="A51" t="s">
        <v>219</v>
      </c>
      <c r="B51" s="43">
        <f>COUNTA(Formulário!O196)</f>
        <v>0</v>
      </c>
    </row>
    <row r="52" spans="1:2" x14ac:dyDescent="0.3">
      <c r="A52" t="s">
        <v>241</v>
      </c>
      <c r="B52" s="43">
        <f>COUNTA(Formulário!O200)</f>
        <v>0</v>
      </c>
    </row>
    <row r="53" spans="1:2" x14ac:dyDescent="0.3">
      <c r="A53" t="s">
        <v>220</v>
      </c>
      <c r="B53" s="43">
        <f>COUNTA(Formulário!Y200)</f>
        <v>0</v>
      </c>
    </row>
    <row r="54" spans="1:2" x14ac:dyDescent="0.3">
      <c r="A54" t="s">
        <v>227</v>
      </c>
      <c r="B54" s="43">
        <f>COUNTA(Formulário!C210)</f>
        <v>0</v>
      </c>
    </row>
  </sheetData>
  <pageMargins left="0.511811024" right="0.511811024" top="0.78740157499999996" bottom="0.78740157499999996" header="0.31496062000000002" footer="0.31496062000000002"/>
  <headerFooter>
    <oddFooter>&amp;R_x000D_&amp;1#&amp;"Calibri"&amp;10&amp;K000000 Classificação: Público</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85D8-F267-4BF4-8BA2-1A80C82E76FE}">
  <sheetPr codeName="Planilha5"/>
  <dimension ref="A1:A21"/>
  <sheetViews>
    <sheetView workbookViewId="0">
      <selection activeCell="A21" sqref="A21"/>
    </sheetView>
  </sheetViews>
  <sheetFormatPr defaultRowHeight="14.4" x14ac:dyDescent="0.3"/>
  <cols>
    <col min="1" max="1" width="165.5546875" customWidth="1"/>
  </cols>
  <sheetData>
    <row r="1" spans="1:1" x14ac:dyDescent="0.3">
      <c r="A1" s="56" t="s">
        <v>255</v>
      </c>
    </row>
    <row r="2" spans="1:1" x14ac:dyDescent="0.3">
      <c r="A2" t="s">
        <v>148</v>
      </c>
    </row>
    <row r="3" spans="1:1" x14ac:dyDescent="0.3">
      <c r="A3" t="s">
        <v>229</v>
      </c>
    </row>
    <row r="4" spans="1:1" x14ac:dyDescent="0.3">
      <c r="A4" s="56" t="s">
        <v>256</v>
      </c>
    </row>
    <row r="5" spans="1:1" x14ac:dyDescent="0.3">
      <c r="A5" t="s">
        <v>257</v>
      </c>
    </row>
    <row r="6" spans="1:1" x14ac:dyDescent="0.3">
      <c r="A6" t="s">
        <v>258</v>
      </c>
    </row>
    <row r="7" spans="1:1" x14ac:dyDescent="0.3">
      <c r="A7" t="s">
        <v>259</v>
      </c>
    </row>
    <row r="8" spans="1:1" x14ac:dyDescent="0.3">
      <c r="A8" t="s">
        <v>260</v>
      </c>
    </row>
    <row r="9" spans="1:1" x14ac:dyDescent="0.3">
      <c r="A9" t="s">
        <v>261</v>
      </c>
    </row>
    <row r="10" spans="1:1" x14ac:dyDescent="0.3">
      <c r="A10" s="56" t="s">
        <v>262</v>
      </c>
    </row>
    <row r="11" spans="1:1" x14ac:dyDescent="0.3">
      <c r="A11" t="s">
        <v>263</v>
      </c>
    </row>
    <row r="12" spans="1:1" x14ac:dyDescent="0.3">
      <c r="A12" t="s">
        <v>264</v>
      </c>
    </row>
    <row r="13" spans="1:1" x14ac:dyDescent="0.3">
      <c r="A13" t="s">
        <v>265</v>
      </c>
    </row>
    <row r="14" spans="1:1" x14ac:dyDescent="0.3">
      <c r="A14" t="s">
        <v>266</v>
      </c>
    </row>
    <row r="15" spans="1:1" x14ac:dyDescent="0.3">
      <c r="A15" s="56" t="s">
        <v>267</v>
      </c>
    </row>
    <row r="16" spans="1:1" ht="30.75" customHeight="1" x14ac:dyDescent="0.3">
      <c r="A16" s="53" t="s">
        <v>268</v>
      </c>
    </row>
    <row r="17" spans="1:1" x14ac:dyDescent="0.3">
      <c r="A17" t="s">
        <v>269</v>
      </c>
    </row>
    <row r="18" spans="1:1" x14ac:dyDescent="0.3">
      <c r="A18" s="56" t="s">
        <v>270</v>
      </c>
    </row>
    <row r="19" spans="1:1" x14ac:dyDescent="0.3">
      <c r="A19" t="s">
        <v>271</v>
      </c>
    </row>
    <row r="20" spans="1:1" x14ac:dyDescent="0.3">
      <c r="A20" t="s">
        <v>272</v>
      </c>
    </row>
    <row r="21" spans="1:1" x14ac:dyDescent="0.3">
      <c r="A21" t="s">
        <v>273</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37929-F649-4C4B-BB0B-39A8CAD0AF00}">
  <sheetPr codeName="Planilha6"/>
  <dimension ref="A1:C14"/>
  <sheetViews>
    <sheetView workbookViewId="0">
      <selection activeCell="A6" sqref="A6:C6"/>
    </sheetView>
  </sheetViews>
  <sheetFormatPr defaultRowHeight="14.4" x14ac:dyDescent="0.3"/>
  <cols>
    <col min="2" max="2" width="10.6640625" bestFit="1" customWidth="1"/>
    <col min="3" max="3" width="52" bestFit="1" customWidth="1"/>
  </cols>
  <sheetData>
    <row r="1" spans="1:3" x14ac:dyDescent="0.3">
      <c r="A1" s="68" t="s">
        <v>246</v>
      </c>
      <c r="B1" s="68" t="s">
        <v>247</v>
      </c>
      <c r="C1" s="68" t="s">
        <v>248</v>
      </c>
    </row>
    <row r="2" spans="1:3" ht="43.2" x14ac:dyDescent="0.3">
      <c r="A2" s="65" t="s">
        <v>249</v>
      </c>
      <c r="B2" s="66">
        <v>44841</v>
      </c>
      <c r="C2" s="67" t="s">
        <v>252</v>
      </c>
    </row>
    <row r="3" spans="1:3" x14ac:dyDescent="0.3">
      <c r="A3" s="65" t="s">
        <v>253</v>
      </c>
      <c r="B3" s="66">
        <v>44915</v>
      </c>
      <c r="C3" s="65" t="s">
        <v>254</v>
      </c>
    </row>
    <row r="4" spans="1:3" ht="28.8" x14ac:dyDescent="0.3">
      <c r="A4" s="25" t="s">
        <v>280</v>
      </c>
      <c r="B4" s="72">
        <v>44999</v>
      </c>
      <c r="C4" s="73" t="s">
        <v>281</v>
      </c>
    </row>
    <row r="5" spans="1:3" x14ac:dyDescent="0.3">
      <c r="A5" s="65" t="s">
        <v>347</v>
      </c>
      <c r="B5" s="66">
        <v>45107</v>
      </c>
      <c r="C5" s="65" t="s">
        <v>348</v>
      </c>
    </row>
    <row r="6" spans="1:3" x14ac:dyDescent="0.3">
      <c r="A6" s="65"/>
      <c r="B6" s="65"/>
      <c r="C6" s="65"/>
    </row>
    <row r="7" spans="1:3" x14ac:dyDescent="0.3">
      <c r="A7" s="65"/>
      <c r="B7" s="65"/>
      <c r="C7" s="65"/>
    </row>
    <row r="8" spans="1:3" x14ac:dyDescent="0.3">
      <c r="A8" s="65"/>
      <c r="B8" s="65"/>
      <c r="C8" s="65"/>
    </row>
    <row r="9" spans="1:3" x14ac:dyDescent="0.3">
      <c r="A9" s="65"/>
      <c r="B9" s="65"/>
      <c r="C9" s="65"/>
    </row>
    <row r="10" spans="1:3" x14ac:dyDescent="0.3">
      <c r="A10" s="65"/>
      <c r="B10" s="65"/>
      <c r="C10" s="65"/>
    </row>
    <row r="11" spans="1:3" x14ac:dyDescent="0.3">
      <c r="A11" s="65"/>
      <c r="B11" s="65"/>
      <c r="C11" s="65"/>
    </row>
    <row r="12" spans="1:3" x14ac:dyDescent="0.3">
      <c r="A12" s="65"/>
      <c r="B12" s="65"/>
      <c r="C12" s="65"/>
    </row>
    <row r="13" spans="1:3" x14ac:dyDescent="0.3">
      <c r="A13" s="65"/>
      <c r="B13" s="65"/>
      <c r="C13" s="65"/>
    </row>
    <row r="14" spans="1:3" x14ac:dyDescent="0.3">
      <c r="A14" s="65"/>
      <c r="B14" s="65"/>
      <c r="C14" s="65"/>
    </row>
  </sheetData>
  <pageMargins left="0.511811024" right="0.511811024" top="0.78740157499999996" bottom="0.78740157499999996" header="0.31496062000000002" footer="0.31496062000000002"/>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45d67614-f831-4c1a-b0ce-cc8ab3613f3c" xsi:nil="true"/>
    <TaxCatchAll xmlns="767fd1fe-d491-41e7-9dcd-363a8ae85ed5" xsi:nil="true"/>
    <lcf76f155ced4ddcb4097134ff3c332f xmlns="45d67614-f831-4c1a-b0ce-cc8ab3613f3c">
      <Terms xmlns="http://schemas.microsoft.com/office/infopath/2007/PartnerControls"/>
    </lcf76f155ced4ddcb4097134ff3c332f>
    <Status xmlns="45d67614-f831-4c1a-b0ce-cc8ab3613f3c"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8D33EF0AC48BE443A3D81189F34FC699" ma:contentTypeVersion="17" ma:contentTypeDescription="Crie um novo documento." ma:contentTypeScope="" ma:versionID="497796c490e5d7bcc3b745764ae9175f">
  <xsd:schema xmlns:xsd="http://www.w3.org/2001/XMLSchema" xmlns:xs="http://www.w3.org/2001/XMLSchema" xmlns:p="http://schemas.microsoft.com/office/2006/metadata/properties" xmlns:ns1="http://schemas.microsoft.com/sharepoint/v3" xmlns:ns2="45d67614-f831-4c1a-b0ce-cc8ab3613f3c" xmlns:ns3="767fd1fe-d491-41e7-9dcd-363a8ae85ed5" targetNamespace="http://schemas.microsoft.com/office/2006/metadata/properties" ma:root="true" ma:fieldsID="ea937cf92284addf24c151a123a8bd42" ns1:_="" ns2:_="" ns3:_="">
    <xsd:import namespace="http://schemas.microsoft.com/sharepoint/v3"/>
    <xsd:import namespace="45d67614-f831-4c1a-b0ce-cc8ab3613f3c"/>
    <xsd:import namespace="767fd1fe-d491-41e7-9dcd-363a8ae85ed5"/>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_Flow_SignoffStatus" minOccurs="0"/>
                <xsd:element ref="ns3:SharedWithUsers" minOccurs="0"/>
                <xsd:element ref="ns3:SharedWithDetails" minOccurs="0"/>
                <xsd:element ref="ns2:Stat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Propriedades da Política de Conformidade Unificada" ma:hidden="true" ma:internalName="_ip_UnifiedCompliancePolicyProperties">
      <xsd:simpleType>
        <xsd:restriction base="dms:Note"/>
      </xsd:simpleType>
    </xsd:element>
    <xsd:element name="_ip_UnifiedCompliancePolicyUIAction" ma:index="11"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d67614-f831-4c1a-b0ce-cc8ab3613f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8ba655b3-91bc-415c-bde2-f58ae48cbc7c"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_Flow_SignoffStatus" ma:index="20" nillable="true" ma:displayName="Status de liberação" ma:format="Dropdown" ma:internalName="Status_x0020_de_x0020_libera_x00e7__x00e3_o">
      <xsd:simpleType>
        <xsd:restriction base="dms:Text">
          <xsd:maxLength value="255"/>
        </xsd:restriction>
      </xsd:simpleType>
    </xsd:element>
    <xsd:element name="Status" ma:index="23" nillable="true" ma:displayName="Status" ma:description="Controle de pareceres enviados sem conferência" ma:format="Dropdown" ma:internalName="Status">
      <xsd:simpleType>
        <xsd:restriction base="dms:Choice">
          <xsd:enumeration value="Não Conferido"/>
          <xsd:enumeration value="Conferido"/>
          <xsd:enumeration value="Escolha 3 "/>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7fd1fe-d491-41e7-9dcd-363a8ae85ed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e4bd4a1-8705-49ba-8628-855fe8951d25}" ma:internalName="TaxCatchAll" ma:showField="CatchAllData" ma:web="767fd1fe-d491-41e7-9dcd-363a8ae85ed5">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D7C794-F6A0-427C-AB28-5D43E386FFCF}">
  <ds:schemaRefs>
    <ds:schemaRef ds:uri="http://schemas.microsoft.com/office/2006/metadata/properties"/>
    <ds:schemaRef ds:uri="http://schemas.microsoft.com/office/infopath/2007/PartnerControls"/>
    <ds:schemaRef ds:uri="http://schemas.microsoft.com/sharepoint/v3"/>
    <ds:schemaRef ds:uri="45d67614-f831-4c1a-b0ce-cc8ab3613f3c"/>
    <ds:schemaRef ds:uri="767fd1fe-d491-41e7-9dcd-363a8ae85ed5"/>
  </ds:schemaRefs>
</ds:datastoreItem>
</file>

<file path=customXml/itemProps2.xml><?xml version="1.0" encoding="utf-8"?>
<ds:datastoreItem xmlns:ds="http://schemas.openxmlformats.org/officeDocument/2006/customXml" ds:itemID="{C49B43AD-E8D6-4CEB-8DFC-364188A68D0C}">
  <ds:schemaRefs>
    <ds:schemaRef ds:uri="http://schemas.microsoft.com/sharepoint/v3/contenttype/forms"/>
  </ds:schemaRefs>
</ds:datastoreItem>
</file>

<file path=customXml/itemProps3.xml><?xml version="1.0" encoding="utf-8"?>
<ds:datastoreItem xmlns:ds="http://schemas.openxmlformats.org/officeDocument/2006/customXml" ds:itemID="{36E23F41-7BC8-4D4C-8A4A-A4C6C03F5E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5d67614-f831-4c1a-b0ce-cc8ab3613f3c"/>
    <ds:schemaRef ds:uri="767fd1fe-d491-41e7-9dcd-363a8ae85e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158201a-9c91-4077-8c8c-35afb0b2b6e2}" enabled="1" method="Privileged" siteId="{97ce2340-9c1d-45b1-a835-7ea811b6fe9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7</vt:i4>
      </vt:variant>
      <vt:variant>
        <vt:lpstr>Intervalos Nomeados</vt:lpstr>
      </vt:variant>
      <vt:variant>
        <vt:i4>19</vt:i4>
      </vt:variant>
    </vt:vector>
  </HeadingPairs>
  <TitlesOfParts>
    <vt:vector size="26" baseType="lpstr">
      <vt:lpstr>Formulário</vt:lpstr>
      <vt:lpstr>Notas Explicativas</vt:lpstr>
      <vt:lpstr>Dados</vt:lpstr>
      <vt:lpstr>Apoio</vt:lpstr>
      <vt:lpstr>Conferencia</vt:lpstr>
      <vt:lpstr>Resp Seg Barragem</vt:lpstr>
      <vt:lpstr>ControleREV</vt:lpstr>
      <vt:lpstr>Formulário!Area_de_impressao</vt:lpstr>
      <vt:lpstr>CargaInstalada</vt:lpstr>
      <vt:lpstr>E_Máximo</vt:lpstr>
      <vt:lpstr>E_Mínimo</vt:lpstr>
      <vt:lpstr>Grupo</vt:lpstr>
      <vt:lpstr>Mensagem_Erro</vt:lpstr>
      <vt:lpstr>N_Máximo</vt:lpstr>
      <vt:lpstr>N_Mínimo</vt:lpstr>
      <vt:lpstr>Outros_Trafos_Particulares</vt:lpstr>
      <vt:lpstr>Pot_Ativa_Instalada</vt:lpstr>
      <vt:lpstr>Ramal</vt:lpstr>
      <vt:lpstr>TblDisj_1</vt:lpstr>
      <vt:lpstr>Tensão_SE_N°_2</vt:lpstr>
      <vt:lpstr>TensãoA</vt:lpstr>
      <vt:lpstr>TensãoB</vt:lpstr>
      <vt:lpstr>TipoFonte</vt:lpstr>
      <vt:lpstr>Tipos_Edificações</vt:lpstr>
      <vt:lpstr>TipoSE</vt:lpstr>
      <vt:lpstr>Formulário!Titulos_de_impressao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Kinsol Engenharia</cp:lastModifiedBy>
  <cp:lastPrinted>2023-03-20T12:24:26Z</cp:lastPrinted>
  <dcterms:created xsi:type="dcterms:W3CDTF">2006-09-16T00:00:00Z</dcterms:created>
  <dcterms:modified xsi:type="dcterms:W3CDTF">2024-01-29T21:48:54Z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31d8ac-5ed3-47a6-a906-d47f78cf87da_Enabled">
    <vt:lpwstr>true</vt:lpwstr>
  </property>
  <property fmtid="{D5CDD505-2E9C-101B-9397-08002B2CF9AE}" pid="3" name="MSIP_Label_1631d8ac-5ed3-47a6-a906-d47f78cf87da_SetDate">
    <vt:lpwstr>2022-05-31T19:59:14Z</vt:lpwstr>
  </property>
  <property fmtid="{D5CDD505-2E9C-101B-9397-08002B2CF9AE}" pid="4" name="MSIP_Label_1631d8ac-5ed3-47a6-a906-d47f78cf87da_Method">
    <vt:lpwstr>Standard</vt:lpwstr>
  </property>
  <property fmtid="{D5CDD505-2E9C-101B-9397-08002B2CF9AE}" pid="5" name="MSIP_Label_1631d8ac-5ed3-47a6-a906-d47f78cf87da_Name">
    <vt:lpwstr>Uso interno</vt:lpwstr>
  </property>
  <property fmtid="{D5CDD505-2E9C-101B-9397-08002B2CF9AE}" pid="6" name="MSIP_Label_1631d8ac-5ed3-47a6-a906-d47f78cf87da_SiteId">
    <vt:lpwstr>97ce2340-9c1d-45b1-a835-7ea811b6fe9a</vt:lpwstr>
  </property>
  <property fmtid="{D5CDD505-2E9C-101B-9397-08002B2CF9AE}" pid="7" name="MSIP_Label_1631d8ac-5ed3-47a6-a906-d47f78cf87da_ActionId">
    <vt:lpwstr>e5750626-1fcd-433d-bfef-a53f72cd9267</vt:lpwstr>
  </property>
  <property fmtid="{D5CDD505-2E9C-101B-9397-08002B2CF9AE}" pid="8" name="MSIP_Label_1631d8ac-5ed3-47a6-a906-d47f78cf87da_ContentBits">
    <vt:lpwstr>0</vt:lpwstr>
  </property>
  <property fmtid="{D5CDD505-2E9C-101B-9397-08002B2CF9AE}" pid="9" name="ContentTypeId">
    <vt:lpwstr>0x0101008D33EF0AC48BE443A3D81189F34FC699</vt:lpwstr>
  </property>
  <property fmtid="{D5CDD505-2E9C-101B-9397-08002B2CF9AE}" pid="10" name="MediaServiceImageTags">
    <vt:lpwstr/>
  </property>
</Properties>
</file>