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90050426\Desktop\"/>
    </mc:Choice>
  </mc:AlternateContent>
  <xr:revisionPtr revIDLastSave="0" documentId="13_ncr:1_{86F1E13B-D396-485D-869B-34F1B8888E4E}" xr6:coauthVersionLast="45" xr6:coauthVersionMax="45" xr10:uidLastSave="{00000000-0000-0000-0000-000000000000}"/>
  <bookViews>
    <workbookView minimized="1" xWindow="3330" yWindow="465" windowWidth="12480" windowHeight="10800" xr2:uid="{763F0AF1-2517-433D-86CE-66F7B1CA56E3}"/>
  </bookViews>
  <sheets>
    <sheet name="Perdida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H42" i="1"/>
  <c r="H43" i="1"/>
  <c r="H44" i="1"/>
  <c r="H41" i="1"/>
  <c r="G42" i="1"/>
  <c r="G43" i="1"/>
  <c r="G41" i="1"/>
  <c r="F42" i="1"/>
  <c r="F43" i="1"/>
  <c r="F41" i="1"/>
  <c r="D42" i="1"/>
  <c r="D43" i="1"/>
  <c r="D41" i="1"/>
  <c r="F27" i="1"/>
  <c r="F28" i="1"/>
  <c r="F32" i="1"/>
  <c r="D32" i="1"/>
  <c r="D28" i="1"/>
  <c r="G27" i="1"/>
  <c r="G26" i="1"/>
  <c r="G5" i="1"/>
  <c r="D44" i="1" l="1"/>
  <c r="H27" i="1"/>
  <c r="G28" i="1"/>
  <c r="K5" i="1"/>
  <c r="F11" i="1"/>
  <c r="H28" i="1" l="1"/>
  <c r="G44" i="1" s="1"/>
  <c r="F9" i="1"/>
  <c r="H11" i="1"/>
  <c r="G30" i="1" s="1"/>
  <c r="H30" i="1" l="1"/>
  <c r="F10" i="1"/>
  <c r="D30" i="1" s="1"/>
  <c r="F30" i="1" l="1"/>
  <c r="H9" i="1"/>
  <c r="H8" i="1" l="1"/>
  <c r="H5" i="1"/>
  <c r="H4" i="1"/>
  <c r="I5" i="1" l="1"/>
  <c r="H6" i="1"/>
  <c r="L5" i="1"/>
  <c r="H13" i="1"/>
  <c r="I13" i="1" l="1"/>
  <c r="I9" i="1"/>
  <c r="I10" i="1"/>
  <c r="I11" i="1"/>
  <c r="I20" i="1"/>
  <c r="I6" i="1"/>
  <c r="I8" i="1"/>
  <c r="H12" i="1"/>
  <c r="F6" i="1"/>
  <c r="G20" i="1" l="1"/>
  <c r="G13" i="1"/>
  <c r="G6" i="1"/>
  <c r="G8" i="1"/>
  <c r="G14" i="1"/>
  <c r="G11" i="1"/>
  <c r="G9" i="1"/>
  <c r="G10" i="1"/>
  <c r="F12" i="1"/>
  <c r="D31" i="1" s="1"/>
  <c r="E21" i="1"/>
  <c r="F31" i="1" l="1"/>
  <c r="D33" i="1"/>
  <c r="F33" i="1" s="1"/>
  <c r="G12" i="1"/>
  <c r="I12" i="1"/>
  <c r="F21" i="1"/>
  <c r="G21" i="1" s="1"/>
  <c r="K10" i="1"/>
  <c r="L10" i="1" s="1"/>
  <c r="F15" i="1"/>
  <c r="F16" i="1"/>
  <c r="F17" i="1"/>
  <c r="I17" i="1" s="1"/>
  <c r="F18" i="1"/>
  <c r="F19" i="1"/>
  <c r="I19" i="1" s="1"/>
  <c r="I18" i="1" l="1"/>
  <c r="I16" i="1"/>
  <c r="I15" i="1"/>
  <c r="H14" i="1"/>
  <c r="G32" i="1" l="1"/>
  <c r="H32" i="1" s="1"/>
  <c r="G31" i="1"/>
  <c r="H31" i="1" s="1"/>
  <c r="I14" i="1"/>
  <c r="H21" i="1"/>
  <c r="I21" i="1" s="1"/>
  <c r="G33" i="1" l="1"/>
  <c r="H33" i="1" s="1"/>
</calcChain>
</file>

<file path=xl/sharedStrings.xml><?xml version="1.0" encoding="utf-8"?>
<sst xmlns="http://schemas.openxmlformats.org/spreadsheetml/2006/main" count="69" uniqueCount="51">
  <si>
    <t>Conexión Ilegal</t>
  </si>
  <si>
    <t>Suministros sin contratar</t>
  </si>
  <si>
    <t xml:space="preserve">Energía Estimado (kWh/mes) </t>
  </si>
  <si>
    <t>Independización</t>
  </si>
  <si>
    <t>NS diferentes a E1-E2</t>
  </si>
  <si>
    <t>Trafos 7,6kV</t>
  </si>
  <si>
    <t>Trafos Ilegales</t>
  </si>
  <si>
    <t>Urb. Sin Contratar</t>
  </si>
  <si>
    <t>Exp. Inactivos</t>
  </si>
  <si>
    <t>Total general</t>
  </si>
  <si>
    <t>Entradas de Energia</t>
  </si>
  <si>
    <t>Ventas de Energía</t>
  </si>
  <si>
    <t>Perdidas</t>
  </si>
  <si>
    <t>SBBT</t>
  </si>
  <si>
    <t>Subnormal</t>
  </si>
  <si>
    <t>Pérdidas Administrativas</t>
  </si>
  <si>
    <t xml:space="preserve">Exp inactivos </t>
  </si>
  <si>
    <t xml:space="preserve">SBBT  </t>
  </si>
  <si>
    <t>Cantidad suministro y energia</t>
  </si>
  <si>
    <t>Bloque de perdidas de energia por segmentos AIR-E</t>
  </si>
  <si>
    <t>SEGMENTACION</t>
  </si>
  <si>
    <t>General</t>
  </si>
  <si>
    <t>1. En la tabla se agrupan (conexiones Ilegales) los segmentos con nivel de perdidas menores o iguales a 7 GWh/año.</t>
  </si>
  <si>
    <t>1. Se excluyeron los PCI con balances diferentes a alto-medio-bajo-critico en perdidas</t>
  </si>
  <si>
    <t>2. Se toman las pérdidas de los PCI con balance consistente y se extrapolan para obtener valor aproximado en pérdidas de los pci inconsistentes.</t>
  </si>
  <si>
    <t>1. Solo se incluyen los expedientes con antigüedad mayor a 365 días</t>
  </si>
  <si>
    <t>2. Se excluyeron los expedientes con tipo de obra congeneracion</t>
  </si>
  <si>
    <t>3. Se consideran solo los expedientes con estado de solicitud  “puesta en servicio” y “contratación”</t>
  </si>
  <si>
    <t>4. Se excluyen los usuarios con carga a contratar mayor a 1.000 KVA</t>
  </si>
  <si>
    <t>2.020</t>
  </si>
  <si>
    <t>Pérdidas Técnicas NI-NII</t>
  </si>
  <si>
    <t>Pérdidas Técnicas STN/NIV-NIII</t>
  </si>
  <si>
    <t>Móvil 2019</t>
  </si>
  <si>
    <t>Movil 2020</t>
  </si>
  <si>
    <t>2.019</t>
  </si>
  <si>
    <t>% participacion 2019</t>
  </si>
  <si>
    <t>% participacion 2020</t>
  </si>
  <si>
    <t>Perdidas tecnicas identificadas</t>
  </si>
  <si>
    <t>Perdidas no tecnicas identificadas</t>
  </si>
  <si>
    <t>otras perdidas</t>
  </si>
  <si>
    <t>Total</t>
  </si>
  <si>
    <t>Resumen perdidas de energia por segmentos AIR-E</t>
  </si>
  <si>
    <t>Suma</t>
  </si>
  <si>
    <t>Promedio</t>
  </si>
  <si>
    <t>Recuento</t>
  </si>
  <si>
    <t>% participacion 2021</t>
  </si>
  <si>
    <t>Participacion 2019</t>
  </si>
  <si>
    <t>participacion 2020</t>
  </si>
  <si>
    <t>Grupo de perdidas</t>
  </si>
  <si>
    <t>%</t>
  </si>
  <si>
    <t>Perdidas no identificadas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</si>
</sst>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3" fontId="0" fillId="0" borderId="0" xfId="0" applyNumberFormat="1"/>
    <xf numFmtId="3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3" fontId="0" fillId="0" borderId="0" xfId="0" applyNumberFormat="1" applyFill="1" applyAlignment="1">
      <alignment horizontal="center"/>
    </xf>
    <xf numFmtId="3" fontId="0" fillId="3" borderId="4" xfId="0" applyNumberFormat="1" applyFill="1" applyBorder="1" applyAlignment="1">
      <alignment horizontal="center" vertical="center" wrapText="1"/>
    </xf>
    <xf numFmtId="3" fontId="0" fillId="3" borderId="3" xfId="0" applyNumberFormat="1" applyFill="1" applyBorder="1" applyAlignment="1">
      <alignment horizontal="center" vertical="center" wrapText="1"/>
    </xf>
    <xf numFmtId="0" fontId="0" fillId="4" borderId="1" xfId="0" applyFill="1" applyBorder="1"/>
    <xf numFmtId="3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left" vertical="center"/>
    </xf>
    <xf numFmtId="0" fontId="1" fillId="7" borderId="0" xfId="0" applyFont="1" applyFill="1" applyBorder="1"/>
    <xf numFmtId="3" fontId="1" fillId="7" borderId="0" xfId="0" applyNumberFormat="1" applyFont="1" applyFill="1" applyBorder="1" applyAlignment="1">
      <alignment horizontal="right"/>
    </xf>
    <xf numFmtId="0" fontId="1" fillId="2" borderId="0" xfId="0" applyFont="1" applyFill="1" applyBorder="1"/>
    <xf numFmtId="3" fontId="1" fillId="2" borderId="0" xfId="0" applyNumberFormat="1" applyFont="1" applyFill="1" applyBorder="1" applyAlignment="1">
      <alignment horizontal="right"/>
    </xf>
    <xf numFmtId="0" fontId="1" fillId="8" borderId="0" xfId="0" applyFont="1" applyFill="1" applyBorder="1"/>
    <xf numFmtId="3" fontId="1" fillId="8" borderId="0" xfId="0" applyNumberFormat="1" applyFont="1" applyFill="1" applyBorder="1" applyAlignment="1">
      <alignment horizontal="right"/>
    </xf>
    <xf numFmtId="3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right"/>
    </xf>
    <xf numFmtId="0" fontId="1" fillId="6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3" fontId="0" fillId="3" borderId="2" xfId="0" applyNumberFormat="1" applyFill="1" applyBorder="1" applyAlignment="1">
      <alignment horizontal="center" vertical="center" wrapText="1"/>
    </xf>
    <xf numFmtId="10" fontId="0" fillId="0" borderId="0" xfId="1" applyNumberFormat="1" applyFont="1"/>
    <xf numFmtId="0" fontId="1" fillId="0" borderId="0" xfId="0" applyFont="1" applyAlignment="1">
      <alignment horizontal="center"/>
    </xf>
    <xf numFmtId="3" fontId="0" fillId="4" borderId="1" xfId="0" applyNumberFormat="1" applyFill="1" applyBorder="1" applyAlignment="1">
      <alignment horizontal="left"/>
    </xf>
    <xf numFmtId="3" fontId="0" fillId="5" borderId="1" xfId="0" applyNumberFormat="1" applyFill="1" applyBorder="1" applyAlignment="1">
      <alignment horizontal="right" vertical="center"/>
    </xf>
    <xf numFmtId="3" fontId="1" fillId="6" borderId="1" xfId="0" applyNumberFormat="1" applyFont="1" applyFill="1" applyBorder="1" applyAlignment="1">
      <alignment horizontal="left"/>
    </xf>
    <xf numFmtId="3" fontId="1" fillId="6" borderId="0" xfId="0" applyNumberFormat="1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right"/>
    </xf>
    <xf numFmtId="9" fontId="0" fillId="4" borderId="1" xfId="1" applyFont="1" applyFill="1" applyBorder="1" applyAlignment="1">
      <alignment horizontal="right"/>
    </xf>
    <xf numFmtId="9" fontId="1" fillId="2" borderId="0" xfId="1" applyFont="1" applyFill="1" applyBorder="1" applyAlignment="1">
      <alignment horizontal="right"/>
    </xf>
    <xf numFmtId="0" fontId="1" fillId="0" borderId="0" xfId="0" applyFont="1" applyAlignment="1"/>
    <xf numFmtId="9" fontId="1" fillId="6" borderId="0" xfId="0" applyNumberFormat="1" applyFont="1" applyFill="1" applyBorder="1" applyAlignment="1">
      <alignment horizontal="center" vertical="center"/>
    </xf>
    <xf numFmtId="9" fontId="0" fillId="4" borderId="1" xfId="1" applyNumberFormat="1" applyFont="1" applyFill="1" applyBorder="1" applyAlignment="1">
      <alignment horizontal="right"/>
    </xf>
    <xf numFmtId="9" fontId="0" fillId="5" borderId="1" xfId="1" applyFont="1" applyFill="1" applyBorder="1" applyAlignment="1">
      <alignment horizontal="right"/>
    </xf>
    <xf numFmtId="10" fontId="0" fillId="5" borderId="1" xfId="1" applyNumberFormat="1" applyFont="1" applyFill="1" applyBorder="1" applyAlignment="1">
      <alignment horizontal="right"/>
    </xf>
    <xf numFmtId="9" fontId="0" fillId="4" borderId="1" xfId="1" applyFont="1" applyFill="1" applyBorder="1"/>
    <xf numFmtId="3" fontId="0" fillId="5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right" vertical="center"/>
    </xf>
    <xf numFmtId="9" fontId="0" fillId="0" borderId="1" xfId="1" applyFont="1" applyFill="1" applyBorder="1" applyAlignment="1">
      <alignment horizontal="right"/>
    </xf>
    <xf numFmtId="0" fontId="0" fillId="0" borderId="1" xfId="0" applyFill="1" applyBorder="1"/>
    <xf numFmtId="9" fontId="1" fillId="6" borderId="1" xfId="1" applyFont="1" applyFill="1" applyBorder="1" applyAlignment="1">
      <alignment horizontal="right"/>
    </xf>
    <xf numFmtId="0" fontId="0" fillId="0" borderId="0" xfId="0" applyFill="1" applyBorder="1"/>
    <xf numFmtId="3" fontId="0" fillId="0" borderId="0" xfId="0" applyNumberForma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6" borderId="1" xfId="0" applyFill="1" applyBorder="1"/>
    <xf numFmtId="3" fontId="0" fillId="6" borderId="1" xfId="0" applyNumberFormat="1" applyFill="1" applyBorder="1" applyAlignment="1">
      <alignment horizontal="right"/>
    </xf>
    <xf numFmtId="9" fontId="0" fillId="6" borderId="1" xfId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0" fontId="0" fillId="6" borderId="1" xfId="0" applyFont="1" applyFill="1" applyBorder="1"/>
    <xf numFmtId="3" fontId="0" fillId="6" borderId="1" xfId="0" applyNumberFormat="1" applyFont="1" applyFill="1" applyBorder="1" applyAlignment="1">
      <alignment horizontal="right"/>
    </xf>
    <xf numFmtId="9" fontId="0" fillId="6" borderId="1" xfId="1" applyNumberFormat="1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19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numFmt numFmtId="3" formatCode="#,##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Perdidas!$E$40</c:f>
              <c:strCache>
                <c:ptCount val="1"/>
              </c:strCache>
            </c:strRef>
          </c:tx>
          <c:cat>
            <c:strRef>
              <c:extLst>
                <c:ext xmlns:c15="http://schemas.microsoft.com/office/drawing/2012/chart" uri="{02D57815-91ED-43cb-92C2-25804820EDAC}">
                  <c15:fullRef>
                    <c15:sqref>Perdidas!$C$41:$C$44</c15:sqref>
                  </c15:fullRef>
                </c:ext>
              </c:extLst>
              <c:f>Perdidas!$C$41:$C$43</c:f>
              <c:strCache>
                <c:ptCount val="3"/>
                <c:pt idx="0">
                  <c:v>Perdidas tecnicas identificadas</c:v>
                </c:pt>
                <c:pt idx="1">
                  <c:v>Perdidas no tecnicas identificadas</c:v>
                </c:pt>
                <c:pt idx="2">
                  <c:v>otras perdidas</c:v>
                </c:pt>
                <c:pt idx="3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Perdidas!$E$41:$E$44</c15:sqref>
                  </c15:fullRef>
                </c:ext>
              </c:extLst>
              <c:f>Perdidas!$E$41:$E$43</c:f>
            </c:numRef>
          </c:val>
          <c:extLst>
            <c:ext xmlns:c16="http://schemas.microsoft.com/office/drawing/2014/chart" uri="{C3380CC4-5D6E-409C-BE32-E72D297353CC}">
              <c16:uniqueId val="{00000001-44BB-4AB1-B353-D8393A16B1FD}"/>
            </c:ext>
          </c:extLst>
        </c:ser>
        <c:ser>
          <c:idx val="3"/>
          <c:order val="3"/>
          <c:tx>
            <c:strRef>
              <c:f>Perdidas!$G$40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Perdidas!$C$41:$C$44</c15:sqref>
                  </c15:fullRef>
                </c:ext>
              </c:extLst>
              <c:f>Perdidas!$C$41:$C$43</c:f>
              <c:strCache>
                <c:ptCount val="3"/>
                <c:pt idx="0">
                  <c:v>Perdidas tecnicas identificadas</c:v>
                </c:pt>
                <c:pt idx="1">
                  <c:v>Perdidas no tecnicas identificadas</c:v>
                </c:pt>
                <c:pt idx="2">
                  <c:v>otras perdidas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Perdidas!$G$41:$G$44</c15:sqref>
                  </c15:fullRef>
                </c:ext>
              </c:extLst>
              <c:f>Perdidas!$G$41:$G$43</c:f>
              <c:numCache>
                <c:formatCode>#,##0</c:formatCode>
                <c:ptCount val="3"/>
                <c:pt idx="0">
                  <c:v>561413271.14680338</c:v>
                </c:pt>
                <c:pt idx="1">
                  <c:v>1104157266.3989611</c:v>
                </c:pt>
                <c:pt idx="2">
                  <c:v>1218716357.1352563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44BB-4AB1-B353-D8393A16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Perdidas!$D$40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 w="3175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</a:ln>
                          <a:solidFill>
                            <a:schemeClr val="tx1">
                              <a:lumMod val="75000"/>
                              <a:lumOff val="25000"/>
                              <a:alpha val="84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Perdidas!$C$41:$C$44</c15:sqref>
                        </c15:fullRef>
                        <c15:formulaRef>
                          <c15:sqref>Perdidas!$C$41:$C$43</c15:sqref>
                        </c15:formulaRef>
                      </c:ext>
                    </c:extLst>
                    <c:strCache>
                      <c:ptCount val="3"/>
                      <c:pt idx="0">
                        <c:v>Perdidas tecnicas identificadas</c:v>
                      </c:pt>
                      <c:pt idx="1">
                        <c:v>Perdidas no tecnicas identificadas</c:v>
                      </c:pt>
                      <c:pt idx="2">
                        <c:v>otras perdidas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Perdidas!$D$41:$D$44</c15:sqref>
                        </c15:fullRef>
                        <c15:formulaRef>
                          <c15:sqref>Perdidas!$D$41:$D$43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561413271.14680338</c:v>
                      </c:pt>
                      <c:pt idx="1">
                        <c:v>1082856877.6861601</c:v>
                      </c:pt>
                      <c:pt idx="2">
                        <c:v>829128851.16703653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44BB-4AB1-B353-D8393A16B1F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Perdidas!$F$40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Perdidas!$C$41:$C$44</c15:sqref>
                        </c15:fullRef>
                        <c15:formulaRef>
                          <c15:sqref>Perdidas!$C$41:$C$43</c15:sqref>
                        </c15:formulaRef>
                      </c:ext>
                    </c:extLst>
                    <c:strCache>
                      <c:ptCount val="3"/>
                      <c:pt idx="0">
                        <c:v>Perdidas tecnicas identificadas</c:v>
                      </c:pt>
                      <c:pt idx="1">
                        <c:v>Perdidas no tecnicas identificadas</c:v>
                      </c:pt>
                      <c:pt idx="2">
                        <c:v>otras perdidas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Perdidas!$F$41:$F$44</c15:sqref>
                        </c15:fullRef>
                        <c15:formulaRef>
                          <c15:sqref>Perdidas!$F$41:$F$43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0.22698047146732225</c:v>
                      </c:pt>
                      <c:pt idx="1">
                        <c:v>0.43780113022046185</c:v>
                      </c:pt>
                      <c:pt idx="2">
                        <c:v>0.33521839831221589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44BB-4AB1-B353-D8393A16B1FD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Perdidas!$H$40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Perdidas!$C$41:$C$44</c15:sqref>
                        </c15:fullRef>
                        <c15:formulaRef>
                          <c15:sqref>Perdidas!$C$41:$C$43</c15:sqref>
                        </c15:formulaRef>
                      </c:ext>
                    </c:extLst>
                    <c:strCache>
                      <c:ptCount val="3"/>
                      <c:pt idx="0">
                        <c:v>Perdidas tecnicas identificadas</c:v>
                      </c:pt>
                      <c:pt idx="1">
                        <c:v>Perdidas no tecnicas identificadas</c:v>
                      </c:pt>
                      <c:pt idx="2">
                        <c:v>otras perdidas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Perdidas!$H$41:$H$44</c15:sqref>
                        </c15:fullRef>
                        <c15:formulaRef>
                          <c15:sqref>Perdidas!$H$41:$H$43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0.19464543287358771</c:v>
                      </c:pt>
                      <c:pt idx="1">
                        <c:v>0.3828181130092026</c:v>
                      </c:pt>
                      <c:pt idx="2">
                        <c:v>0.42253645411720969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44BB-4AB1-B353-D8393A16B1F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628649</xdr:colOff>
      <xdr:row>33</xdr:row>
      <xdr:rowOff>152400</xdr:rowOff>
    </xdr:from>
    <xdr:to>
      <xdr:col>19</xdr:col>
      <xdr:colOff>76199</xdr:colOff>
      <xdr:row>53</xdr:row>
      <xdr:rowOff>4762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E3B8D8-D847-4036-BF7D-1CDA1385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923724/AppData/Local/Microsoft/Windows/INetCache/Content.Outlook/S4KEA9PT/Balance%20de%20Red%20Oct2020_META%202020_v04%20_Nov15%20Teams%20(Jeffer.Rodriguez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923724/AppData/Local/Microsoft/Windows/INetCache/Content.Outlook/S4KEA9PT/ReporteTrafo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923724/AppData/Local/Microsoft/Windows/INetCache/Content.Outlook/S4KEA9PT/BALANCE%20SBBT%20OCTUBRE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923724/AppData/Local/Microsoft/Windows/INetCache/Content.Outlook/S4KEA9PT/PErdidas%20T&#233;cnicas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44923724/AppData/Local/Microsoft/Windows/INetCache/Content.Outlook/S4KEA9PT/RESUMEN%20PERDIDAS%20TECNICAS%202020%20POR%20TERRITORIO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ARIBE 2017"/>
      <sheetName val="Anualizado"/>
      <sheetName val="CARIBEMAR"/>
      <sheetName val="ELECTRICARIBE"/>
      <sheetName val="ELECTRICARIBE FINAL"/>
      <sheetName val="ATLÁNTICO"/>
      <sheetName val="ORIENTE"/>
      <sheetName val="BOLÍVAR"/>
      <sheetName val="OCCIDENTE"/>
      <sheetName val="E_Air-e"/>
      <sheetName val="CARIBESOL"/>
      <sheetName val="Air-e"/>
      <sheetName val="ATLÁNTICO NORTE"/>
      <sheetName val="ATLÁNTICO SUR"/>
      <sheetName val="MAGDALENA"/>
      <sheetName val="GUAJIRA"/>
      <sheetName val="CESAR"/>
      <sheetName val="BOLÍVAR NORTE"/>
      <sheetName val="BOLÍVAR SUR"/>
      <sheetName val="SUCRE"/>
      <sheetName val="CÓRDOBA NORTE"/>
      <sheetName val="CÓRDOBA S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BV3">
            <v>728925006.31919992</v>
          </cell>
          <cell r="BW3">
            <v>692631608.88259995</v>
          </cell>
          <cell r="BX3">
            <v>715341117.91300023</v>
          </cell>
          <cell r="BY3">
            <v>693448116.34169996</v>
          </cell>
          <cell r="BZ3">
            <v>757397616.67900014</v>
          </cell>
          <cell r="CA3">
            <v>740018560.17920017</v>
          </cell>
          <cell r="CB3">
            <v>755604084.60650003</v>
          </cell>
          <cell r="CC3">
            <v>763645794.79379988</v>
          </cell>
          <cell r="CD3">
            <v>736565662.78439999</v>
          </cell>
          <cell r="CE3">
            <v>767580667.92589986</v>
          </cell>
          <cell r="CF3">
            <v>763367921.26021302</v>
          </cell>
          <cell r="CG3">
            <v>788112811.31672478</v>
          </cell>
        </row>
        <row r="54">
          <cell r="BV54">
            <v>531984766.27719998</v>
          </cell>
          <cell r="BW54">
            <v>493449045.88569999</v>
          </cell>
          <cell r="BX54">
            <v>497000321.0248</v>
          </cell>
          <cell r="BY54">
            <v>471366202.7683</v>
          </cell>
          <cell r="BZ54">
            <v>477075422.06269997</v>
          </cell>
          <cell r="CA54">
            <v>482099514.35230005</v>
          </cell>
          <cell r="CB54">
            <v>495141124.43180001</v>
          </cell>
          <cell r="CC54">
            <v>530102487.94949996</v>
          </cell>
          <cell r="CD54">
            <v>479682068.49519998</v>
          </cell>
          <cell r="CE54">
            <v>513225660.49259996</v>
          </cell>
          <cell r="CF54">
            <v>522269826.06521702</v>
          </cell>
          <cell r="CG54">
            <v>524955634.51589906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porteTrafo"/>
    </sheetNames>
    <sheetDataSet>
      <sheetData sheetId="0" refreshError="1">
        <row r="20">
          <cell r="I20">
            <v>957068483.52616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porteTrafo (10)"/>
    </sheetNames>
    <sheetDataSet>
      <sheetData sheetId="0" refreshError="1">
        <row r="20">
          <cell r="I20">
            <v>977173240.23896098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"/>
      <sheetName val="Hoja1"/>
      <sheetName val="Resumen"/>
      <sheetName val="TD Circuitos"/>
      <sheetName val="TABLA"/>
      <sheetName val="Circuitos Nivel II  "/>
      <sheetName val="Líneas AT "/>
      <sheetName val="Trafos Bidevanados "/>
      <sheetName val="Tridevanados"/>
      <sheetName val="Trafos STN "/>
      <sheetName val="Proyectos SDL"/>
      <sheetName val="Proyectos STR"/>
      <sheetName val="Delta pérdidas "/>
      <sheetName val="Hoja2"/>
      <sheetName val="Demanda por nivel de tensión 19"/>
    </sheetNames>
    <sheetDataSet>
      <sheetData sheetId="0" refreshError="1"/>
      <sheetData sheetId="1" refreshError="1"/>
      <sheetData sheetId="2" refreshError="1">
        <row r="18">
          <cell r="K18">
            <v>71.993245192500055</v>
          </cell>
        </row>
        <row r="19">
          <cell r="K19">
            <v>67.176162519769946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4">
          <cell r="T4">
            <v>422243863.43453336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A8A5E-E5D8-45B0-A3DC-27CCBCF7398C}" name="Tabla1" displayName="Tabla1" ref="C3:I21" totalsRowShown="0" headerRowDxfId="18" headerRowBorderDxfId="17" tableBorderDxfId="16" totalsRowBorderDxfId="15">
  <autoFilter ref="C3:I21" xr:uid="{07943A8B-7520-404F-9320-11260AD96B0B}"/>
  <tableColumns count="7">
    <tableColumn id="1" xr3:uid="{2657B708-5769-4148-A57F-2A887CEFB6F5}" name="Cantidad suministro y energia" dataDxfId="14"/>
    <tableColumn id="2" xr3:uid="{4E13443E-5CAE-4AD8-9720-A4A6A7FF50F7}" name="Suministros sin contratar" dataDxfId="13"/>
    <tableColumn id="3" xr3:uid="{9C56EF58-B7F8-4378-830E-41C3EA7A87D6}" name="Energía Estimado (kWh/mes) " dataDxfId="12"/>
    <tableColumn id="4" xr3:uid="{A0521E2C-838D-4467-A921-87B41B8DAFBD}" name="2.019" dataDxfId="11"/>
    <tableColumn id="6" xr3:uid="{0F61C4B5-4513-47CC-9FAA-34A3DFB8A0E5}" name="% participacion 2019" dataDxfId="10">
      <calculatedColumnFormula>Tabla1[[#This Row],[2.019]]/F2</calculatedColumnFormula>
    </tableColumn>
    <tableColumn id="5" xr3:uid="{ECCE72B3-14F1-4D11-A9E2-031A2C231F65}" name="2.020"/>
    <tableColumn id="7" xr3:uid="{C46F6BD7-8BB6-4D3A-A2A1-5D20AFEEAA73}" name="% participacion 2020" dataDxfId="9">
      <calculatedColumnFormula>Tabla1[[#This Row],[2.019]]/$H$6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F4FC77-D771-4943-A747-188BC3140ED6}" name="Tabla14" displayName="Tabla14" ref="C25:H33" totalsRowShown="0" headerRowDxfId="8" headerRowBorderDxfId="6" tableBorderDxfId="7" totalsRowBorderDxfId="5">
  <autoFilter ref="C25:H33" xr:uid="{1F2366AD-5EC5-4D28-879A-C6F69DFC7C1C}"/>
  <tableColumns count="6">
    <tableColumn id="1" xr3:uid="{0E772ADC-9698-4C10-94A6-D1999DC16A93}" name="Cantidad suministro y energia" dataDxfId="4"/>
    <tableColumn id="4" xr3:uid="{DB653546-9776-4F15-96D0-4DAE94096FCB}" name="2.019" dataDxfId="3"/>
    <tableColumn id="6" xr3:uid="{B0E16C68-9B67-4F55-88B6-39C9F964B4D3}" name="% participacion 2019" dataDxfId="2">
      <calculatedColumnFormula>Tabla14[[#This Row],[2.019]]/F24</calculatedColumnFormula>
    </tableColumn>
    <tableColumn id="8" xr3:uid="{3ED016D5-46F7-4658-A761-76458EEF3041}" name="Participacion 2019" dataDxfId="1" dataCellStyle="Porcentaje">
      <calculatedColumnFormula>Tabla14[[#This Row],[2.019]]/D24</calculatedColumnFormula>
    </tableColumn>
    <tableColumn id="5" xr3:uid="{1AEB18FE-8CBE-420B-8E0A-48428C7C2C61}" name="2.020"/>
    <tableColumn id="7" xr3:uid="{3A331127-C163-41FA-8B9C-C69178AAB5C4}" name="participacion 2020" dataDxfId="0">
      <calculatedColumnFormula>Tabla14[[#This Row],[2.020]]/G24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644C7-3C16-4E8A-90FE-D3C8061D3993}">
  <dimension ref="B2:N62"/>
  <sheetViews>
    <sheetView tabSelected="1" workbookViewId="0">
      <selection activeCell="L13" sqref="L13"/>
    </sheetView>
  </sheetViews>
  <sheetFormatPr baseColWidth="10" defaultRowHeight="15" outlineLevelRow="1" x14ac:dyDescent="0.25"/>
  <cols>
    <col min="3" max="3" width="31.140625" customWidth="1"/>
    <col min="4" max="4" width="18" customWidth="1"/>
    <col min="5" max="5" width="29.28515625" hidden="1" customWidth="1"/>
    <col min="6" max="6" width="13.7109375" customWidth="1"/>
    <col min="7" max="7" width="14.28515625" customWidth="1"/>
    <col min="8" max="8" width="14.85546875" customWidth="1"/>
    <col min="9" max="9" width="13" customWidth="1"/>
    <col min="11" max="11" width="12.7109375" bestFit="1" customWidth="1"/>
  </cols>
  <sheetData>
    <row r="2" spans="3:14" x14ac:dyDescent="0.25">
      <c r="C2" s="25" t="s">
        <v>19</v>
      </c>
      <c r="D2" s="25"/>
      <c r="E2" s="25"/>
      <c r="F2" s="25"/>
      <c r="G2" s="25"/>
      <c r="H2" s="25"/>
      <c r="I2" s="25"/>
    </row>
    <row r="3" spans="3:14" ht="40.5" customHeight="1" x14ac:dyDescent="0.25">
      <c r="C3" s="5" t="s">
        <v>18</v>
      </c>
      <c r="D3" s="5" t="s">
        <v>1</v>
      </c>
      <c r="E3" s="5" t="s">
        <v>2</v>
      </c>
      <c r="F3" s="6" t="s">
        <v>34</v>
      </c>
      <c r="G3" s="6" t="s">
        <v>35</v>
      </c>
      <c r="H3" s="23" t="s">
        <v>29</v>
      </c>
      <c r="I3" s="23" t="s">
        <v>36</v>
      </c>
    </row>
    <row r="4" spans="3:14" x14ac:dyDescent="0.25">
      <c r="C4" s="11" t="s">
        <v>10</v>
      </c>
      <c r="D4" s="11"/>
      <c r="E4" s="11"/>
      <c r="F4" s="12">
        <v>8687209000</v>
      </c>
      <c r="G4" s="12"/>
      <c r="H4" s="12">
        <f>+SUM('[1]Air-e'!$BV$3:$CG$3)</f>
        <v>8902638969.0022373</v>
      </c>
      <c r="I4" s="12"/>
      <c r="K4" t="s">
        <v>32</v>
      </c>
      <c r="L4" t="s">
        <v>33</v>
      </c>
    </row>
    <row r="5" spans="3:14" x14ac:dyDescent="0.25">
      <c r="C5" s="13" t="s">
        <v>11</v>
      </c>
      <c r="D5" s="13"/>
      <c r="E5" s="13"/>
      <c r="F5" s="14">
        <v>6213810000</v>
      </c>
      <c r="G5" s="32">
        <f>Tabla1[[#This Row],[2.019]]/F4</f>
        <v>0.71528266443227051</v>
      </c>
      <c r="H5" s="14">
        <f>+SUM('[1]Air-e'!$BV$54:$CG$54)</f>
        <v>6018352074.3212166</v>
      </c>
      <c r="I5" s="32">
        <f>Tabla1[[#This Row],[2.020]]/H4</f>
        <v>0.67601888555475398</v>
      </c>
      <c r="K5" s="24">
        <f>1-F5/F4</f>
        <v>0.28471733556772949</v>
      </c>
      <c r="L5" s="24">
        <f>1-H5/H4</f>
        <v>0.32398111444524602</v>
      </c>
    </row>
    <row r="6" spans="3:14" x14ac:dyDescent="0.25">
      <c r="C6" s="15" t="s">
        <v>12</v>
      </c>
      <c r="D6" s="15"/>
      <c r="E6" s="15"/>
      <c r="F6" s="16">
        <f>+F4-F5</f>
        <v>2473399000</v>
      </c>
      <c r="G6" s="30">
        <f>Tabla1[[#This Row],[2.019]]/F4</f>
        <v>0.28471733556772955</v>
      </c>
      <c r="H6" s="16">
        <f>+H4-H5</f>
        <v>2884286894.6810207</v>
      </c>
      <c r="I6" s="30">
        <f>Tabla1[[#This Row],[2.020]]/H4</f>
        <v>0.32398111444524602</v>
      </c>
    </row>
    <row r="7" spans="3:14" x14ac:dyDescent="0.25">
      <c r="C7" s="19" t="s">
        <v>20</v>
      </c>
      <c r="D7" s="20"/>
      <c r="E7" s="20"/>
      <c r="F7" s="20"/>
      <c r="G7" s="29"/>
      <c r="H7" s="20"/>
      <c r="I7" s="34"/>
    </row>
    <row r="8" spans="3:14" ht="15" customHeight="1" x14ac:dyDescent="0.25">
      <c r="C8" s="7" t="s">
        <v>15</v>
      </c>
      <c r="D8" s="7"/>
      <c r="E8" s="8">
        <v>3011000</v>
      </c>
      <c r="F8" s="8">
        <v>36132000</v>
      </c>
      <c r="G8" s="31">
        <f>Tabla1[[#This Row],[2.019]]/$F$6</f>
        <v>1.4608237490190624E-2</v>
      </c>
      <c r="H8" s="8">
        <f>+E8*12</f>
        <v>36132000</v>
      </c>
      <c r="I8" s="31">
        <f>Tabla1[[#This Row],[2.019]]/$H$6</f>
        <v>1.2527186552291953E-2</v>
      </c>
      <c r="M8" s="2"/>
      <c r="N8" s="2"/>
    </row>
    <row r="9" spans="3:14" ht="15" customHeight="1" x14ac:dyDescent="0.25">
      <c r="C9" s="7" t="s">
        <v>13</v>
      </c>
      <c r="D9" s="7"/>
      <c r="E9" s="8">
        <v>73277994</v>
      </c>
      <c r="F9" s="8">
        <f>+[2]Hoja1!$I$20</f>
        <v>957068483.52616</v>
      </c>
      <c r="G9" s="31">
        <f>Tabla1[[#This Row],[2.019]]/$F$6</f>
        <v>0.38694463914886357</v>
      </c>
      <c r="H9" s="8">
        <f>+[3]Hoja1!$I$20</f>
        <v>977173240.23896098</v>
      </c>
      <c r="I9" s="31">
        <f>Tabla1[[#This Row],[2.019]]/$H$6</f>
        <v>0.33182152763343753</v>
      </c>
      <c r="M9" s="2"/>
      <c r="N9" s="2"/>
    </row>
    <row r="10" spans="3:14" ht="15" customHeight="1" x14ac:dyDescent="0.25">
      <c r="C10" s="7" t="s">
        <v>31</v>
      </c>
      <c r="D10" s="7"/>
      <c r="E10" s="8">
        <v>27725000</v>
      </c>
      <c r="F10" s="8">
        <f>+([4]Resumen!$K$18+[4]Resumen!$K$19)*1000000</f>
        <v>139169407.71227002</v>
      </c>
      <c r="G10" s="31">
        <f>Tabla1[[#This Row],[2.019]]/$F$6</f>
        <v>5.6266460733698856E-2</v>
      </c>
      <c r="H10" s="8">
        <v>139169407.71227002</v>
      </c>
      <c r="I10" s="31">
        <f>Tabla1[[#This Row],[2.019]]/$H$6</f>
        <v>4.8250889316494662E-2</v>
      </c>
      <c r="K10" s="1">
        <f>SUM(F8:F14)</f>
        <v>1644270148.8329635</v>
      </c>
      <c r="L10" s="1">
        <f>F6-K10</f>
        <v>829128851.16703653</v>
      </c>
      <c r="M10" s="2"/>
      <c r="N10" s="2"/>
    </row>
    <row r="11" spans="3:14" x14ac:dyDescent="0.25">
      <c r="C11" s="7" t="s">
        <v>30</v>
      </c>
      <c r="D11" s="7"/>
      <c r="E11" s="8">
        <v>48801430.019377775</v>
      </c>
      <c r="F11" s="8">
        <f>+[5]Hoja1!$T$4</f>
        <v>422243863.43453336</v>
      </c>
      <c r="G11" s="31">
        <f>Tabla1[[#This Row],[2.019]]/$F$6</f>
        <v>0.17071401073362338</v>
      </c>
      <c r="H11" s="8">
        <f>+[5]Hoja1!$T$4</f>
        <v>422243863.43453336</v>
      </c>
      <c r="I11" s="31">
        <f>Tabla1[[#This Row],[2.019]]/$H$6</f>
        <v>0.14639454355709305</v>
      </c>
      <c r="J11" s="1"/>
      <c r="M11" s="3"/>
      <c r="N11" s="3"/>
    </row>
    <row r="12" spans="3:14" x14ac:dyDescent="0.25">
      <c r="C12" s="7" t="s">
        <v>14</v>
      </c>
      <c r="D12" s="7"/>
      <c r="E12" s="8">
        <v>1444000</v>
      </c>
      <c r="F12" s="8">
        <f>+Tabla1[[#This Row],[2.020]]*(1-0.069)</f>
        <v>16132368</v>
      </c>
      <c r="G12" s="31">
        <f>Tabla1[[#This Row],[2.019]]/$F$6</f>
        <v>6.5223475872675614E-3</v>
      </c>
      <c r="H12" s="8">
        <f>+E12*12</f>
        <v>17328000</v>
      </c>
      <c r="I12" s="31">
        <f>Tabla1[[#This Row],[2.019]]/$H$6</f>
        <v>5.5931911730937962E-3</v>
      </c>
      <c r="J12" s="1"/>
      <c r="M12" s="3"/>
      <c r="N12" s="3"/>
    </row>
    <row r="13" spans="3:14" x14ac:dyDescent="0.25">
      <c r="C13" s="26" t="s">
        <v>8</v>
      </c>
      <c r="D13" s="9">
        <v>19</v>
      </c>
      <c r="E13" s="8">
        <v>5042433.6000000006</v>
      </c>
      <c r="F13" s="8">
        <v>60509203.200000003</v>
      </c>
      <c r="G13" s="31">
        <f>Tabla1[[#This Row],[2.019]]/$F$6</f>
        <v>2.4463987896817297E-2</v>
      </c>
      <c r="H13" s="8">
        <f>+E13*12</f>
        <v>60509203.200000003</v>
      </c>
      <c r="I13" s="31">
        <f>Tabla1[[#This Row],[2.019]]/$H$6</f>
        <v>2.0978912781383297E-2</v>
      </c>
      <c r="J13" s="1"/>
      <c r="M13" s="3"/>
      <c r="N13" s="3"/>
    </row>
    <row r="14" spans="3:14" x14ac:dyDescent="0.25">
      <c r="C14" s="10" t="s">
        <v>0</v>
      </c>
      <c r="D14" s="39"/>
      <c r="E14" s="10"/>
      <c r="F14" s="27">
        <v>13014822.959999923</v>
      </c>
      <c r="G14" s="36">
        <f>Tabla1[[#This Row],[2.019]]/$F$6</f>
        <v>5.2619180973227219E-3</v>
      </c>
      <c r="H14" s="27">
        <f>SUM(F15:F19)</f>
        <v>13014822.959999923</v>
      </c>
      <c r="I14" s="37">
        <f>Tabla1[[#This Row],[2.020]]/H6</f>
        <v>4.5123191399582523E-3</v>
      </c>
      <c r="J14" s="1"/>
      <c r="M14" s="4"/>
      <c r="N14" s="4"/>
    </row>
    <row r="15" spans="3:14" hidden="1" outlineLevel="1" x14ac:dyDescent="0.25">
      <c r="C15" s="40" t="s">
        <v>3</v>
      </c>
      <c r="D15" s="41">
        <v>1562</v>
      </c>
      <c r="E15" s="40">
        <v>575006.18999999412</v>
      </c>
      <c r="F15" s="42">
        <f>+E15*12</f>
        <v>6900074.2799999295</v>
      </c>
      <c r="G15" s="43"/>
      <c r="H15" s="44"/>
      <c r="I15" s="43">
        <f>Tabla1[[#This Row],[2.019]]/$H$6</f>
        <v>2.3922981769686344E-3</v>
      </c>
      <c r="J15" s="1"/>
      <c r="M15" s="4"/>
      <c r="N15" s="4"/>
    </row>
    <row r="16" spans="3:14" hidden="1" outlineLevel="1" x14ac:dyDescent="0.25">
      <c r="C16" s="40" t="s">
        <v>4</v>
      </c>
      <c r="D16" s="41">
        <v>324</v>
      </c>
      <c r="E16" s="40">
        <v>268692.39999999991</v>
      </c>
      <c r="F16" s="42">
        <f>+E16*12</f>
        <v>3224308.7999999989</v>
      </c>
      <c r="G16" s="43"/>
      <c r="H16" s="44"/>
      <c r="I16" s="43">
        <f>Tabla1[[#This Row],[2.019]]/$H$6</f>
        <v>1.1178876851488041E-3</v>
      </c>
      <c r="J16" s="1"/>
      <c r="M16" s="4"/>
      <c r="N16" s="4"/>
    </row>
    <row r="17" spans="3:14" hidden="1" outlineLevel="1" x14ac:dyDescent="0.25">
      <c r="C17" s="40" t="s">
        <v>5</v>
      </c>
      <c r="D17" s="41">
        <v>9</v>
      </c>
      <c r="E17" s="40">
        <v>4315.99</v>
      </c>
      <c r="F17" s="42">
        <f>+E17*12</f>
        <v>51791.88</v>
      </c>
      <c r="G17" s="43"/>
      <c r="H17" s="44"/>
      <c r="I17" s="43">
        <f>Tabla1[[#This Row],[2.019]]/$H$6</f>
        <v>1.7956563230762718E-5</v>
      </c>
      <c r="J17" s="1"/>
      <c r="M17" s="4"/>
      <c r="N17" s="4"/>
    </row>
    <row r="18" spans="3:14" hidden="1" outlineLevel="1" x14ac:dyDescent="0.25">
      <c r="C18" s="40" t="s">
        <v>6</v>
      </c>
      <c r="D18" s="41">
        <v>393</v>
      </c>
      <c r="E18" s="40">
        <v>232074.61999999944</v>
      </c>
      <c r="F18" s="42">
        <f>+E18*12</f>
        <v>2784895.4399999934</v>
      </c>
      <c r="G18" s="43"/>
      <c r="H18" s="44"/>
      <c r="I18" s="43">
        <f>Tabla1[[#This Row],[2.019]]/$H$6</f>
        <v>9.6554037156833554E-4</v>
      </c>
      <c r="J18" s="1"/>
      <c r="M18" s="4"/>
      <c r="N18" s="4"/>
    </row>
    <row r="19" spans="3:14" hidden="1" outlineLevel="1" x14ac:dyDescent="0.25">
      <c r="C19" s="40" t="s">
        <v>7</v>
      </c>
      <c r="D19" s="41">
        <v>19</v>
      </c>
      <c r="E19" s="40">
        <v>4479.3799999999992</v>
      </c>
      <c r="F19" s="42">
        <f>+E19*12</f>
        <v>53752.55999999999</v>
      </c>
      <c r="G19" s="43"/>
      <c r="H19" s="44"/>
      <c r="I19" s="43">
        <f>Tabla1[[#This Row],[2.019]]/$H$6</f>
        <v>1.863634304171555E-5</v>
      </c>
      <c r="J19" s="1"/>
      <c r="M19" s="4"/>
      <c r="N19" s="4"/>
    </row>
    <row r="20" spans="3:14" outlineLevel="1" x14ac:dyDescent="0.25">
      <c r="C20" s="26" t="s">
        <v>50</v>
      </c>
      <c r="D20" s="7"/>
      <c r="E20" s="7"/>
      <c r="F20" s="8">
        <v>829128851.16703653</v>
      </c>
      <c r="G20" s="38">
        <f>Tabla1[[#This Row],[2.019]]/F6</f>
        <v>0.33521839831221589</v>
      </c>
      <c r="H20" s="8">
        <v>1218716357.1352563</v>
      </c>
      <c r="I20" s="35">
        <f>Tabla1[[#This Row],[2.020]]/H6</f>
        <v>0.42253645411720969</v>
      </c>
      <c r="J20" s="1"/>
      <c r="M20" s="4"/>
      <c r="N20" s="4"/>
    </row>
    <row r="21" spans="3:14" x14ac:dyDescent="0.25">
      <c r="C21" s="28" t="s">
        <v>9</v>
      </c>
      <c r="D21" s="17">
        <v>2326</v>
      </c>
      <c r="E21" s="18">
        <f>SUM(E10:E19)</f>
        <v>84097432.19937776</v>
      </c>
      <c r="F21" s="18">
        <f>+F8+F9+F10+F11+F12+F13+F14+F20</f>
        <v>2473399000</v>
      </c>
      <c r="G21" s="45">
        <f>Tabla1[[#This Row],[2.019]]/F6</f>
        <v>1</v>
      </c>
      <c r="H21" s="18">
        <f>SUM(H8:H20)</f>
        <v>2884286894.6810207</v>
      </c>
      <c r="I21" s="45">
        <f>Tabla1[[#This Row],[2.020]]/H6</f>
        <v>1</v>
      </c>
      <c r="J21" s="1"/>
      <c r="M21" s="3"/>
      <c r="N21" s="3"/>
    </row>
    <row r="24" spans="3:14" x14ac:dyDescent="0.25">
      <c r="C24" s="25" t="s">
        <v>41</v>
      </c>
      <c r="D24" s="25"/>
      <c r="E24" s="25"/>
      <c r="F24" s="25"/>
      <c r="G24" s="25"/>
      <c r="H24" s="33"/>
      <c r="I24" s="33"/>
    </row>
    <row r="25" spans="3:14" ht="30" x14ac:dyDescent="0.25">
      <c r="C25" s="5" t="s">
        <v>18</v>
      </c>
      <c r="D25" s="6" t="s">
        <v>34</v>
      </c>
      <c r="E25" s="6" t="s">
        <v>35</v>
      </c>
      <c r="F25" s="6" t="s">
        <v>46</v>
      </c>
      <c r="G25" s="23" t="s">
        <v>29</v>
      </c>
      <c r="H25" s="23" t="s">
        <v>47</v>
      </c>
    </row>
    <row r="26" spans="3:14" x14ac:dyDescent="0.25">
      <c r="C26" s="11" t="s">
        <v>10</v>
      </c>
      <c r="D26" s="12">
        <v>8687209000</v>
      </c>
      <c r="E26" s="12"/>
      <c r="F26" s="12"/>
      <c r="G26" s="12">
        <f>+SUM('[1]Air-e'!$BV$3:$CG$3)</f>
        <v>8902638969.0022373</v>
      </c>
      <c r="H26" s="12"/>
    </row>
    <row r="27" spans="3:14" x14ac:dyDescent="0.25">
      <c r="C27" s="13" t="s">
        <v>11</v>
      </c>
      <c r="D27" s="14">
        <v>6213810000</v>
      </c>
      <c r="E27" s="32"/>
      <c r="F27" s="32">
        <f>Tabla14[[#This Row],[2.019]]/D26</f>
        <v>0.71528266443227051</v>
      </c>
      <c r="G27" s="14">
        <f>+SUM('[1]Air-e'!$BV$54:$CG$54)</f>
        <v>6018352074.3212166</v>
      </c>
      <c r="H27" s="32">
        <f>Tabla14[[#This Row],[2.020]]/G26</f>
        <v>0.67601888555475398</v>
      </c>
    </row>
    <row r="28" spans="3:14" x14ac:dyDescent="0.25">
      <c r="C28" s="15" t="s">
        <v>12</v>
      </c>
      <c r="D28" s="16">
        <f>+D26-D27</f>
        <v>2473399000</v>
      </c>
      <c r="E28" s="30"/>
      <c r="F28" s="30">
        <f>Tabla14[[#This Row],[2.019]]/D26</f>
        <v>0.28471733556772955</v>
      </c>
      <c r="G28" s="16">
        <f>+G26-G27</f>
        <v>2884286894.6810207</v>
      </c>
      <c r="H28" s="30">
        <f>Tabla14[[#This Row],[2.020]]/G26</f>
        <v>0.32398111444524602</v>
      </c>
    </row>
    <row r="29" spans="3:14" x14ac:dyDescent="0.25">
      <c r="C29" s="19" t="s">
        <v>20</v>
      </c>
      <c r="D29" s="20"/>
      <c r="E29" s="29"/>
      <c r="F29" s="29"/>
      <c r="G29" s="20"/>
      <c r="H29" s="34"/>
    </row>
    <row r="30" spans="3:14" x14ac:dyDescent="0.25">
      <c r="C30" s="7" t="s">
        <v>37</v>
      </c>
      <c r="D30" s="8">
        <f>+F10+F11</f>
        <v>561413271.14680338</v>
      </c>
      <c r="E30" s="31"/>
      <c r="F30" s="31">
        <f>Tabla14[[#This Row],[2.019]]/$D$28</f>
        <v>0.22698047146732225</v>
      </c>
      <c r="G30" s="8">
        <f>H10+H11</f>
        <v>561413271.14680338</v>
      </c>
      <c r="H30" s="31">
        <f>Tabla14[[#This Row],[2.020]]/$G$28</f>
        <v>0.19464543287358771</v>
      </c>
    </row>
    <row r="31" spans="3:14" x14ac:dyDescent="0.25">
      <c r="C31" s="7" t="s">
        <v>38</v>
      </c>
      <c r="D31" s="8">
        <f>+F8+F9+F12+F13+F14</f>
        <v>1082856877.6861601</v>
      </c>
      <c r="E31" s="31"/>
      <c r="F31" s="31">
        <f>Tabla14[[#This Row],[2.019]]/$D$28</f>
        <v>0.43780113022046185</v>
      </c>
      <c r="G31" s="8">
        <f>+H8+H9+H12+H13+H14</f>
        <v>1104157266.3989611</v>
      </c>
      <c r="H31" s="31">
        <f>Tabla14[[#This Row],[2.020]]/$G$28</f>
        <v>0.3828181130092026</v>
      </c>
    </row>
    <row r="32" spans="3:14" x14ac:dyDescent="0.25">
      <c r="C32" s="7" t="s">
        <v>39</v>
      </c>
      <c r="D32" s="8">
        <f>F20</f>
        <v>829128851.16703653</v>
      </c>
      <c r="E32" s="31"/>
      <c r="F32" s="31">
        <f>Tabla14[[#This Row],[2.019]]/$D$28</f>
        <v>0.33521839831221589</v>
      </c>
      <c r="G32" s="8">
        <f>H20</f>
        <v>1218716357.1352563</v>
      </c>
      <c r="H32" s="31">
        <f>Tabla14[[#This Row],[2.020]]/$G$28</f>
        <v>0.42253645411720969</v>
      </c>
    </row>
    <row r="33" spans="2:9" x14ac:dyDescent="0.25">
      <c r="C33" s="49" t="s">
        <v>40</v>
      </c>
      <c r="D33" s="50">
        <f>D30+D31+D32</f>
        <v>2473399000</v>
      </c>
      <c r="E33" s="51"/>
      <c r="F33" s="51">
        <f>Tabla14[[#This Row],[2.019]]/D28</f>
        <v>1</v>
      </c>
      <c r="G33" s="50">
        <f>G30+G31+G32</f>
        <v>2884286894.6810207</v>
      </c>
      <c r="H33" s="51">
        <f>Tabla14[[#This Row],[2.020]]/G28</f>
        <v>1</v>
      </c>
    </row>
    <row r="34" spans="2:9" x14ac:dyDescent="0.25">
      <c r="B34" s="3"/>
      <c r="C34" s="46"/>
      <c r="D34" s="46"/>
      <c r="E34" s="47"/>
      <c r="F34" s="47"/>
      <c r="G34" s="48"/>
      <c r="H34" s="47"/>
      <c r="I34" s="48"/>
    </row>
    <row r="35" spans="2:9" x14ac:dyDescent="0.25">
      <c r="B35" s="3"/>
      <c r="C35" s="46"/>
      <c r="D35" s="46"/>
      <c r="E35" s="47"/>
      <c r="F35" s="47"/>
      <c r="G35" s="48"/>
      <c r="H35" s="47"/>
      <c r="I35" s="48"/>
    </row>
    <row r="36" spans="2:9" x14ac:dyDescent="0.25">
      <c r="B36" s="3"/>
      <c r="C36" s="46"/>
      <c r="D36" s="46"/>
      <c r="E36" s="47"/>
      <c r="F36" s="47"/>
      <c r="G36" s="48"/>
      <c r="H36" s="47"/>
      <c r="I36" s="48"/>
    </row>
    <row r="37" spans="2:9" x14ac:dyDescent="0.25">
      <c r="B37" s="3"/>
      <c r="C37" s="46"/>
      <c r="D37" s="46"/>
      <c r="E37" s="47"/>
      <c r="F37" s="47"/>
      <c r="G37" s="48"/>
      <c r="H37" s="47"/>
      <c r="I37" s="48"/>
    </row>
    <row r="38" spans="2:9" x14ac:dyDescent="0.25">
      <c r="B38" s="3"/>
      <c r="C38" s="46"/>
      <c r="D38" s="46"/>
      <c r="E38" s="47"/>
      <c r="F38" s="47"/>
      <c r="G38" s="48"/>
      <c r="H38" s="47"/>
      <c r="I38" s="48"/>
    </row>
    <row r="39" spans="2:9" x14ac:dyDescent="0.25">
      <c r="B39" s="3"/>
      <c r="C39" s="46"/>
      <c r="D39" s="46"/>
      <c r="E39" s="47"/>
      <c r="F39" s="47"/>
      <c r="G39" s="48"/>
      <c r="H39" s="47"/>
      <c r="I39" s="48"/>
    </row>
    <row r="40" spans="2:9" x14ac:dyDescent="0.25">
      <c r="B40" s="3"/>
      <c r="C40" s="49" t="s">
        <v>48</v>
      </c>
      <c r="D40" s="49">
        <v>2019</v>
      </c>
      <c r="E40" s="50"/>
      <c r="F40" s="50" t="s">
        <v>49</v>
      </c>
      <c r="G40" s="49">
        <v>2020</v>
      </c>
      <c r="H40" s="50" t="s">
        <v>49</v>
      </c>
      <c r="I40" s="48"/>
    </row>
    <row r="41" spans="2:9" x14ac:dyDescent="0.25">
      <c r="B41" s="3"/>
      <c r="C41" s="52" t="s">
        <v>37</v>
      </c>
      <c r="D41" s="53">
        <f>D30</f>
        <v>561413271.14680338</v>
      </c>
      <c r="E41" s="35"/>
      <c r="F41" s="35">
        <f>F30</f>
        <v>0.22698047146732225</v>
      </c>
      <c r="G41" s="53">
        <f>G30</f>
        <v>561413271.14680338</v>
      </c>
      <c r="H41" s="35">
        <f>H30</f>
        <v>0.19464543287358771</v>
      </c>
      <c r="I41" s="48"/>
    </row>
    <row r="42" spans="2:9" x14ac:dyDescent="0.25">
      <c r="B42" s="3"/>
      <c r="C42" s="52" t="s">
        <v>38</v>
      </c>
      <c r="D42" s="53">
        <f t="shared" ref="D42:D43" si="0">D31</f>
        <v>1082856877.6861601</v>
      </c>
      <c r="E42" s="35"/>
      <c r="F42" s="35">
        <f t="shared" ref="F42:H44" si="1">F31</f>
        <v>0.43780113022046185</v>
      </c>
      <c r="G42" s="53">
        <f t="shared" si="1"/>
        <v>1104157266.3989611</v>
      </c>
      <c r="H42" s="35">
        <f t="shared" si="1"/>
        <v>0.3828181130092026</v>
      </c>
      <c r="I42" s="48"/>
    </row>
    <row r="43" spans="2:9" x14ac:dyDescent="0.25">
      <c r="B43" s="3"/>
      <c r="C43" s="52" t="s">
        <v>39</v>
      </c>
      <c r="D43" s="53">
        <f t="shared" si="0"/>
        <v>829128851.16703653</v>
      </c>
      <c r="E43" s="35"/>
      <c r="F43" s="35">
        <f t="shared" si="1"/>
        <v>0.33521839831221589</v>
      </c>
      <c r="G43" s="53">
        <f t="shared" si="1"/>
        <v>1218716357.1352563</v>
      </c>
      <c r="H43" s="35">
        <f t="shared" si="1"/>
        <v>0.42253645411720969</v>
      </c>
      <c r="I43" s="48"/>
    </row>
    <row r="44" spans="2:9" x14ac:dyDescent="0.25">
      <c r="B44" s="3"/>
      <c r="C44" s="54" t="s">
        <v>40</v>
      </c>
      <c r="D44" s="55">
        <f>D41+D42+D43</f>
        <v>2473399000</v>
      </c>
      <c r="E44" s="56"/>
      <c r="F44" s="56">
        <f t="shared" si="1"/>
        <v>1</v>
      </c>
      <c r="G44" s="55">
        <f>G41+G42+G43</f>
        <v>2884286894.6810207</v>
      </c>
      <c r="H44" s="56">
        <f t="shared" ref="H44" si="2">H33</f>
        <v>1</v>
      </c>
      <c r="I44" s="48"/>
    </row>
    <row r="45" spans="2:9" x14ac:dyDescent="0.25">
      <c r="B45" s="3"/>
      <c r="C45" s="46"/>
      <c r="D45" s="46"/>
      <c r="E45" s="47"/>
      <c r="F45" s="47"/>
      <c r="G45" s="48"/>
      <c r="H45" s="47"/>
      <c r="I45" s="48"/>
    </row>
    <row r="46" spans="2:9" x14ac:dyDescent="0.25">
      <c r="B46" s="3"/>
      <c r="C46" s="46"/>
      <c r="D46" s="46"/>
      <c r="E46" s="47"/>
      <c r="F46" s="47"/>
      <c r="G46" s="48"/>
      <c r="H46" s="47"/>
      <c r="I46" s="48"/>
    </row>
    <row r="47" spans="2:9" x14ac:dyDescent="0.25">
      <c r="B47" s="3"/>
      <c r="C47" s="46"/>
      <c r="D47" s="46"/>
      <c r="E47" s="47"/>
      <c r="F47" s="47"/>
      <c r="G47" s="48"/>
      <c r="H47" s="47"/>
      <c r="I47" s="48"/>
    </row>
    <row r="48" spans="2:9" x14ac:dyDescent="0.25">
      <c r="B48" s="3"/>
      <c r="C48" s="46"/>
      <c r="D48" s="46"/>
      <c r="E48" s="47"/>
      <c r="F48" s="47"/>
      <c r="G48" s="48"/>
      <c r="H48" s="47"/>
      <c r="I48" s="48"/>
    </row>
    <row r="49" spans="2:9" x14ac:dyDescent="0.25">
      <c r="B49" s="3"/>
      <c r="C49" s="46"/>
      <c r="D49" s="46"/>
      <c r="E49" s="47"/>
      <c r="F49" s="47"/>
      <c r="G49" s="48"/>
      <c r="H49" s="47"/>
      <c r="I49" s="48"/>
    </row>
    <row r="50" spans="2:9" x14ac:dyDescent="0.25">
      <c r="B50" s="3"/>
      <c r="C50" s="46"/>
      <c r="D50" s="46"/>
      <c r="E50" s="47"/>
      <c r="F50" s="47"/>
      <c r="G50" s="48"/>
      <c r="H50" s="47"/>
      <c r="I50" s="48"/>
    </row>
    <row r="51" spans="2:9" x14ac:dyDescent="0.25">
      <c r="B51" s="3"/>
      <c r="C51" s="46"/>
      <c r="D51" s="46"/>
      <c r="E51" s="47"/>
      <c r="F51" s="47"/>
      <c r="G51" s="48"/>
      <c r="H51" s="47"/>
      <c r="I51" s="48"/>
    </row>
    <row r="52" spans="2:9" x14ac:dyDescent="0.25">
      <c r="C52" s="21" t="s">
        <v>21</v>
      </c>
    </row>
    <row r="53" spans="2:9" x14ac:dyDescent="0.25">
      <c r="C53" s="22" t="s">
        <v>22</v>
      </c>
    </row>
    <row r="55" spans="2:9" x14ac:dyDescent="0.25">
      <c r="C55" s="21" t="s">
        <v>17</v>
      </c>
    </row>
    <row r="56" spans="2:9" x14ac:dyDescent="0.25">
      <c r="C56" s="22" t="s">
        <v>23</v>
      </c>
    </row>
    <row r="57" spans="2:9" x14ac:dyDescent="0.25">
      <c r="C57" s="22" t="s">
        <v>24</v>
      </c>
    </row>
    <row r="58" spans="2:9" x14ac:dyDescent="0.25">
      <c r="C58" s="21" t="s">
        <v>16</v>
      </c>
    </row>
    <row r="59" spans="2:9" x14ac:dyDescent="0.25">
      <c r="C59" s="22" t="s">
        <v>25</v>
      </c>
    </row>
    <row r="60" spans="2:9" x14ac:dyDescent="0.25">
      <c r="C60" s="22" t="s">
        <v>26</v>
      </c>
    </row>
    <row r="61" spans="2:9" x14ac:dyDescent="0.25">
      <c r="C61" s="22" t="s">
        <v>27</v>
      </c>
    </row>
    <row r="62" spans="2:9" x14ac:dyDescent="0.25">
      <c r="C62" s="22" t="s">
        <v>28</v>
      </c>
    </row>
  </sheetData>
  <mergeCells count="2">
    <mergeCell ref="C2:I2"/>
    <mergeCell ref="C24:G24"/>
  </mergeCells>
  <phoneticPr fontId="5" type="noConversion"/>
  <pageMargins left="0.7" right="0.7" top="0.75" bottom="0.75" header="0.3" footer="0.3"/>
  <pageSetup orientation="portrait" r:id="rId1"/>
  <ignoredErrors>
    <ignoredError sqref="F27 F30:F33 H30:H33 H27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Eduardo Jimenez Serpa</dc:creator>
  <cp:lastModifiedBy>Brenier Jose Baldovino Lascarro</cp:lastModifiedBy>
  <dcterms:created xsi:type="dcterms:W3CDTF">2020-11-24T21:18:39Z</dcterms:created>
  <dcterms:modified xsi:type="dcterms:W3CDTF">2020-11-26T21:24:51Z</dcterms:modified>
</cp:coreProperties>
</file>